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730" yWindow="-60" windowWidth="13995" windowHeight="1173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案例" sheetId="78"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8" i="9" l="1"/>
  <c r="C40" i="9"/>
  <c r="E40" i="9" s="1"/>
  <c r="B40" i="9"/>
  <c r="Y6" i="1" l="1"/>
  <c r="N20" i="1"/>
  <c r="N18" i="1"/>
  <c r="F19" i="6"/>
  <c r="AN13" i="3"/>
  <c r="G15" i="73" l="1"/>
  <c r="F15" i="73"/>
  <c r="E15" i="73"/>
  <c r="G16" i="73" l="1"/>
  <c r="F16" i="73"/>
  <c r="E16" i="73"/>
  <c r="G13" i="73" l="1"/>
  <c r="F13" i="73"/>
  <c r="E13" i="73"/>
  <c r="AH5" i="71" l="1"/>
  <c r="AG5" i="71"/>
  <c r="AE5" i="71"/>
  <c r="AF5" i="71" s="1"/>
  <c r="AD5" i="71"/>
  <c r="Q5" i="71"/>
  <c r="P5" i="71"/>
  <c r="O5" i="71"/>
  <c r="N5"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AB6" i="71" s="1"/>
  <c r="P7" i="71"/>
  <c r="AA6" i="71" s="1"/>
  <c r="O7" i="71"/>
  <c r="Y6" i="71" s="1"/>
  <c r="Z6" i="71" s="1"/>
  <c r="N7" i="71"/>
  <c r="X6" i="71" s="1"/>
  <c r="B2" i="77" l="1"/>
  <c r="B3" i="77" s="1"/>
  <c r="C41" i="77"/>
  <c r="V9" i="71"/>
  <c r="U9" i="71"/>
  <c r="T9" i="71"/>
  <c r="S9" i="71"/>
  <c r="E20" i="43" l="1"/>
  <c r="AH8" i="71" l="1"/>
  <c r="AG8" i="71"/>
  <c r="AE8" i="71"/>
  <c r="AF8" i="71" s="1"/>
  <c r="AD8" i="71"/>
  <c r="Q8" i="71"/>
  <c r="AB7" i="71" s="1"/>
  <c r="P8" i="71"/>
  <c r="AA7" i="71" s="1"/>
  <c r="O8" i="71"/>
  <c r="Y7" i="71" s="1"/>
  <c r="Z7" i="71" s="1"/>
  <c r="N8" i="71"/>
  <c r="X7" i="71" s="1"/>
  <c r="AH9" i="71" l="1"/>
  <c r="AG9" i="71"/>
  <c r="AE9" i="71"/>
  <c r="AF9" i="71" s="1"/>
  <c r="AD9" i="71"/>
  <c r="Q9" i="71"/>
  <c r="P9" i="71"/>
  <c r="O9" i="71"/>
  <c r="N9" i="71"/>
  <c r="AH10" i="71" l="1"/>
  <c r="AG10" i="71"/>
  <c r="AE10" i="71"/>
  <c r="AF10" i="71" s="1"/>
  <c r="AD10" i="71"/>
  <c r="Q10" i="71"/>
  <c r="AB9" i="71" s="1"/>
  <c r="P10" i="71"/>
  <c r="AA9" i="71" s="1"/>
  <c r="O10" i="71"/>
  <c r="Y9" i="71" s="1"/>
  <c r="Z9" i="71" s="1"/>
  <c r="N10" i="71"/>
  <c r="X9" i="71" s="1"/>
  <c r="AB8" i="71" l="1"/>
  <c r="AA8" i="71"/>
  <c r="Y8" i="71"/>
  <c r="Z8" i="71" s="1"/>
  <c r="X8"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AB10" i="71" s="1"/>
  <c r="P11" i="71"/>
  <c r="AA10" i="71" s="1"/>
  <c r="O11" i="71"/>
  <c r="Y10" i="71" s="1"/>
  <c r="Z10" i="71" s="1"/>
  <c r="N11" i="71"/>
  <c r="X10" i="71" s="1"/>
  <c r="V13" i="71" l="1"/>
  <c r="U13" i="71"/>
  <c r="T13" i="71"/>
  <c r="S13" i="71"/>
  <c r="AH12" i="71" l="1"/>
  <c r="AG12" i="71"/>
  <c r="AE12" i="71"/>
  <c r="AF12" i="71" s="1"/>
  <c r="AD12" i="71"/>
  <c r="Q12" i="71"/>
  <c r="AB11" i="71" s="1"/>
  <c r="P12" i="71"/>
  <c r="AA11" i="71" s="1"/>
  <c r="O12" i="71"/>
  <c r="Y11" i="71" s="1"/>
  <c r="Z11" i="71" s="1"/>
  <c r="N12" i="71"/>
  <c r="X11" i="71" s="1"/>
  <c r="AB15" i="71" l="1"/>
  <c r="Q14" i="71"/>
  <c r="AB14" i="71"/>
  <c r="P14" i="71"/>
  <c r="AA14" i="71"/>
  <c r="O14" i="71"/>
  <c r="Y14" i="71"/>
  <c r="Z14" i="71" s="1"/>
  <c r="N14" i="71"/>
  <c r="X14" i="71"/>
  <c r="AH13" i="71"/>
  <c r="AG13" i="71"/>
  <c r="AE13" i="71"/>
  <c r="AF13" i="71"/>
  <c r="AD13" i="71"/>
  <c r="Q13" i="71"/>
  <c r="AB12" i="71" s="1"/>
  <c r="P13" i="71"/>
  <c r="AA12" i="71" s="1"/>
  <c r="O13" i="71"/>
  <c r="N13" i="71"/>
  <c r="X12" i="71" s="1"/>
  <c r="F14" i="71"/>
  <c r="E14" i="71"/>
  <c r="E13" i="71"/>
  <c r="E12" i="71" s="1"/>
  <c r="E11" i="71" s="1"/>
  <c r="E10" i="71" s="1"/>
  <c r="E9" i="71" s="1"/>
  <c r="E8" i="71" s="1"/>
  <c r="E7" i="71" s="1"/>
  <c r="E6" i="71" s="1"/>
  <c r="E5" i="71" s="1"/>
  <c r="C14" i="71"/>
  <c r="C13" i="71"/>
  <c r="C12" i="71" s="1"/>
  <c r="B14" i="71"/>
  <c r="AH14" i="71"/>
  <c r="AG14" i="71"/>
  <c r="AE14" i="71"/>
  <c r="AF14" i="71"/>
  <c r="AD14" i="71"/>
  <c r="Q15" i="71"/>
  <c r="Q16" i="71"/>
  <c r="P15" i="71"/>
  <c r="P16" i="71"/>
  <c r="O15" i="71"/>
  <c r="O16" i="71"/>
  <c r="N15" i="71"/>
  <c r="N16" i="71"/>
  <c r="F16" i="71"/>
  <c r="F15" i="71"/>
  <c r="E16" i="71"/>
  <c r="E15" i="71"/>
  <c r="C16" i="71"/>
  <c r="C15" i="71"/>
  <c r="D14" i="71"/>
  <c r="B16" i="71"/>
  <c r="B15"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A15" i="71"/>
  <c r="Y15" i="71"/>
  <c r="X15"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AA18" i="71"/>
  <c r="O18" i="71"/>
  <c r="O19" i="71"/>
  <c r="N18" i="71"/>
  <c r="N19" i="71"/>
  <c r="X18" i="71"/>
  <c r="N20" i="71"/>
  <c r="AH19" i="71"/>
  <c r="AG19" i="71"/>
  <c r="AE19" i="71"/>
  <c r="AF19" i="71"/>
  <c r="AD19" i="71"/>
  <c r="Q20" i="71"/>
  <c r="AB18" i="71"/>
  <c r="P20" i="71"/>
  <c r="AA19" i="71"/>
  <c r="O20" i="71"/>
  <c r="Y18" i="71"/>
  <c r="Z18" i="71"/>
  <c r="M19" i="43"/>
  <c r="D22" i="71"/>
  <c r="AH20" i="71"/>
  <c r="AG20" i="71"/>
  <c r="AE20" i="71"/>
  <c r="AF20" i="71"/>
  <c r="AD20" i="71"/>
  <c r="AD21" i="71"/>
  <c r="AG21" i="71"/>
  <c r="AH21" i="71"/>
  <c r="AE21" i="71"/>
  <c r="AF21" i="71"/>
  <c r="N21" i="71"/>
  <c r="X19" i="71"/>
  <c r="Q21" i="71"/>
  <c r="AB20" i="71"/>
  <c r="P21" i="71"/>
  <c r="AA20" i="71"/>
  <c r="O21" i="71"/>
  <c r="Y19" i="71"/>
  <c r="Z19" i="71"/>
  <c r="Y20" i="71"/>
  <c r="Z20" i="71"/>
  <c r="C21" i="71"/>
  <c r="C20" i="71"/>
  <c r="Q22" i="71"/>
  <c r="F21" i="71"/>
  <c r="F20" i="71"/>
  <c r="F19" i="71"/>
  <c r="P22" i="71"/>
  <c r="E21" i="71"/>
  <c r="E20" i="71"/>
  <c r="E19" i="71"/>
  <c r="O22" i="71"/>
  <c r="N22" i="71"/>
  <c r="B21" i="71"/>
  <c r="B20" i="71"/>
  <c r="B19" i="71"/>
  <c r="B18" i="71"/>
  <c r="B17" i="71"/>
  <c r="V21" i="71"/>
  <c r="AB21" i="71"/>
  <c r="Y21" i="71"/>
  <c r="Z21" i="71"/>
  <c r="X21" i="71"/>
  <c r="AA21" i="71"/>
  <c r="A2" i="53"/>
  <c r="K59" i="67"/>
  <c r="P61" i="67"/>
  <c r="K59" i="15"/>
  <c r="P74" i="15" s="1"/>
  <c r="P74" i="67"/>
  <c r="D115" i="39"/>
  <c r="E115" i="39"/>
  <c r="F115" i="39"/>
  <c r="G115" i="39"/>
  <c r="H115" i="39"/>
  <c r="I115" i="39"/>
  <c r="J115" i="39"/>
  <c r="K115" i="39"/>
  <c r="L115" i="39"/>
  <c r="M115" i="39"/>
  <c r="C115" i="39"/>
  <c r="A21" i="62"/>
  <c r="A20" i="62"/>
  <c r="A22" i="51"/>
  <c r="B17" i="72" s="1"/>
  <c r="A21" i="51"/>
  <c r="A20" i="51"/>
  <c r="B15" i="72" s="1"/>
  <c r="A15" i="62"/>
  <c r="A14" i="62"/>
  <c r="A13" i="62"/>
  <c r="B59" i="72" s="1"/>
  <c r="A19" i="62"/>
  <c r="B65" i="72" s="1"/>
  <c r="A12" i="62"/>
  <c r="B58" i="72" s="1"/>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B13" i="53" s="1"/>
  <c r="B29" i="72" s="1"/>
  <c r="A122" i="9"/>
  <c r="A8" i="52" s="1"/>
  <c r="B54" i="72" s="1"/>
  <c r="E111" i="9"/>
  <c r="A126" i="9" s="1"/>
  <c r="A12" i="52" s="1"/>
  <c r="B56" i="72" s="1"/>
  <c r="E109" i="9"/>
  <c r="A124" i="9" s="1"/>
  <c r="A10" i="52" s="1"/>
  <c r="B55" i="72" s="1"/>
  <c r="B44" i="72"/>
  <c r="B42" i="72"/>
  <c r="B69" i="72"/>
  <c r="B68" i="72"/>
  <c r="B63" i="72"/>
  <c r="B62" i="72"/>
  <c r="B16" i="72"/>
  <c r="B60" i="72"/>
  <c r="B67" i="72"/>
  <c r="B66"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C51" i="71"/>
  <c r="Q50" i="71"/>
  <c r="F51" i="71"/>
  <c r="F52" i="71"/>
  <c r="F53" i="71"/>
  <c r="V53" i="71"/>
  <c r="P50" i="71"/>
  <c r="E51" i="71"/>
  <c r="O50"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F43" i="71"/>
  <c r="F44" i="71"/>
  <c r="F45" i="71"/>
  <c r="V45" i="71"/>
  <c r="Q42"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AB36" i="71"/>
  <c r="Q36" i="71"/>
  <c r="P36" i="71"/>
  <c r="AA36" i="71"/>
  <c r="O36" i="71"/>
  <c r="Y36" i="71"/>
  <c r="Z36" i="71"/>
  <c r="N36" i="71"/>
  <c r="X36" i="71"/>
  <c r="Q35" i="71"/>
  <c r="AB35" i="71"/>
  <c r="P35" i="71"/>
  <c r="O35" i="71"/>
  <c r="Y35" i="71"/>
  <c r="Z35" i="71"/>
  <c r="N35" i="71"/>
  <c r="F35" i="71"/>
  <c r="F36" i="71"/>
  <c r="F37" i="71"/>
  <c r="V37" i="71"/>
  <c r="Q34" i="7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G8" i="1" s="1"/>
  <c r="F9" i="1"/>
  <c r="F10" i="1"/>
  <c r="G10" i="1" s="1"/>
  <c r="F11" i="1"/>
  <c r="G11" i="1" s="1"/>
  <c r="F12" i="1"/>
  <c r="G12" i="1" s="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s="1"/>
  <c r="H59" i="40"/>
  <c r="I59" i="40" s="1"/>
  <c r="C59" i="40" s="1"/>
  <c r="H58" i="40"/>
  <c r="I58" i="40" s="1"/>
  <c r="C58" i="40" s="1"/>
  <c r="H57" i="40"/>
  <c r="I57" i="40" s="1"/>
  <c r="C57" i="40" s="1"/>
  <c r="H56" i="40"/>
  <c r="I56" i="40"/>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R35" i="4"/>
  <c r="Q35" i="4"/>
  <c r="P35" i="4"/>
  <c r="O35" i="4"/>
  <c r="N35" i="4"/>
  <c r="M35" i="4"/>
  <c r="L35" i="4"/>
  <c r="K34" i="4"/>
  <c r="T34" i="4"/>
  <c r="G13" i="1"/>
  <c r="I15" i="4"/>
  <c r="H15" i="4"/>
  <c r="G15" i="4"/>
  <c r="E15" i="4"/>
  <c r="F6" i="1" s="1"/>
  <c r="G6" i="1" s="1"/>
  <c r="D15" i="4"/>
  <c r="F7" i="1"/>
  <c r="G7" i="1" s="1"/>
  <c r="L21" i="4"/>
  <c r="F19" i="4"/>
  <c r="F2" i="52"/>
  <c r="B50" i="72"/>
  <c r="D2" i="52"/>
  <c r="B46" i="72"/>
  <c r="B8" i="53"/>
  <c r="B23" i="72"/>
  <c r="L4" i="9"/>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C7" i="37"/>
  <c r="C7" i="34"/>
  <c r="C7" i="36"/>
  <c r="W35" i="40"/>
  <c r="A118" i="9"/>
  <c r="A4" i="52"/>
  <c r="B41" i="72" s="1"/>
  <c r="J11" i="39"/>
  <c r="W11" i="39"/>
  <c r="F11" i="39"/>
  <c r="AA11" i="39"/>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F81" i="43"/>
  <c r="H83" i="43" s="1"/>
  <c r="H113" i="43"/>
  <c r="F48" i="43"/>
  <c r="H52" i="43" s="1"/>
  <c r="F70" i="43"/>
  <c r="H73" i="43" s="1"/>
  <c r="M11" i="43"/>
  <c r="D17" i="43"/>
  <c r="F39" i="43"/>
  <c r="I17" i="43"/>
  <c r="F35" i="43"/>
  <c r="J17" i="43"/>
  <c r="U17" i="39"/>
  <c r="S14" i="35"/>
  <c r="U43" i="21"/>
  <c r="U35" i="21"/>
  <c r="AC35" i="21"/>
  <c r="U10" i="21"/>
  <c r="G9"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AE9" i="1"/>
  <c r="E15" i="6"/>
  <c r="E60" i="40" s="1"/>
  <c r="K6" i="1"/>
  <c r="E13" i="6"/>
  <c r="E58" i="40" s="1"/>
  <c r="G29" i="6"/>
  <c r="E29" i="6" s="1"/>
  <c r="K15"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77" i="9" s="1"/>
  <c r="C74" i="9" s="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F34" i="67"/>
  <c r="F62" i="67"/>
  <c r="M20" i="67"/>
  <c r="F34" i="15"/>
  <c r="F62" i="15" s="1"/>
  <c r="G13" i="3"/>
  <c r="G5" i="3"/>
  <c r="B3" i="3" s="1"/>
  <c r="BA13" i="3"/>
  <c r="E10" i="6"/>
  <c r="BA5" i="3"/>
  <c r="E11" i="6"/>
  <c r="E60" i="39" s="1"/>
  <c r="BL17" i="3"/>
  <c r="AZ17" i="3"/>
  <c r="BL13" i="3"/>
  <c r="E64" i="39"/>
  <c r="G30" i="6"/>
  <c r="G31" i="6" s="1"/>
  <c r="J56" i="9"/>
  <c r="J57" i="9" s="1"/>
  <c r="J59" i="9" s="1"/>
  <c r="J61" i="9" s="1"/>
  <c r="A24" i="51"/>
  <c r="B18" i="72" s="1"/>
  <c r="U29" i="34"/>
  <c r="E14" i="6"/>
  <c r="E63" i="39" s="1"/>
  <c r="E5" i="6"/>
  <c r="D9" i="11"/>
  <c r="C9" i="11" s="1"/>
  <c r="L101" i="43"/>
  <c r="L109" i="43" s="1"/>
  <c r="D101" i="43"/>
  <c r="D109" i="43" s="1"/>
  <c r="I101" i="43"/>
  <c r="I109" i="43" s="1"/>
  <c r="G22" i="43"/>
  <c r="E32" i="6"/>
  <c r="L19" i="6"/>
  <c r="G1" i="68"/>
  <c r="K1" i="12"/>
  <c r="F30" i="6"/>
  <c r="E28" i="6"/>
  <c r="AR12" i="1"/>
  <c r="AQ12" i="1"/>
  <c r="T12" i="1"/>
  <c r="AR10" i="1"/>
  <c r="T10" i="1"/>
  <c r="E19" i="69"/>
  <c r="E19" i="68"/>
  <c r="E19" i="11"/>
  <c r="E1" i="73"/>
  <c r="G22" i="69"/>
  <c r="G22" i="68"/>
  <c r="G26" i="12"/>
  <c r="G22" i="11"/>
  <c r="C100" i="43"/>
  <c r="E81" i="43"/>
  <c r="B79" i="43"/>
  <c r="AH11" i="43"/>
  <c r="AH13" i="43" s="1"/>
  <c r="AD11" i="43"/>
  <c r="AD13" i="43" s="1"/>
  <c r="Z11" i="43"/>
  <c r="Z13" i="43" s="1"/>
  <c r="S5" i="43"/>
  <c r="AG11" i="43"/>
  <c r="AG13" i="43" s="1"/>
  <c r="AC11" i="43"/>
  <c r="AC13" i="43" s="1"/>
  <c r="Y11" i="43"/>
  <c r="Y13" i="43" s="1"/>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s="1"/>
  <c r="C7" i="39"/>
  <c r="C67" i="39" s="1"/>
  <c r="C7" i="35"/>
  <c r="C7" i="33"/>
  <c r="C58" i="33" s="1"/>
  <c r="C7" i="21"/>
  <c r="C58" i="21" s="1"/>
  <c r="C7" i="40"/>
  <c r="C63" i="40" s="1"/>
  <c r="M47" i="9"/>
  <c r="G19" i="43"/>
  <c r="O19" i="43" s="1"/>
  <c r="C19" i="43" s="1"/>
  <c r="T35" i="4"/>
  <c r="A19" i="51"/>
  <c r="B14" i="72" s="1"/>
  <c r="C46" i="36"/>
  <c r="D46" i="36" s="1"/>
  <c r="C59" i="34"/>
  <c r="D59" i="34" s="1"/>
  <c r="E59" i="34" s="1"/>
  <c r="F59" i="34" s="1"/>
  <c r="G59" i="34" s="1"/>
  <c r="H59" i="34" s="1"/>
  <c r="C52" i="37"/>
  <c r="D52" i="37" s="1"/>
  <c r="A4" i="51"/>
  <c r="B6" i="72"/>
  <c r="C48" i="35"/>
  <c r="D48" i="35" s="1"/>
  <c r="C4" i="12"/>
  <c r="H66" i="43"/>
  <c r="H65" i="43"/>
  <c r="H64" i="43"/>
  <c r="H63" i="43"/>
  <c r="H55" i="43"/>
  <c r="H56" i="43"/>
  <c r="H72" i="43"/>
  <c r="L20" i="6"/>
  <c r="E51" i="40"/>
  <c r="B6" i="1"/>
  <c r="E6" i="1" s="1"/>
  <c r="S8" i="1"/>
  <c r="K11" i="1"/>
  <c r="M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M6" i="1"/>
  <c r="O6" i="1" s="1"/>
  <c r="E62" i="39"/>
  <c r="T11" i="1"/>
  <c r="D9" i="69"/>
  <c r="C9" i="69" s="1"/>
  <c r="D19" i="12"/>
  <c r="C19" i="12" s="1"/>
  <c r="AQ9" i="1"/>
  <c r="AR11" i="1"/>
  <c r="E30" i="6"/>
  <c r="T9" i="1"/>
  <c r="T13" i="1"/>
  <c r="E53" i="3"/>
  <c r="E125" i="3"/>
  <c r="E175" i="3"/>
  <c r="E217" i="3"/>
  <c r="E319" i="3"/>
  <c r="E366" i="3"/>
  <c r="E530" i="3"/>
  <c r="E526" i="3"/>
  <c r="E501" i="3"/>
  <c r="E553" i="3"/>
  <c r="E343" i="3"/>
  <c r="E268" i="3"/>
  <c r="E153" i="3"/>
  <c r="E282" i="3"/>
  <c r="E305" i="3"/>
  <c r="E322" i="3"/>
  <c r="E426" i="3"/>
  <c r="N6" i="3"/>
  <c r="E508" i="3"/>
  <c r="AJ6" i="3"/>
  <c r="E328" i="3"/>
  <c r="D9" i="68"/>
  <c r="C9" i="68" s="1"/>
  <c r="S7" i="1"/>
  <c r="T7" i="1" s="1"/>
  <c r="E7" i="70"/>
  <c r="AA39" i="40"/>
  <c r="S39" i="40"/>
  <c r="S12" i="33"/>
  <c r="AA12" i="33"/>
  <c r="J32" i="39"/>
  <c r="H32" i="39"/>
  <c r="AB32" i="39" s="1"/>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C23" i="43"/>
  <c r="C21" i="43" s="1"/>
  <c r="S3" i="43"/>
  <c r="J22" i="43"/>
  <c r="E329" i="3"/>
  <c r="E347" i="3"/>
  <c r="E539" i="3"/>
  <c r="E583" i="3"/>
  <c r="E545" i="3"/>
  <c r="AA6" i="3"/>
  <c r="E567" i="3"/>
  <c r="X6" i="3"/>
  <c r="E510" i="3"/>
  <c r="E399" i="3"/>
  <c r="E461" i="3"/>
  <c r="E336" i="3"/>
  <c r="E396" i="3"/>
  <c r="E352" i="3"/>
  <c r="E337" i="3"/>
  <c r="E280" i="3"/>
  <c r="E247" i="3"/>
  <c r="E227" i="3"/>
  <c r="E285" i="3"/>
  <c r="E246" i="3"/>
  <c r="E229" i="3"/>
  <c r="E205" i="3"/>
  <c r="E143" i="3"/>
  <c r="E124" i="3"/>
  <c r="E201" i="3"/>
  <c r="E165" i="3"/>
  <c r="E97" i="3"/>
  <c r="E293" i="3"/>
  <c r="E151" i="3"/>
  <c r="E128" i="3"/>
  <c r="K14" i="1"/>
  <c r="M14" i="1" s="1"/>
  <c r="BL5" i="3"/>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AC6" i="3" s="1"/>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R22" i="31"/>
  <c r="L27" i="6"/>
  <c r="AP7" i="1"/>
  <c r="O7" i="1"/>
  <c r="P7" i="1" s="1"/>
  <c r="AB45" i="21"/>
  <c r="AC33" i="21"/>
  <c r="W33" i="21"/>
  <c r="S33" i="21"/>
  <c r="AA33" i="21"/>
  <c r="W32" i="21"/>
  <c r="AC32" i="21"/>
  <c r="AB9" i="21"/>
  <c r="U9" i="21"/>
  <c r="AA32" i="21"/>
  <c r="S32" i="21"/>
  <c r="W9" i="21"/>
  <c r="AC9" i="21"/>
  <c r="AB32" i="21"/>
  <c r="U32" i="21"/>
  <c r="AA10" i="21"/>
  <c r="S10" i="21"/>
  <c r="AR7" i="1"/>
  <c r="E6" i="70"/>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C36" i="11" s="1"/>
  <c r="F11" i="12"/>
  <c r="C23" i="12" s="1"/>
  <c r="F34" i="68"/>
  <c r="R8" i="1"/>
  <c r="E2" i="70"/>
  <c r="C34" i="69"/>
  <c r="C35" i="69" s="1"/>
  <c r="AE7" i="1"/>
  <c r="AE8" i="1"/>
  <c r="AG6" i="1"/>
  <c r="AD3" i="71"/>
  <c r="J1" i="73"/>
  <c r="C13" i="12"/>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6" i="36"/>
  <c r="F46" i="36" s="1"/>
  <c r="G46" i="36" s="1"/>
  <c r="H46" i="36" s="1"/>
  <c r="I46" i="36" s="1"/>
  <c r="C24" i="12"/>
  <c r="C19" i="71"/>
  <c r="D19" i="71"/>
  <c r="D20" i="71"/>
  <c r="D21" i="71"/>
  <c r="U21" i="71"/>
  <c r="S21" i="71"/>
  <c r="T21" i="71"/>
  <c r="AB19" i="71"/>
  <c r="X17" i="71"/>
  <c r="X16" i="71"/>
  <c r="AA17" i="71"/>
  <c r="AA16" i="71"/>
  <c r="X20" i="71"/>
  <c r="Z15" i="71"/>
  <c r="Y16" i="71"/>
  <c r="Z16" i="71" s="1"/>
  <c r="AB17" i="71"/>
  <c r="AB16" i="71"/>
  <c r="S17" i="71"/>
  <c r="F18" i="71"/>
  <c r="F17" i="71"/>
  <c r="Y17" i="71"/>
  <c r="Z17" i="71" s="1"/>
  <c r="X3" i="71"/>
  <c r="C18" i="71"/>
  <c r="E18" i="71"/>
  <c r="E17" i="71"/>
  <c r="G20" i="43"/>
  <c r="V17" i="71"/>
  <c r="C17" i="71"/>
  <c r="D18" i="71"/>
  <c r="I59" i="34"/>
  <c r="J59" i="34" s="1"/>
  <c r="D15" i="71"/>
  <c r="T17" i="71"/>
  <c r="D16" i="71"/>
  <c r="D17" i="71"/>
  <c r="U17" i="71"/>
  <c r="F43" i="15"/>
  <c r="AO7" i="1"/>
  <c r="M22" i="67"/>
  <c r="E7" i="76"/>
  <c r="M27" i="67"/>
  <c r="F7" i="15"/>
  <c r="M28" i="67"/>
  <c r="L48" i="15"/>
  <c r="F7" i="73"/>
  <c r="C14" i="15"/>
  <c r="L47" i="15"/>
  <c r="F40" i="15"/>
  <c r="F42" i="15"/>
  <c r="B12" i="76"/>
  <c r="B10" i="76"/>
  <c r="D2" i="37"/>
  <c r="D2" i="36"/>
  <c r="M6" i="67"/>
  <c r="F37" i="15"/>
  <c r="D6" i="73"/>
  <c r="F26" i="67"/>
  <c r="F40" i="67"/>
  <c r="F6" i="15"/>
  <c r="M24" i="15"/>
  <c r="D2" i="35"/>
  <c r="M21" i="67"/>
  <c r="M8" i="15"/>
  <c r="F9" i="15"/>
  <c r="F13" i="15"/>
  <c r="F36" i="67"/>
  <c r="M29" i="15"/>
  <c r="F8" i="67"/>
  <c r="F6" i="73"/>
  <c r="M9" i="15"/>
  <c r="D4" i="73"/>
  <c r="D7" i="73"/>
  <c r="AO11" i="1"/>
  <c r="M22" i="15"/>
  <c r="F13" i="67"/>
  <c r="F4" i="73"/>
  <c r="F16" i="67"/>
  <c r="M6" i="15"/>
  <c r="D2" i="34"/>
  <c r="M26" i="15"/>
  <c r="E11" i="76"/>
  <c r="D5" i="73"/>
  <c r="E12" i="76"/>
  <c r="E2" i="68"/>
  <c r="E2" i="69"/>
  <c r="B9" i="76"/>
  <c r="B11" i="76"/>
  <c r="M23" i="67"/>
  <c r="AO13" i="1"/>
  <c r="AO12" i="1"/>
  <c r="C76" i="67"/>
  <c r="D2" i="33"/>
  <c r="M24" i="67"/>
  <c r="AO10" i="1"/>
  <c r="C76" i="15"/>
  <c r="D3" i="73"/>
  <c r="J15" i="15"/>
  <c r="M8" i="67"/>
  <c r="B13" i="76"/>
  <c r="J15" i="67"/>
  <c r="M27" i="15"/>
  <c r="F42" i="67"/>
  <c r="L48" i="67"/>
  <c r="B7" i="76"/>
  <c r="F37" i="67"/>
  <c r="F5" i="73"/>
  <c r="E10" i="76"/>
  <c r="F3" i="73"/>
  <c r="B8" i="76"/>
  <c r="F38" i="15"/>
  <c r="M26" i="67"/>
  <c r="E9" i="76"/>
  <c r="F7" i="67"/>
  <c r="E13" i="76"/>
  <c r="F26" i="15"/>
  <c r="M28" i="15"/>
  <c r="F6" i="67"/>
  <c r="F9" i="67"/>
  <c r="M9" i="67"/>
  <c r="M29" i="67"/>
  <c r="D2" i="21"/>
  <c r="F38" i="67"/>
  <c r="F35" i="67"/>
  <c r="M23" i="15"/>
  <c r="F16" i="15"/>
  <c r="E8" i="76"/>
  <c r="L47" i="67"/>
  <c r="F20" i="31"/>
  <c r="F36" i="15"/>
  <c r="F41" i="67"/>
  <c r="F43" i="67"/>
  <c r="AO9" i="1"/>
  <c r="F8" i="15"/>
  <c r="AO8" i="1"/>
  <c r="D6" i="52" l="1"/>
  <c r="C18" i="9"/>
  <c r="D18" i="9" s="1"/>
  <c r="B16" i="53"/>
  <c r="B33" i="72" s="1"/>
  <c r="H109" i="9"/>
  <c r="P61" i="15"/>
  <c r="C36" i="69"/>
  <c r="D22" i="67"/>
  <c r="C5" i="11"/>
  <c r="C21" i="69"/>
  <c r="F54" i="9"/>
  <c r="F28" i="15"/>
  <c r="C28" i="15" s="1"/>
  <c r="F31" i="12"/>
  <c r="C31" i="12" s="1"/>
  <c r="M18" i="67"/>
  <c r="F30" i="68"/>
  <c r="D68" i="9"/>
  <c r="M18" i="15"/>
  <c r="F32" i="15"/>
  <c r="F60" i="15" s="1"/>
  <c r="F30" i="69"/>
  <c r="F32" i="67"/>
  <c r="F60" i="67" s="1"/>
  <c r="F52" i="9"/>
  <c r="F28" i="67"/>
  <c r="C28" i="67" s="1"/>
  <c r="F30" i="11"/>
  <c r="F53" i="9"/>
  <c r="D93" i="9"/>
  <c r="C94" i="9"/>
  <c r="C92" i="9"/>
  <c r="AZ13" i="3"/>
  <c r="AZ5" i="3" s="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H6" i="3" s="1"/>
  <c r="E6" i="3" s="1"/>
  <c r="E516" i="3"/>
  <c r="E555" i="3"/>
  <c r="E579" i="3"/>
  <c r="E574" i="3"/>
  <c r="E569" i="3"/>
  <c r="E410" i="3"/>
  <c r="E431" i="3"/>
  <c r="E359" i="3"/>
  <c r="F22" i="43"/>
  <c r="K101" i="43"/>
  <c r="N101" i="43"/>
  <c r="G101" i="43"/>
  <c r="J101" i="43"/>
  <c r="B113" i="43"/>
  <c r="F101" i="43"/>
  <c r="E22" i="43"/>
  <c r="D22" i="43" s="1"/>
  <c r="C101" i="43"/>
  <c r="N104" i="46"/>
  <c r="H22" i="43"/>
  <c r="H101" i="43"/>
  <c r="M101" i="43"/>
  <c r="E101" i="43"/>
  <c r="S2" i="43"/>
  <c r="AJ11" i="43"/>
  <c r="AJ13" i="43" s="1"/>
  <c r="AF11" i="43"/>
  <c r="AF13" i="43" s="1"/>
  <c r="AB11" i="43"/>
  <c r="AB13" i="43" s="1"/>
  <c r="Z7" i="43"/>
  <c r="AI11" i="43"/>
  <c r="AI13" i="43" s="1"/>
  <c r="AE11" i="43"/>
  <c r="AE13" i="43" s="1"/>
  <c r="AA11" i="43"/>
  <c r="AA13" i="43" s="1"/>
  <c r="S6" i="43"/>
  <c r="S4" i="43"/>
  <c r="S7" i="43"/>
  <c r="F27" i="6"/>
  <c r="F31" i="6" s="1"/>
  <c r="E56" i="39"/>
  <c r="E12" i="6"/>
  <c r="E59" i="40"/>
  <c r="O11" i="1"/>
  <c r="P11" i="1" s="1"/>
  <c r="M16" i="1"/>
  <c r="L16" i="1" s="1"/>
  <c r="O14" i="1"/>
  <c r="P14" i="1" s="1"/>
  <c r="K16" i="1"/>
  <c r="P6" i="1"/>
  <c r="O12" i="1"/>
  <c r="P12" i="1" s="1"/>
  <c r="O8" i="1"/>
  <c r="P8" i="1" s="1"/>
  <c r="O9" i="1"/>
  <c r="P9" i="1" s="1"/>
  <c r="H16" i="1"/>
  <c r="Q16" i="1"/>
  <c r="E56" i="40"/>
  <c r="C20" i="43"/>
  <c r="AA5" i="71"/>
  <c r="AB5" i="71"/>
  <c r="X5" i="71"/>
  <c r="Y5" i="71"/>
  <c r="Z5" i="71" s="1"/>
  <c r="C69" i="39"/>
  <c r="D67" i="39"/>
  <c r="D69" i="39" s="1"/>
  <c r="H75" i="43"/>
  <c r="E41" i="43"/>
  <c r="C41" i="43" s="1"/>
  <c r="E67" i="39"/>
  <c r="AC21" i="39"/>
  <c r="AB23" i="39"/>
  <c r="AB15" i="39"/>
  <c r="AC15" i="39"/>
  <c r="S25" i="39"/>
  <c r="W39" i="39"/>
  <c r="W42" i="39"/>
  <c r="W14" i="39"/>
  <c r="S29" i="39"/>
  <c r="G17" i="43"/>
  <c r="C16" i="43" s="1"/>
  <c r="C5" i="43" s="1"/>
  <c r="E11" i="43"/>
  <c r="E9" i="43"/>
  <c r="E10" i="43"/>
  <c r="E8" i="43"/>
  <c r="C7" i="43" s="1"/>
  <c r="G16" i="1"/>
  <c r="F10" i="39"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12" i="71"/>
  <c r="C11" i="71"/>
  <c r="Y13" i="71"/>
  <c r="Z13" i="71" s="1"/>
  <c r="Y12" i="71"/>
  <c r="AA13" i="71"/>
  <c r="AB3" i="71"/>
  <c r="B13" i="71"/>
  <c r="B12" i="71" s="1"/>
  <c r="B11" i="71" s="1"/>
  <c r="B10" i="71" s="1"/>
  <c r="B9" i="71" s="1"/>
  <c r="B8" i="71" s="1"/>
  <c r="B7" i="71" s="1"/>
  <c r="B6" i="71" s="1"/>
  <c r="B5" i="71" s="1"/>
  <c r="X13" i="71"/>
  <c r="AB13" i="71"/>
  <c r="Z12" i="71"/>
  <c r="Y3" i="71"/>
  <c r="Z3" i="71" s="1"/>
  <c r="D13" i="71"/>
  <c r="F13" i="71"/>
  <c r="F12" i="71" s="1"/>
  <c r="F11" i="71" s="1"/>
  <c r="F10" i="71" s="1"/>
  <c r="F9" i="71" s="1"/>
  <c r="F8" i="71" s="1"/>
  <c r="F7" i="71" s="1"/>
  <c r="F6" i="71" s="1"/>
  <c r="F5" i="71" s="1"/>
  <c r="AF3" i="71"/>
  <c r="P22" i="43" s="1"/>
  <c r="C38" i="69"/>
  <c r="C36" i="68"/>
  <c r="C6" i="67"/>
  <c r="C15" i="15"/>
  <c r="C18" i="15"/>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6" i="67"/>
  <c r="C16" i="15"/>
  <c r="C14" i="67"/>
  <c r="C17" i="15"/>
  <c r="G1" i="73"/>
  <c r="C17" i="67"/>
  <c r="H110" i="9" l="1"/>
  <c r="D18" i="53" s="1"/>
  <c r="B35" i="72" s="1"/>
  <c r="D124" i="9"/>
  <c r="D16" i="53"/>
  <c r="C34" i="68"/>
  <c r="F48" i="68"/>
  <c r="C30" i="68"/>
  <c r="C48" i="68"/>
  <c r="C48" i="11"/>
  <c r="C30" i="11"/>
  <c r="F48" i="69"/>
  <c r="C48" i="69"/>
  <c r="C30" i="69"/>
  <c r="AY6" i="3"/>
  <c r="E3" i="6"/>
  <c r="E57" i="40"/>
  <c r="E61" i="39"/>
  <c r="E65" i="39" s="1"/>
  <c r="M109" i="43"/>
  <c r="M104" i="43"/>
  <c r="M107" i="43"/>
  <c r="M105" i="43"/>
  <c r="M102" i="43"/>
  <c r="M106" i="43"/>
  <c r="M103" i="43"/>
  <c r="C104" i="43"/>
  <c r="C106" i="43"/>
  <c r="C107" i="43"/>
  <c r="C103" i="43"/>
  <c r="C102" i="43"/>
  <c r="C105" i="43"/>
  <c r="C109" i="43"/>
  <c r="F104" i="43"/>
  <c r="F102" i="43"/>
  <c r="F105" i="43"/>
  <c r="F106" i="43"/>
  <c r="F107" i="43"/>
  <c r="F103" i="43"/>
  <c r="F109" i="43"/>
  <c r="J104" i="43"/>
  <c r="J105" i="43"/>
  <c r="J107" i="43"/>
  <c r="J102" i="43"/>
  <c r="J109" i="43"/>
  <c r="J103" i="43"/>
  <c r="J106" i="43"/>
  <c r="N102" i="43"/>
  <c r="N105" i="43"/>
  <c r="N104" i="43"/>
  <c r="N103" i="43"/>
  <c r="N106" i="43"/>
  <c r="N107" i="43"/>
  <c r="N109" i="43"/>
  <c r="E16" i="6"/>
  <c r="E27" i="6"/>
  <c r="E104" i="43"/>
  <c r="E107" i="43"/>
  <c r="E105" i="43"/>
  <c r="E109" i="43"/>
  <c r="E102" i="43"/>
  <c r="E106" i="43"/>
  <c r="E103" i="43"/>
  <c r="H107" i="43"/>
  <c r="H106" i="43"/>
  <c r="H105" i="43"/>
  <c r="H102" i="43"/>
  <c r="H103" i="43"/>
  <c r="H104" i="43"/>
  <c r="H109" i="43"/>
  <c r="B115" i="43"/>
  <c r="D117" i="43"/>
  <c r="E117" i="43" s="1"/>
  <c r="F117" i="43" s="1"/>
  <c r="G117" i="43" s="1"/>
  <c r="H117" i="43" s="1"/>
  <c r="D116" i="43"/>
  <c r="E116" i="43" s="1"/>
  <c r="F116" i="43" s="1"/>
  <c r="G116" i="43" s="1"/>
  <c r="H116" i="43" s="1"/>
  <c r="G118" i="43"/>
  <c r="H118" i="43" s="1"/>
  <c r="B116" i="43"/>
  <c r="C116" i="43" s="1"/>
  <c r="B118" i="43"/>
  <c r="C118" i="43" s="1"/>
  <c r="I117" i="43"/>
  <c r="J117" i="43" s="1"/>
  <c r="K117" i="43" s="1"/>
  <c r="L117" i="43" s="1"/>
  <c r="M117" i="43" s="1"/>
  <c r="I116" i="43"/>
  <c r="J116" i="43" s="1"/>
  <c r="K116" i="43" s="1"/>
  <c r="L116" i="43" s="1"/>
  <c r="M116" i="43" s="1"/>
  <c r="I115" i="43"/>
  <c r="J115" i="43" s="1"/>
  <c r="K115" i="43" s="1"/>
  <c r="L115" i="43" s="1"/>
  <c r="M115" i="43" s="1"/>
  <c r="D118" i="43"/>
  <c r="E118" i="43" s="1"/>
  <c r="F118" i="43" s="1"/>
  <c r="D115" i="43"/>
  <c r="E115" i="43" s="1"/>
  <c r="F115" i="43" s="1"/>
  <c r="G115" i="43" s="1"/>
  <c r="H115" i="43" s="1"/>
  <c r="I118" i="43"/>
  <c r="J118" i="43" s="1"/>
  <c r="K118" i="43" s="1"/>
  <c r="L118" i="43" s="1"/>
  <c r="M118" i="43" s="1"/>
  <c r="B117" i="43"/>
  <c r="C117" i="43" s="1"/>
  <c r="G105" i="43"/>
  <c r="G107" i="43"/>
  <c r="G104" i="43"/>
  <c r="G106" i="43"/>
  <c r="G109" i="43"/>
  <c r="G103" i="43"/>
  <c r="G102" i="43"/>
  <c r="K103" i="43"/>
  <c r="K102" i="43"/>
  <c r="K105" i="43"/>
  <c r="K109" i="43"/>
  <c r="K107" i="43"/>
  <c r="K104" i="43"/>
  <c r="K106" i="43"/>
  <c r="N16" i="1"/>
  <c r="C34" i="11"/>
  <c r="F27" i="69"/>
  <c r="F27" i="68"/>
  <c r="F28" i="12"/>
  <c r="C29" i="12" s="1"/>
  <c r="D28" i="12" s="1"/>
  <c r="F27" i="11"/>
  <c r="O16" i="1"/>
  <c r="P16" i="1"/>
  <c r="C11" i="12" s="1"/>
  <c r="J10" i="40"/>
  <c r="W10" i="40" s="1"/>
  <c r="H10" i="39"/>
  <c r="AB10" i="39" s="1"/>
  <c r="F10" i="40"/>
  <c r="AA10" i="40" s="1"/>
  <c r="J10" i="39"/>
  <c r="AC10" i="39" s="1"/>
  <c r="H10" i="40"/>
  <c r="AB10" i="40" s="1"/>
  <c r="F67" i="39"/>
  <c r="E69" i="39"/>
  <c r="D5" i="43"/>
  <c r="C39" i="43" s="1"/>
  <c r="T11" i="43"/>
  <c r="V11" i="43" s="1"/>
  <c r="T12" i="43"/>
  <c r="V12" i="43" s="1"/>
  <c r="T9" i="43"/>
  <c r="V9" i="43" s="1"/>
  <c r="T4" i="43"/>
  <c r="V4" i="43" s="1"/>
  <c r="T10" i="43"/>
  <c r="V10" i="43" s="1"/>
  <c r="T13" i="43"/>
  <c r="V13" i="43" s="1"/>
  <c r="T5" i="43"/>
  <c r="V5" i="43" s="1"/>
  <c r="T14" i="43"/>
  <c r="V14" i="43" s="1"/>
  <c r="T6" i="43"/>
  <c r="V6" i="43" s="1"/>
  <c r="T2" i="43"/>
  <c r="V2" i="43" s="1"/>
  <c r="T3" i="43"/>
  <c r="V3" i="43" s="1"/>
  <c r="T8" i="43"/>
  <c r="V8" i="43" s="1"/>
  <c r="T16" i="43"/>
  <c r="V16" i="43" s="1"/>
  <c r="T7" i="43"/>
  <c r="V7" i="43" s="1"/>
  <c r="C29" i="43"/>
  <c r="C30" i="43" s="1"/>
  <c r="E30" i="43" s="1"/>
  <c r="T15" i="43"/>
  <c r="V15" i="43" s="1"/>
  <c r="F59" i="67"/>
  <c r="H7" i="37"/>
  <c r="AB7" i="37" s="1"/>
  <c r="T42" i="37" s="1"/>
  <c r="G42" i="37" s="1"/>
  <c r="B40" i="1"/>
  <c r="W10" i="39"/>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F7" i="33"/>
  <c r="E58" i="21"/>
  <c r="AC7" i="36"/>
  <c r="V36" i="36" s="1"/>
  <c r="I36" i="36" s="1"/>
  <c r="W7" i="36"/>
  <c r="F7" i="37"/>
  <c r="W7" i="34"/>
  <c r="AC7" i="34"/>
  <c r="V49" i="34" s="1"/>
  <c r="I49" i="34" s="1"/>
  <c r="D11" i="71"/>
  <c r="C10" i="71"/>
  <c r="M17" i="67"/>
  <c r="M17" i="15"/>
  <c r="F59" i="15"/>
  <c r="P24" i="43"/>
  <c r="B66" i="40" s="1"/>
  <c r="P21" i="43"/>
  <c r="C49" i="67"/>
  <c r="P25" i="43"/>
  <c r="P23" i="43"/>
  <c r="B70" i="39" s="1"/>
  <c r="C49" i="15"/>
  <c r="C15" i="67"/>
  <c r="C18" i="67"/>
  <c r="C19" i="15"/>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B34" i="72" l="1"/>
  <c r="D17" i="53"/>
  <c r="B36" i="72" s="1"/>
  <c r="D10" i="52"/>
  <c r="D125" i="9"/>
  <c r="D11" i="52" s="1"/>
  <c r="H14" i="74"/>
  <c r="B7" i="74" s="1"/>
  <c r="U10" i="39"/>
  <c r="C35" i="68"/>
  <c r="C38" i="68"/>
  <c r="D3" i="33"/>
  <c r="D19" i="11"/>
  <c r="C19" i="11" s="1"/>
  <c r="C20" i="11" s="1"/>
  <c r="D3" i="37"/>
  <c r="L18" i="9"/>
  <c r="C17" i="4"/>
  <c r="B4" i="52" s="1"/>
  <c r="B43" i="72" s="1"/>
  <c r="D3" i="34"/>
  <c r="D3" i="21"/>
  <c r="E6" i="6"/>
  <c r="D14" i="12"/>
  <c r="D37" i="11"/>
  <c r="C37" i="11" s="1"/>
  <c r="M18" i="9"/>
  <c r="B118" i="9" s="1"/>
  <c r="B14" i="74" s="1"/>
  <c r="B1" i="74" s="1"/>
  <c r="AY82"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18" i="3"/>
  <c r="AY139" i="3"/>
  <c r="AY74" i="3"/>
  <c r="AY123" i="3"/>
  <c r="AY204" i="3"/>
  <c r="AY252" i="3"/>
  <c r="AY363" i="3"/>
  <c r="AY489" i="3"/>
  <c r="AY412" i="3"/>
  <c r="AY43" i="3"/>
  <c r="AY229" i="3"/>
  <c r="AY379" i="3"/>
  <c r="AY326" i="3"/>
  <c r="AY436" i="3"/>
  <c r="AY557" i="3"/>
  <c r="AY540" i="3"/>
  <c r="AY105" i="3"/>
  <c r="AY69" i="3"/>
  <c r="AY76" i="3"/>
  <c r="AY44" i="3"/>
  <c r="AY33" i="3"/>
  <c r="AY190" i="3"/>
  <c r="AY185" i="3"/>
  <c r="AY154" i="3"/>
  <c r="AY165" i="3"/>
  <c r="AY133" i="3"/>
  <c r="AY125" i="3"/>
  <c r="AY283" i="3"/>
  <c r="AY278" i="3"/>
  <c r="AY247" i="3"/>
  <c r="AY262" i="3"/>
  <c r="AY230" i="3"/>
  <c r="AY219" i="3"/>
  <c r="AY397" i="3"/>
  <c r="AY374" i="3"/>
  <c r="AY360" i="3"/>
  <c r="BH6" i="3"/>
  <c r="AY109" i="3"/>
  <c r="AY73" i="3"/>
  <c r="AY56"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160" i="3"/>
  <c r="AY183" i="3"/>
  <c r="AY284" i="3"/>
  <c r="AY319" i="3"/>
  <c r="AY497" i="3"/>
  <c r="AY212" i="3"/>
  <c r="AY478" i="3"/>
  <c r="AY573" i="3"/>
  <c r="AY100" i="3"/>
  <c r="AY60" i="3"/>
  <c r="AY206" i="3"/>
  <c r="AY170" i="3"/>
  <c r="AY149" i="3"/>
  <c r="AY299" i="3"/>
  <c r="AY263" i="3"/>
  <c r="AY246" i="3"/>
  <c r="AY392" i="3"/>
  <c r="AY357" i="3"/>
  <c r="BJ6" i="3"/>
  <c r="AY41" i="3"/>
  <c r="AY202" i="3"/>
  <c r="AY166" i="3"/>
  <c r="AY145" i="3"/>
  <c r="AY295" i="3"/>
  <c r="AY259" i="3"/>
  <c r="AY242" i="3"/>
  <c r="AY388" i="3"/>
  <c r="AY353" i="3"/>
  <c r="AY333" i="3"/>
  <c r="AY348" i="3"/>
  <c r="AY316" i="3"/>
  <c r="AY475" i="3"/>
  <c r="AY472" i="3"/>
  <c r="AY462" i="3"/>
  <c r="AY430" i="3"/>
  <c r="AY398" i="3"/>
  <c r="AY411" i="3"/>
  <c r="BQ6" i="3"/>
  <c r="AY585" i="3"/>
  <c r="AY534" i="3"/>
  <c r="AY571"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289" i="3"/>
  <c r="AY209" i="3"/>
  <c r="AY116" i="3"/>
  <c r="AY417" i="3"/>
  <c r="AY45" i="3"/>
  <c r="AY201" i="3"/>
  <c r="AY118" i="3"/>
  <c r="AY231" i="3"/>
  <c r="AY381" i="3"/>
  <c r="AY104" i="3"/>
  <c r="AY197" i="3"/>
  <c r="AY114" i="3"/>
  <c r="AY274" i="3"/>
  <c r="AY377" i="3"/>
  <c r="AY317" i="3"/>
  <c r="AY491" i="3"/>
  <c r="AY457" i="3"/>
  <c r="AY414" i="3"/>
  <c r="AY581" i="3"/>
  <c r="AY561" i="3"/>
  <c r="AY546"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413" i="3"/>
  <c r="AY521" i="3"/>
  <c r="AY15" i="3"/>
  <c r="AY566" i="3"/>
  <c r="AY583" i="3"/>
  <c r="BT6" i="3"/>
  <c r="AY567" i="3"/>
  <c r="AY98" i="3"/>
  <c r="AY261" i="3"/>
  <c r="AY455" i="3"/>
  <c r="AY343" i="3"/>
  <c r="AY539" i="3"/>
  <c r="AY28" i="3"/>
  <c r="AY138" i="3"/>
  <c r="AY294" i="3"/>
  <c r="AY214" i="3"/>
  <c r="AY554" i="3"/>
  <c r="AY24" i="3"/>
  <c r="AY177" i="3"/>
  <c r="AY290" i="3"/>
  <c r="AY210" i="3"/>
  <c r="AY349" i="3"/>
  <c r="AY332" i="3"/>
  <c r="AY488" i="3"/>
  <c r="AY446" i="3"/>
  <c r="AY427" i="3"/>
  <c r="BM6" i="3"/>
  <c r="BF6"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29" i="3"/>
  <c r="AY550" i="3"/>
  <c r="BD6" i="3"/>
  <c r="BC6" i="3"/>
  <c r="AY511" i="3"/>
  <c r="AY504" i="3"/>
  <c r="AY586" i="3"/>
  <c r="AY498" i="3"/>
  <c r="AY87" i="3"/>
  <c r="AY51" i="3"/>
  <c r="AY34" i="3"/>
  <c r="AY207" i="3"/>
  <c r="AY67" i="3"/>
  <c r="AY196" i="3"/>
  <c r="AY144" i="3"/>
  <c r="AY124" i="3"/>
  <c r="AY95" i="3"/>
  <c r="AY42" i="3"/>
  <c r="AY152" i="3"/>
  <c r="AY281" i="3"/>
  <c r="AY111" i="3"/>
  <c r="AY168" i="3"/>
  <c r="AY253"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83" i="3"/>
  <c r="AY66" i="3"/>
  <c r="AY23" i="3"/>
  <c r="AY103" i="3"/>
  <c r="AY50"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236" i="3"/>
  <c r="AY61" i="3"/>
  <c r="S10" i="40"/>
  <c r="K19" i="6"/>
  <c r="S6" i="1" s="1"/>
  <c r="K20" i="6"/>
  <c r="M20" i="6" s="1"/>
  <c r="I20" i="6" s="1"/>
  <c r="K26" i="6"/>
  <c r="M26" i="6" s="1"/>
  <c r="I26" i="6" s="1"/>
  <c r="K24" i="6"/>
  <c r="M24" i="6" s="1"/>
  <c r="I24" i="6" s="1"/>
  <c r="K21" i="6"/>
  <c r="M21" i="6" s="1"/>
  <c r="I21" i="6" s="1"/>
  <c r="K25" i="6"/>
  <c r="M25" i="6" s="1"/>
  <c r="I25" i="6" s="1"/>
  <c r="E31" i="6"/>
  <c r="K22" i="6"/>
  <c r="M22" i="6" s="1"/>
  <c r="I22" i="6" s="1"/>
  <c r="K23" i="6"/>
  <c r="M23" i="6" s="1"/>
  <c r="I23" i="6" s="1"/>
  <c r="C115" i="43"/>
  <c r="D113" i="43"/>
  <c r="U10" i="40"/>
  <c r="F50" i="69"/>
  <c r="F50" i="11"/>
  <c r="F50" i="68"/>
  <c r="C38" i="11"/>
  <c r="C35" i="11"/>
  <c r="C15" i="12"/>
  <c r="C12" i="12"/>
  <c r="C47" i="11"/>
  <c r="D45" i="11" s="1"/>
  <c r="C29" i="11"/>
  <c r="D27" i="11" s="1"/>
  <c r="C28" i="11"/>
  <c r="C27" i="11" s="1"/>
  <c r="F45" i="68"/>
  <c r="C47" i="68"/>
  <c r="D45" i="68" s="1"/>
  <c r="C29" i="68"/>
  <c r="D27" i="68" s="1"/>
  <c r="AC10" i="40"/>
  <c r="F45" i="69"/>
  <c r="C29" i="69"/>
  <c r="D27" i="69" s="1"/>
  <c r="C47" i="69"/>
  <c r="D45" i="69" s="1"/>
  <c r="G67" i="39"/>
  <c r="F69" i="39"/>
  <c r="E29" i="43"/>
  <c r="E39" i="43"/>
  <c r="G39" i="43"/>
  <c r="I39" i="43" s="1"/>
  <c r="C35" i="43"/>
  <c r="C36" i="43"/>
  <c r="C37" i="43"/>
  <c r="C33" i="43"/>
  <c r="C34" i="43"/>
  <c r="C38" i="4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0" i="71"/>
  <c r="C9" i="71"/>
  <c r="C8" i="71"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20" i="15"/>
  <c r="C26" i="15" s="1"/>
  <c r="F41" i="15"/>
  <c r="F69" i="15" l="1"/>
  <c r="J29" i="15"/>
  <c r="AQ6" i="1"/>
  <c r="AR6" i="1"/>
  <c r="T6" i="1"/>
  <c r="T16" i="1" s="1"/>
  <c r="S16" i="1"/>
  <c r="D10" i="68"/>
  <c r="D20" i="12"/>
  <c r="C20" i="12" s="1"/>
  <c r="D10" i="69"/>
  <c r="D10" i="11"/>
  <c r="C10" i="11" s="1"/>
  <c r="D19" i="6"/>
  <c r="D26" i="6"/>
  <c r="C18" i="4"/>
  <c r="D8" i="6"/>
  <c r="D23" i="6"/>
  <c r="D14" i="6"/>
  <c r="D9" i="6"/>
  <c r="D10" i="6"/>
  <c r="L19" i="9"/>
  <c r="D29" i="6"/>
  <c r="M19" i="9"/>
  <c r="C118" i="9" s="1"/>
  <c r="C14" i="74" s="1"/>
  <c r="B2" i="74" s="1"/>
  <c r="D25" i="6"/>
  <c r="D15" i="6"/>
  <c r="D22" i="6"/>
  <c r="D21" i="6"/>
  <c r="D24" i="6"/>
  <c r="D20" i="6"/>
  <c r="D5" i="6"/>
  <c r="D11" i="6"/>
  <c r="D13" i="6"/>
  <c r="D28" i="6"/>
  <c r="E61" i="40"/>
  <c r="D12" i="6"/>
  <c r="D6" i="6"/>
  <c r="C7" i="74"/>
  <c r="D17" i="12"/>
  <c r="C17" i="12" s="1"/>
  <c r="C14" i="12"/>
  <c r="C16" i="12" s="1"/>
  <c r="S23" i="6"/>
  <c r="H23" i="6"/>
  <c r="R23" i="6" s="1"/>
  <c r="S21" i="6"/>
  <c r="H21" i="6"/>
  <c r="R21" i="6" s="1"/>
  <c r="S26" i="6"/>
  <c r="H26" i="6"/>
  <c r="R26" i="6" s="1"/>
  <c r="K27" i="6"/>
  <c r="M19" i="6"/>
  <c r="S22" i="6"/>
  <c r="H22" i="6"/>
  <c r="S25" i="6"/>
  <c r="H25" i="6"/>
  <c r="S24" i="6"/>
  <c r="H24" i="6"/>
  <c r="S20" i="6"/>
  <c r="H20" i="6"/>
  <c r="R20" i="6" s="1"/>
  <c r="C33" i="11"/>
  <c r="C39" i="11" s="1"/>
  <c r="C46" i="11" s="1"/>
  <c r="C45" i="11" s="1"/>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D8" i="71"/>
  <c r="C7" i="71"/>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9" i="71"/>
  <c r="F41" i="68"/>
  <c r="C60" i="15"/>
  <c r="C66" i="15"/>
  <c r="C23" i="15"/>
  <c r="C29" i="15" s="1"/>
  <c r="C26" i="69"/>
  <c r="D22" i="69" s="1"/>
  <c r="C44" i="69"/>
  <c r="D41" i="69" s="1"/>
  <c r="C44" i="68"/>
  <c r="D41" i="68" s="1"/>
  <c r="C26" i="68"/>
  <c r="D22" i="68" s="1"/>
  <c r="C26" i="12"/>
  <c r="D25" i="12" s="1"/>
  <c r="C44" i="11"/>
  <c r="D41" i="11" s="1"/>
  <c r="C23" i="11"/>
  <c r="C24" i="11"/>
  <c r="C25" i="11"/>
  <c r="C26" i="11"/>
  <c r="D22" i="11" s="1"/>
  <c r="C38" i="67"/>
  <c r="C38" i="15"/>
  <c r="C66" i="67"/>
  <c r="C60" i="67"/>
  <c r="C23" i="67"/>
  <c r="C29" i="67" s="1"/>
  <c r="E6" i="76"/>
  <c r="B6" i="76"/>
  <c r="C42" i="11" l="1"/>
  <c r="R24" i="6"/>
  <c r="R25" i="6"/>
  <c r="R22" i="6"/>
  <c r="D16" i="6"/>
  <c r="D30" i="6"/>
  <c r="D7" i="74"/>
  <c r="A7" i="51"/>
  <c r="B7" i="72" s="1"/>
  <c r="C4" i="52"/>
  <c r="B45" i="72" s="1"/>
  <c r="A10" i="51"/>
  <c r="B9" i="72" s="1"/>
  <c r="D27" i="6"/>
  <c r="C10" i="69"/>
  <c r="C8" i="69" s="1"/>
  <c r="C5" i="69" s="1"/>
  <c r="C23" i="69" s="1"/>
  <c r="D19" i="69"/>
  <c r="D19" i="68"/>
  <c r="C10" i="68"/>
  <c r="B29" i="1" s="1"/>
  <c r="C8" i="68" s="1"/>
  <c r="M27" i="6"/>
  <c r="I19" i="6"/>
  <c r="C43" i="11"/>
  <c r="H69" i="39"/>
  <c r="I67" i="39"/>
  <c r="E2" i="76"/>
  <c r="D7" i="71"/>
  <c r="C6" i="71"/>
  <c r="C5" i="71" s="1"/>
  <c r="D5" i="71" s="1"/>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J14" i="15"/>
  <c r="C57" i="15"/>
  <c r="C61" i="15" s="1"/>
  <c r="C36" i="15"/>
  <c r="C33" i="15"/>
  <c r="C13" i="15"/>
  <c r="Q49" i="15"/>
  <c r="J19" i="15"/>
  <c r="J59" i="15"/>
  <c r="J60" i="15" s="1"/>
  <c r="C22" i="11"/>
  <c r="C31" i="11" s="1"/>
  <c r="C36" i="67"/>
  <c r="C33" i="67"/>
  <c r="C31" i="67" s="1"/>
  <c r="J14" i="67"/>
  <c r="C13" i="67"/>
  <c r="J19" i="67"/>
  <c r="J17" i="67" s="1"/>
  <c r="C57" i="67"/>
  <c r="C61" i="67" s="1"/>
  <c r="Q49" i="67"/>
  <c r="J59" i="67"/>
  <c r="J60" i="67" s="1"/>
  <c r="C41" i="11" l="1"/>
  <c r="C49" i="11" s="1"/>
  <c r="C51" i="11" s="1"/>
  <c r="C52" i="11" s="1"/>
  <c r="B2" i="11" s="1"/>
  <c r="B3" i="11" s="1"/>
  <c r="C18" i="12"/>
  <c r="C21" i="12" s="1"/>
  <c r="C22" i="12" s="1"/>
  <c r="D37" i="69"/>
  <c r="C37" i="69" s="1"/>
  <c r="C33" i="69" s="1"/>
  <c r="C19" i="69"/>
  <c r="D31" i="6"/>
  <c r="D37" i="68"/>
  <c r="C37" i="68" s="1"/>
  <c r="C33" i="68" s="1"/>
  <c r="C19" i="68"/>
  <c r="H19" i="6"/>
  <c r="I27" i="6"/>
  <c r="S19" i="6"/>
  <c r="S27" i="6" s="1"/>
  <c r="I69" i="39"/>
  <c r="J67" i="39"/>
  <c r="B3" i="76"/>
  <c r="D6" i="71"/>
  <c r="M20" i="43"/>
  <c r="I63" i="40"/>
  <c r="H65" i="40"/>
  <c r="I58" i="21"/>
  <c r="J58" i="21" s="1"/>
  <c r="K58" i="21" s="1"/>
  <c r="L58" i="21" s="1"/>
  <c r="M58" i="21" s="1"/>
  <c r="N58" i="21" s="1"/>
  <c r="O58" i="21" s="1"/>
  <c r="H7" i="21" s="1"/>
  <c r="J7" i="21"/>
  <c r="F7" i="21"/>
  <c r="J48" i="35"/>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L51" i="67"/>
  <c r="C27" i="12" l="1"/>
  <c r="C25" i="12" s="1"/>
  <c r="C30" i="12"/>
  <c r="C28" i="12" s="1"/>
  <c r="C39" i="68"/>
  <c r="C42" i="68"/>
  <c r="C20" i="69"/>
  <c r="C25" i="69" s="1"/>
  <c r="C24" i="69"/>
  <c r="C24" i="68"/>
  <c r="I6" i="6"/>
  <c r="I5" i="6"/>
  <c r="C42" i="69"/>
  <c r="C39" i="69"/>
  <c r="H27" i="6"/>
  <c r="R19" i="6"/>
  <c r="J69" i="39"/>
  <c r="K67" i="39"/>
  <c r="U7" i="21"/>
  <c r="AB7" i="21"/>
  <c r="T48" i="21" s="1"/>
  <c r="G48" i="21" s="1"/>
  <c r="S7" i="21"/>
  <c r="AA7" i="21"/>
  <c r="R48" i="21" s="1"/>
  <c r="J63" i="40"/>
  <c r="I65" i="40"/>
  <c r="K48" i="35"/>
  <c r="L48" i="35" s="1"/>
  <c r="M48" i="35" s="1"/>
  <c r="N48" i="35" s="1"/>
  <c r="O48" i="35" s="1"/>
  <c r="H7" i="35" s="1"/>
  <c r="J7" i="35"/>
  <c r="AC7" i="21"/>
  <c r="V48" i="21" s="1"/>
  <c r="I48" i="21" s="1"/>
  <c r="W7" i="21"/>
  <c r="C56" i="11"/>
  <c r="C57" i="11" s="1"/>
  <c r="J16" i="67"/>
  <c r="J25" i="67" s="1"/>
  <c r="C80" i="67"/>
  <c r="C79" i="67" s="1"/>
  <c r="C58" i="67"/>
  <c r="C67" i="67" s="1"/>
  <c r="C68" i="67" s="1"/>
  <c r="Q69" i="67"/>
  <c r="Q68" i="67" s="1"/>
  <c r="C40" i="67"/>
  <c r="C22" i="69" l="1"/>
  <c r="C32" i="12"/>
  <c r="B2" i="12" s="1"/>
  <c r="B3" i="12" s="1"/>
  <c r="R27" i="6"/>
  <c r="R6" i="1"/>
  <c r="C43" i="69"/>
  <c r="C41" i="69" s="1"/>
  <c r="C46" i="69"/>
  <c r="C45" i="69" s="1"/>
  <c r="C28" i="69"/>
  <c r="C27" i="69" s="1"/>
  <c r="C46" i="68"/>
  <c r="C45" i="68" s="1"/>
  <c r="C43" i="68"/>
  <c r="C41" i="68" s="1"/>
  <c r="L67" i="39"/>
  <c r="K69" i="39"/>
  <c r="W7" i="35"/>
  <c r="AC7" i="35"/>
  <c r="V38" i="35" s="1"/>
  <c r="I38" i="35" s="1"/>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F35" i="15"/>
  <c r="M21" i="15"/>
  <c r="C31" i="69" l="1"/>
  <c r="F63" i="15"/>
  <c r="C62" i="15" s="1"/>
  <c r="C59" i="15" s="1"/>
  <c r="C58" i="15" s="1"/>
  <c r="C67" i="15" s="1"/>
  <c r="C68" i="15" s="1"/>
  <c r="C34" i="15"/>
  <c r="C31" i="15" s="1"/>
  <c r="C30" i="15" s="1"/>
  <c r="C39" i="15" s="1"/>
  <c r="J20" i="15"/>
  <c r="J17" i="15" s="1"/>
  <c r="J16" i="15" s="1"/>
  <c r="J25" i="15" s="1"/>
  <c r="R16" i="1"/>
  <c r="C49" i="68"/>
  <c r="C51" i="68" s="1"/>
  <c r="C49" i="69"/>
  <c r="C51" i="69"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L51" i="15"/>
  <c r="C52" i="69" l="1"/>
  <c r="B2" i="69" s="1"/>
  <c r="B3" i="69" s="1"/>
  <c r="L57" i="15"/>
  <c r="L60" i="15" s="1"/>
  <c r="Q67" i="15"/>
  <c r="C40" i="15"/>
  <c r="C46" i="15" s="1"/>
  <c r="C80" i="15"/>
  <c r="C79" i="15" s="1"/>
  <c r="Q69" i="15"/>
  <c r="Q68" i="15" s="1"/>
  <c r="C71" i="15"/>
  <c r="M69" i="39"/>
  <c r="N67" i="39"/>
  <c r="R39" i="35"/>
  <c r="E38" i="35"/>
  <c r="M63" i="40"/>
  <c r="L65" i="40"/>
  <c r="C57" i="69" l="1"/>
  <c r="C56" i="69" s="1"/>
  <c r="Q65" i="15"/>
  <c r="Q47" i="15"/>
  <c r="Q53" i="15" s="1"/>
  <c r="Q56" i="15"/>
  <c r="C43" i="15"/>
  <c r="C83" i="15"/>
  <c r="C82" i="15" s="1"/>
  <c r="L46" i="15"/>
  <c r="B2" i="15" s="1"/>
  <c r="Q57" i="15"/>
  <c r="Q66" i="15"/>
  <c r="O67" i="39"/>
  <c r="O69" i="39" s="1"/>
  <c r="N69" i="39"/>
  <c r="F7" i="39"/>
  <c r="C39" i="35"/>
  <c r="B2" i="35" s="1"/>
  <c r="B3" i="35" s="1"/>
  <c r="C38" i="35"/>
  <c r="N63" i="40"/>
  <c r="M65" i="40"/>
  <c r="E43" i="35"/>
  <c r="F43" i="35" s="1"/>
  <c r="E42" i="35"/>
  <c r="F42" i="35" s="1"/>
  <c r="I43" i="35"/>
  <c r="J43" i="35" s="1"/>
  <c r="D19" i="9"/>
  <c r="AO6" i="1"/>
  <c r="Q62" i="15" l="1"/>
  <c r="D102" i="9"/>
  <c r="D21" i="9"/>
  <c r="Q75" i="15"/>
  <c r="B6" i="70"/>
  <c r="B2" i="70" s="1"/>
  <c r="B3" i="70" s="1"/>
  <c r="B3" i="15"/>
  <c r="H7" i="39"/>
  <c r="J7" i="39"/>
  <c r="S7" i="39"/>
  <c r="AA7" i="39"/>
  <c r="R47" i="39" s="1"/>
  <c r="O63" i="40"/>
  <c r="O65" i="40" s="1"/>
  <c r="N65" i="40"/>
  <c r="D20" i="9"/>
  <c r="D103" i="9" l="1"/>
  <c r="W7" i="39"/>
  <c r="AC7" i="39"/>
  <c r="V47" i="39" s="1"/>
  <c r="I47" i="39" s="1"/>
  <c r="E47" i="39"/>
  <c r="R48" i="39"/>
  <c r="U7" i="39"/>
  <c r="AB7" i="39"/>
  <c r="T47" i="39" s="1"/>
  <c r="G47" i="39" s="1"/>
  <c r="J7" i="40"/>
  <c r="F7" i="40"/>
  <c r="H7" i="40"/>
  <c r="G51" i="39" l="1"/>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56" i="39" l="1"/>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C6" i="68" l="1"/>
  <c r="C7" i="68" l="1"/>
  <c r="C5" i="68" s="1"/>
  <c r="C23" i="68" l="1"/>
  <c r="C20" i="68"/>
  <c r="C25" i="68" s="1"/>
  <c r="C22" i="68" l="1"/>
  <c r="C28" i="68"/>
  <c r="C27" i="68" s="1"/>
  <c r="C31" i="68" l="1"/>
  <c r="C52" i="68" s="1"/>
  <c r="B2" i="68" s="1"/>
  <c r="C19" i="9"/>
  <c r="C57" i="68" l="1"/>
  <c r="C56" i="68" s="1"/>
  <c r="C102" i="9"/>
  <c r="C21" i="9"/>
  <c r="D22" i="9"/>
  <c r="G19" i="9"/>
  <c r="G21" i="9" s="1"/>
  <c r="B3" i="68"/>
  <c r="D35" i="9"/>
  <c r="D34" i="9"/>
  <c r="C20" i="9"/>
  <c r="C103" i="9" l="1"/>
  <c r="G20" i="9"/>
  <c r="C32" i="9" s="1"/>
  <c r="C35" i="9" l="1"/>
  <c r="H118" i="9"/>
  <c r="H119" i="9" l="1"/>
  <c r="H5" i="52" s="1"/>
  <c r="C104" i="9"/>
  <c r="H101" i="9"/>
  <c r="H4" i="52"/>
  <c r="I118" i="9"/>
  <c r="D14" i="74"/>
  <c r="C34" i="9"/>
  <c r="D118" i="9" s="1"/>
  <c r="F118" i="9"/>
  <c r="F4" i="52" l="1"/>
  <c r="B51" i="72" s="1"/>
  <c r="G118" i="9"/>
  <c r="G4" i="52" s="1"/>
  <c r="B52" i="72" s="1"/>
  <c r="F119" i="9"/>
  <c r="F5" i="52" s="1"/>
  <c r="B53" i="72" s="1"/>
  <c r="D119" i="9"/>
  <c r="D5" i="52" s="1"/>
  <c r="B49" i="72" s="1"/>
  <c r="D4" i="52"/>
  <c r="B47" i="72" s="1"/>
  <c r="M48" i="9"/>
  <c r="H107" i="9"/>
  <c r="M49" i="9" s="1"/>
  <c r="D5" i="53"/>
  <c r="D45" i="9"/>
  <c r="F14" i="74"/>
  <c r="B5" i="74"/>
  <c r="E14" i="74"/>
  <c r="I4" i="52"/>
  <c r="C105" i="9"/>
  <c r="E118" i="9"/>
  <c r="E4" i="52" s="1"/>
  <c r="B48" i="72" s="1"/>
  <c r="H102" i="9"/>
  <c r="D7" i="53" s="1"/>
  <c r="B21" i="72" s="1"/>
  <c r="L68" i="9" l="1"/>
  <c r="M68" i="9" s="1"/>
  <c r="L63" i="9"/>
  <c r="M63" i="9" s="1"/>
  <c r="L65" i="9"/>
  <c r="M65" i="9" s="1"/>
  <c r="L64" i="9"/>
  <c r="M64" i="9" s="1"/>
  <c r="L67" i="9"/>
  <c r="M67" i="9" s="1"/>
  <c r="L66" i="9"/>
  <c r="M66" i="9" s="1"/>
  <c r="C5" i="74"/>
  <c r="D5" i="74"/>
  <c r="D13" i="53"/>
  <c r="D122" i="9"/>
  <c r="H108" i="9"/>
  <c r="D15" i="53" s="1"/>
  <c r="B31" i="72" s="1"/>
  <c r="D6" i="53"/>
  <c r="B22" i="72" s="1"/>
  <c r="B20" i="72"/>
  <c r="D55" i="9"/>
  <c r="M53" i="9" s="1"/>
  <c r="C78" i="9"/>
  <c r="C73" i="9" s="1"/>
  <c r="C64" i="9"/>
  <c r="C63" i="9" s="1"/>
  <c r="C67" i="9" s="1"/>
  <c r="C72" i="9"/>
  <c r="D52" i="9"/>
  <c r="C85" i="9"/>
  <c r="D53" i="9"/>
  <c r="C93" i="9"/>
  <c r="C86" i="9" s="1"/>
  <c r="M69" i="9" l="1"/>
  <c r="N69" i="9" s="1"/>
  <c r="C79" i="9"/>
  <c r="C95" i="9"/>
  <c r="G14" i="74"/>
  <c r="B6" i="74" s="1"/>
  <c r="D8" i="52"/>
  <c r="D123" i="9"/>
  <c r="D9" i="52" s="1"/>
  <c r="B30" i="72"/>
  <c r="D14" i="53"/>
  <c r="B32" i="72" s="1"/>
  <c r="C68" i="9"/>
  <c r="D54" i="9" s="1"/>
  <c r="D59" i="9"/>
  <c r="M55" i="9" s="1"/>
  <c r="C80" i="9" l="1"/>
  <c r="E80" i="9" s="1"/>
  <c r="E81" i="9" s="1"/>
  <c r="D6" i="74"/>
  <c r="C6" i="74"/>
  <c r="C96" i="9"/>
  <c r="E96" i="9" s="1"/>
  <c r="E97" i="9" s="1"/>
  <c r="C97" i="9" l="1"/>
  <c r="D58" i="9" s="1"/>
  <c r="D56" i="9" s="1"/>
  <c r="M54" i="9" s="1"/>
  <c r="N57" i="9" s="1"/>
  <c r="P57" i="9" s="1"/>
  <c r="C81" i="9"/>
  <c r="N59" i="9" l="1"/>
  <c r="H111" i="9" s="1"/>
  <c r="N58" i="9"/>
  <c r="N60" i="9" l="1"/>
  <c r="N61" i="9"/>
  <c r="H112" i="9" s="1"/>
  <c r="D21" i="53" s="1"/>
  <c r="B39" i="72" s="1"/>
  <c r="D126" i="9"/>
  <c r="D19" i="53"/>
  <c r="I14" i="74" l="1"/>
  <c r="B8" i="74" s="1"/>
  <c r="D12" i="52"/>
  <c r="D127" i="9"/>
  <c r="D13" i="52" s="1"/>
  <c r="B38" i="72"/>
  <c r="D20" i="53"/>
  <c r="B40" i="72" s="1"/>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<sst xmlns="http://schemas.openxmlformats.org/spreadsheetml/2006/main" count="7425" uniqueCount="3205">
  <si>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</si>
  <si>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</si>
  <si>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</si>
  <si>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</si>
  <si>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</si>
  <si>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</si>
  <si>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</si>
  <si>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</si>
  <si>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</si>
  <si>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</si>
  <si>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</si>
  <si>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</si>
  <si>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</si>
  <si>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</si>
  <si>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</si>
  <si>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</si>
  <si>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</si>
  <si>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</si>
  <si>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</si>
  <si>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</si>
  <si>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</si>
  <si>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</si>
  <si>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</si>
  <si>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</si>
  <si>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</si>
  <si>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</si>
  <si>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</si>
  <si>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</si>
  <si>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</si>
  <si>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</si>
  <si>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</si>
  <si>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</si>
  <si>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</si>
  <si>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</si>
  <si>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</si>
  <si>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</si>
  <si>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</si>
  <si>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</si>
  <si>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</si>
  <si>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</si>
  <si>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</si>
  <si>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</si>
  <si>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</si>
  <si>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</si>
  <si>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</si>
  <si>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</si>
  <si>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</si>
  <si>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</si>
  <si>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</si>
  <si>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</si>
  <si>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</si>
  <si>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</si>
  <si>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</si>
  <si>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</si>
  <si>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</si>
  <si>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</si>
  <si>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</si>
  <si>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</si>
  <si>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</si>
  <si>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</si>
  <si>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</si>
  <si>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</si>
  <si>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</si>
  <si>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</si>
  <si>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</si>
  <si>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</si>
  <si>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</si>
  <si>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</si>
  <si>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</si>
  <si>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</si>
  <si>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</si>
  <si>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</si>
  <si>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</si>
  <si>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</si>
  <si>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</si>
  <si>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</si>
  <si>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</si>
  <si>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</si>
  <si>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</si>
  <si>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</si>
  <si>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</si>
  <si>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</si>
  <si>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</si>
  <si>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</si>
  <si>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</si>
  <si>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</si>
  <si>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</si>
  <si>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</si>
  <si>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</si>
  <si>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</si>
  <si>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</si>
  <si>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</si>
  <si>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</si>
  <si>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</si>
  <si>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</si>
  <si>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</si>
  <si>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</si>
  <si>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</si>
  <si>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</si>
  <si>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</si>
  <si>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</si>
  <si>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</si>
  <si>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</si>
  <si>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</si>
  <si>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</si>
  <si>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</si>
  <si>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</si>
  <si>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</si>
  <si>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</si>
  <si>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</si>
  <si>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</si>
  <si>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</si>
  <si>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</si>
  <si>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</si>
  <si>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</si>
  <si>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</si>
  <si>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</si>
  <si>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</si>
  <si>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</si>
  <si>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</si>
  <si>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</si>
  <si>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</si>
  <si>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</si>
  <si>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</si>
  <si>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</si>
  <si>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</si>
  <si>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</si>
  <si>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</si>
  <si>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</si>
  <si>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</si>
  <si>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</si>
  <si>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</si>
  <si>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</si>
  <si>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</si>
  <si>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</si>
  <si>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</si>
  <si>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</si>
  <si>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</si>
  <si>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</si>
  <si>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</si>
  <si>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</si>
  <si>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</si>
  <si>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</si>
  <si>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</si>
  <si>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</si>
  <si>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</si>
  <si>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</si>
  <si>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</si>
  <si>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</si>
  <si>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</si>
  <si>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</si>
  <si>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</si>
  <si>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</si>
  <si>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</si>
  <si>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</si>
  <si>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</si>
  <si>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</si>
  <si>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</si>
  <si>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</si>
  <si>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</si>
  <si>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</si>
  <si>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</si>
  <si>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</si>
  <si>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</si>
  <si>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</si>
  <si>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</si>
  <si>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</si>
  <si>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</si>
  <si>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</si>
  <si>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</si>
  <si>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</si>
  <si>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</si>
  <si>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</si>
  <si>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</si>
  <si>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</si>
  <si>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</si>
  <si>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</si>
  <si>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</si>
  <si>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</si>
  <si>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</si>
  <si>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</si>
  <si>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</si>
  <si>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</si>
  <si>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</si>
  <si>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</si>
  <si>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</si>
  <si>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</si>
  <si>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</si>
  <si>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</si>
  <si>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</si>
  <si>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</si>
  <si>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</si>
  <si>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</si>
  <si>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</si>
  <si>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</si>
  <si>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</si>
  <si>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</si>
  <si>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</si>
  <si>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</si>
  <si>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</si>
  <si>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</si>
  <si>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</si>
  <si>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</si>
  <si>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</si>
  <si>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</si>
  <si>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</si>
  <si>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</si>
  <si>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</si>
  <si>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</si>
  <si>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</si>
  <si>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</si>
  <si>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</si>
  <si>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</si>
  <si>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</si>
  <si>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</si>
  <si>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</si>
  <si>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</si>
  <si>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</si>
  <si>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</si>
  <si>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</si>
  <si>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</si>
  <si>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</si>
  <si>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</si>
  <si>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</si>
  <si>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</si>
  <si>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</si>
  <si>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</si>
  <si>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</si>
  <si>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</si>
  <si>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</si>
  <si>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</si>
  <si>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</si>
  <si>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</si>
  <si>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</si>
  <si>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</si>
  <si>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</si>
  <si>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</si>
  <si>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</si>
  <si>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</si>
  <si>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</si>
  <si>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</si>
  <si>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</si>
  <si>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</si>
  <si>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</si>
  <si>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</si>
  <si>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</si>
  <si>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</si>
  <si>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</si>
  <si>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</si>
  <si>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</si>
  <si>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</si>
  <si>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</si>
  <si>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</si>
  <si>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</si>
  <si>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</si>
  <si>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</si>
  <si>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</si>
  <si>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</si>
  <si>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</si>
  <si>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</si>
  <si>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</si>
  <si>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</si>
  <si>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</si>
  <si>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</si>
  <si>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</si>
  <si>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</si>
  <si>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</si>
  <si>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</si>
  <si>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</si>
  <si>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</si>
  <si>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</si>
  <si>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</si>
  <si>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</si>
  <si>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</si>
  <si>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</si>
  <si>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</si>
  <si>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</si>
  <si>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</si>
  <si>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</si>
  <si>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</si>
  <si>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</si>
  <si>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</si>
  <si>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</si>
  <si>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</si>
  <si>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</si>
  <si>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</si>
  <si>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</si>
  <si>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</si>
  <si>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</si>
  <si>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</si>
  <si>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</si>
  <si>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</si>
  <si>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</si>
  <si>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</si>
  <si>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</si>
  <si>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</si>
  <si>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</si>
  <si>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</si>
  <si>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</si>
  <si>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</si>
  <si>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</si>
  <si>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</si>
  <si>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</si>
  <si>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</si>
  <si>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</si>
  <si>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</si>
  <si>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</si>
  <si>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</si>
  <si>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</si>
  <si>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</si>
  <si>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</si>
  <si>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</si>
  <si>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</si>
  <si>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</si>
  <si>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</si>
  <si>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</si>
  <si>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</si>
  <si>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</si>
  <si>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</si>
  <si>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</si>
  <si>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</si>
  <si>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</si>
  <si>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</si>
  <si>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</si>
  <si>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</si>
  <si>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</si>
  <si>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</si>
  <si>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</si>
  <si>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</si>
  <si>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</si>
  <si>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</si>
  <si>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</si>
  <si>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</si>
  <si>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</si>
  <si>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</si>
  <si>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</si>
  <si>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</si>
  <si>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</si>
  <si>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</si>
  <si>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</si>
  <si>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</si>
  <si>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</si>
  <si>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</si>
  <si>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</si>
  <si>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</si>
  <si>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</si>
  <si>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</si>
  <si>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</si>
  <si>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</si>
  <si>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</si>
  <si>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</si>
  <si>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</si>
  <si>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</si>
  <si>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</si>
  <si>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</si>
  <si>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</si>
  <si>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</si>
  <si>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</si>
  <si>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</si>
  <si>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</si>
  <si>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</si>
  <si>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</si>
  <si>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</si>
  <si>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</si>
  <si>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</si>
  <si>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</si>
  <si>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</si>
  <si>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</si>
  <si>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</si>
  <si>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</si>
  <si>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</si>
  <si>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</si>
  <si>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</si>
  <si>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</si>
  <si>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</si>
  <si>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</si>
  <si>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</si>
  <si>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</si>
  <si>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</si>
  <si>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</si>
  <si>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</si>
  <si>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</si>
  <si>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</si>
  <si>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</si>
  <si>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</si>
  <si>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</si>
  <si>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</si>
  <si>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</si>
  <si>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</si>
  <si>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</si>
  <si>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</si>
  <si>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</si>
  <si>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</si>
  <si>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</si>
  <si>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</si>
  <si>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</si>
  <si>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</si>
  <si>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</si>
  <si>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</si>
  <si>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</si>
  <si>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</si>
  <si>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</si>
  <si>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</si>
  <si>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</si>
  <si>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</si>
  <si>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</si>
  <si>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</si>
  <si>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</si>
  <si>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</si>
  <si>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</si>
  <si>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</si>
  <si>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</si>
  <si>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</si>
  <si>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</si>
  <si>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</si>
  <si>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</si>
  <si>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</si>
  <si>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</si>
  <si>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</si>
  <si>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</si>
  <si>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</si>
  <si>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</si>
  <si>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</si>
  <si>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</si>
  <si>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</si>
  <si>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</si>
  <si>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</si>
  <si>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</si>
  <si>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</si>
  <si>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</si>
  <si>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</si>
  <si>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</si>
  <si>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</si>
  <si>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</si>
  <si>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</si>
  <si>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</si>
  <si>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</si>
  <si>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</si>
  <si>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</si>
  <si>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</si>
  <si>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</si>
  <si>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</si>
  <si>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</si>
  <si>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</si>
  <si>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</si>
  <si>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</si>
  <si>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</si>
  <si>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</si>
  <si>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</si>
  <si>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</si>
  <si>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</si>
  <si>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</si>
  <si>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</si>
  <si>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</si>
  <si>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</si>
  <si>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</si>
  <si>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</si>
  <si>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</si>
  <si>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</si>
  <si>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</si>
  <si>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</si>
  <si>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</si>
  <si>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</si>
  <si>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</si>
  <si>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</si>
  <si>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</si>
  <si>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</si>
  <si>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</si>
  <si>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</si>
  <si>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</si>
  <si>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</si>
  <si>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</si>
  <si>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</si>
  <si>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</si>
  <si>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</si>
  <si>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</si>
  <si>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</si>
  <si>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</si>
  <si>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</si>
  <si>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</si>
  <si>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</si>
  <si>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</si>
  <si>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</si>
  <si>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</si>
  <si>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</si>
  <si>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</si>
  <si>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</si>
  <si>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</si>
  <si>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</si>
  <si>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</si>
  <si>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</si>
  <si>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</si>
  <si>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</si>
  <si>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</si>
  <si>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</si>
  <si>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</si>
  <si>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</si>
  <si>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</si>
  <si>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</si>
  <si>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</si>
  <si>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</si>
  <si>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</si>
  <si>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</si>
  <si>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</si>
  <si>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</si>
  <si>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</si>
  <si>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</si>
  <si>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</si>
  <si>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</si>
  <si>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</si>
  <si>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</si>
  <si>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</si>
  <si>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</si>
  <si>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</si>
  <si>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</si>
  <si>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</si>
  <si>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</si>
  <si>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</si>
  <si>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</si>
  <si>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</si>
  <si>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</si>
  <si>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</si>
  <si>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</si>
  <si>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</si>
  <si>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</si>
  <si>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</si>
  <si>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</si>
  <si>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</si>
  <si>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</si>
  <si>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</si>
  <si>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</si>
  <si>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</si>
  <si>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</si>
  <si>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</si>
  <si>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</si>
  <si>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</si>
  <si>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</si>
  <si>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</si>
  <si>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</si>
  <si>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</si>
  <si>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</si>
  <si>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</si>
  <si>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</si>
  <si>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</si>
  <si>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</si>
  <si>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</si>
  <si>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</si>
  <si>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</si>
  <si>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</si>
  <si>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</si>
  <si>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</si>
  <si>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</si>
  <si>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</si>
  <si>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</si>
  <si>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</si>
  <si>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</si>
  <si>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</si>
  <si>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</si>
  <si>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</si>
  <si>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</si>
  <si>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</si>
  <si>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</si>
  <si>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</si>
  <si>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</si>
  <si>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</si>
  <si>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</si>
  <si>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</si>
  <si>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</si>
  <si>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</si>
  <si>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</si>
  <si>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</si>
  <si>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</si>
  <si>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</si>
  <si>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</si>
  <si>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</si>
  <si>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</si>
  <si>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</si>
  <si>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</si>
  <si>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</si>
  <si>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</si>
  <si>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</si>
  <si>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</si>
  <si>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</si>
  <si>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</si>
  <si>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</si>
  <si>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</si>
  <si>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</si>
  <si>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</si>
  <si>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</si>
  <si>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</si>
  <si>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</si>
  <si>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</si>
  <si>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</si>
  <si>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</si>
  <si>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</si>
  <si>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</si>
  <si>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</si>
  <si>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</si>
  <si>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</si>
  <si>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</si>
  <si>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</si>
  <si>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</si>
  <si>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</si>
  <si>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</si>
  <si>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</si>
  <si>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</si>
  <si>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</si>
  <si>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</si>
  <si>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</si>
  <si>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</si>
  <si>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</si>
  <si>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</si>
  <si>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</si>
  <si>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</si>
  <si>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</si>
  <si>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</si>
  <si>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</si>
  <si>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</si>
  <si>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</si>
  <si>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</si>
  <si>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</si>
  <si>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</si>
  <si>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</si>
  <si>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</si>
  <si>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</si>
  <si>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</si>
  <si>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</si>
  <si>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</si>
  <si>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</si>
  <si>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</si>
  <si>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</si>
  <si>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</si>
  <si>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</si>
  <si>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</si>
  <si>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</si>
  <si>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</si>
  <si>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</si>
  <si>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</si>
  <si>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</si>
  <si>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</si>
  <si>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</si>
  <si>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</si>
  <si>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</si>
  <si>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</si>
  <si>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</si>
  <si>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</si>
  <si>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</si>
  <si>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</si>
  <si>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</si>
  <si>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</si>
  <si>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</si>
  <si>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</si>
  <si>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</si>
  <si>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</si>
  <si>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</si>
  <si>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</si>
  <si>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</si>
  <si>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</si>
  <si>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</si>
  <si>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</si>
  <si>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</si>
  <si>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</si>
  <si>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</si>
  <si>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</si>
  <si>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</si>
  <si>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</si>
  <si>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</si>
  <si>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</si>
  <si>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</si>
  <si>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</si>
  <si>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</si>
  <si>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</si>
  <si>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</si>
  <si>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</si>
  <si>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</si>
  <si>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</si>
  <si>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</si>
  <si>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</si>
  <si>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</si>
  <si>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</si>
  <si>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</si>
  <si>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</si>
  <si>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</si>
  <si>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</si>
  <si>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</si>
  <si>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</si>
  <si>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</si>
  <si>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</si>
  <si>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</si>
  <si>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</si>
  <si>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</si>
  <si>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</si>
  <si>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</si>
  <si>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</si>
  <si>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</si>
  <si>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</si>
  <si>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</si>
  <si>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</si>
  <si>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</si>
  <si>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</si>
  <si>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</si>
  <si>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</si>
  <si>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</si>
  <si>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</si>
  <si>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</si>
  <si>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</si>
  <si>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</si>
  <si>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</si>
  <si>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</si>
  <si>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</si>
  <si>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</si>
  <si>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</si>
  <si>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</si>
  <si>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</si>
  <si>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</si>
  <si>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</si>
  <si>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</si>
  <si>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</si>
  <si>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</si>
  <si>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</si>
  <si>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</si>
  <si>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</si>
  <si>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</si>
  <si>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</si>
  <si>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</si>
  <si>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</si>
  <si>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</si>
  <si>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</si>
  <si>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</si>
  <si>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</si>
  <si>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</si>
  <si>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</si>
  <si>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</si>
  <si>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</si>
  <si>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</si>
  <si>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</si>
  <si>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</si>
  <si>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</si>
  <si>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</si>
  <si>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</si>
  <si>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</si>
  <si>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</si>
  <si>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</si>
  <si>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</si>
  <si>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</si>
  <si>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</si>
  <si>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</si>
  <si>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</si>
  <si>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</si>
  <si>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</si>
  <si>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</si>
  <si>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</si>
  <si>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</si>
  <si>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</si>
  <si>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</si>
  <si>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</si>
  <si>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</si>
  <si>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</si>
  <si>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</si>
  <si>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</si>
  <si>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</si>
  <si>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</si>
  <si>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</si>
  <si>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</si>
  <si>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</si>
  <si>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</si>
  <si>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</si>
  <si>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</si>
  <si>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</si>
  <si>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</si>
  <si>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</si>
  <si>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</si>
  <si>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</si>
  <si>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</si>
  <si>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</si>
  <si>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</si>
  <si>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</si>
  <si>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</si>
  <si>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</si>
  <si>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</si>
  <si>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</si>
  <si>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</si>
  <si>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</si>
  <si>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</si>
  <si>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</si>
  <si>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</si>
  <si>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</si>
  <si>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</si>
  <si>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</si>
  <si>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</si>
  <si>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</si>
  <si>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</si>
  <si>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</si>
  <si>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</si>
  <si>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</si>
  <si>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</si>
  <si>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</si>
  <si>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</si>
  <si>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</si>
  <si>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</si>
  <si>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</si>
  <si>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</si>
  <si>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</si>
  <si>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</si>
  <si>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</si>
  <si>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</si>
  <si>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</si>
  <si>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</si>
  <si>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</si>
  <si>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</si>
  <si>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</si>
  <si>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</si>
  <si>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</si>
  <si>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</si>
  <si>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</si>
  <si>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</si>
  <si>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</si>
  <si>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</si>
  <si>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</si>
  <si>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</si>
  <si>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</si>
  <si>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</si>
  <si>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</si>
  <si>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</si>
  <si>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</si>
  <si>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</si>
  <si>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</si>
  <si>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</si>
  <si>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</si>
  <si>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</si>
  <si>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</si>
  <si>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</si>
  <si>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</si>
  <si>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</si>
  <si>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</si>
  <si>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</si>
  <si>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</si>
  <si>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</si>
  <si>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</si>
  <si>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</si>
  <si>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</si>
  <si>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</si>
  <si>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</si>
  <si>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</si>
  <si>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</si>
  <si>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</si>
  <si>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</si>
  <si>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</si>
  <si>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</si>
  <si>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</si>
  <si>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</si>
  <si>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</si>
  <si>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</si>
  <si>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</si>
  <si>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</si>
  <si>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</si>
  <si>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</si>
  <si>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</si>
  <si>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</si>
  <si>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</si>
  <si>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</si>
  <si>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</si>
  <si>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</si>
  <si>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</si>
  <si>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</si>
  <si>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</si>
  <si>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</si>
  <si>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</si>
  <si>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</si>
  <si>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</si>
  <si>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</si>
  <si>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</si>
  <si>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</si>
  <si>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</si>
  <si>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</si>
  <si>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</si>
  <si>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</si>
  <si>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</si>
  <si>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</si>
  <si>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</si>
  <si>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</si>
  <si>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</si>
  <si>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</si>
  <si>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</si>
  <si>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</si>
  <si>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</si>
  <si>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</si>
  <si>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</si>
  <si>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</si>
  <si>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</si>
  <si>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</si>
  <si>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</si>
  <si>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</si>
  <si>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</si>
  <si>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</si>
  <si>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</si>
  <si>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</si>
  <si>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</si>
  <si>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</si>
  <si>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</si>
  <si>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</si>
  <si>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</si>
  <si>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</si>
  <si>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</si>
  <si>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</si>
  <si>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</si>
  <si>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</si>
  <si>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</si>
  <si>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</si>
  <si>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</si>
  <si>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</si>
  <si>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</si>
  <si>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</si>
  <si>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</si>
  <si>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</si>
  <si>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</si>
  <si>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</si>
  <si>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</si>
  <si>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</si>
  <si>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</si>
  <si>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</si>
  <si>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</si>
  <si>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</si>
  <si>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</si>
  <si>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</si>
  <si>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</si>
  <si>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</si>
  <si>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</si>
  <si>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</si>
  <si>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</si>
  <si>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</si>
  <si>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</si>
  <si>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</si>
  <si>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</si>
  <si>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</si>
  <si>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</si>
  <si>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</si>
  <si>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</si>
  <si>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</si>
  <si>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</si>
  <si>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</si>
  <si>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</si>
  <si>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</si>
  <si>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</si>
  <si>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</si>
  <si>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</si>
  <si>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</si>
  <si>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</si>
  <si>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</si>
  <si>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</si>
  <si>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</si>
  <si>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</si>
  <si>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</si>
  <si>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</si>
  <si>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</si>
  <si>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</si>
  <si>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</si>
  <si>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</si>
  <si>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</si>
  <si>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</si>
  <si>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</si>
  <si>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</si>
  <si>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</si>
  <si>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</si>
  <si>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</si>
  <si>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</si>
  <si>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</si>
  <si>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</si>
  <si>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</si>
  <si>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</si>
  <si>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</si>
  <si>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</si>
  <si>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</si>
  <si>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</si>
  <si>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</si>
  <si>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</si>
  <si>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</si>
  <si>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</si>
  <si>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</si>
  <si>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</si>
  <si>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</si>
  <si>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</si>
  <si>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</si>
  <si>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</si>
  <si>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</si>
  <si>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</si>
  <si>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</si>
  <si>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</si>
  <si>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</si>
  <si>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</si>
  <si>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</si>
  <si>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</si>
  <si>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</si>
  <si>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</si>
  <si>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</si>
  <si>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</si>
  <si>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</si>
  <si>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</si>
  <si>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</si>
  <si>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</si>
  <si>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</si>
  <si>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</si>
  <si>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</si>
  <si>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</si>
  <si>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</si>
  <si>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</si>
  <si>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</si>
  <si>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</si>
  <si>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</si>
  <si>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</si>
  <si>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</si>
  <si>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</si>
  <si>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</si>
  <si>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</si>
  <si>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</si>
  <si>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</si>
  <si>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</si>
  <si>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</si>
  <si>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</si>
  <si>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</si>
  <si>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</si>
  <si>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</si>
  <si>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</si>
  <si>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</si>
  <si>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</si>
  <si>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</si>
  <si>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</si>
  <si>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</si>
  <si>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</si>
  <si>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</si>
  <si>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</si>
  <si>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</si>
  <si>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</si>
  <si>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</si>
  <si>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</si>
  <si>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</si>
  <si>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</si>
  <si>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</si>
  <si>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</si>
  <si>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</si>
  <si>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</si>
  <si>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</si>
  <si>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</si>
  <si>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</si>
  <si>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</si>
  <si>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</si>
  <si>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</si>
  <si>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</si>
  <si>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</si>
  <si>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</si>
  <si>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</si>
  <si>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</si>
  <si>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</si>
  <si>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</si>
  <si>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</si>
  <si>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</si>
  <si>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</si>
  <si>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</si>
  <si>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</si>
  <si>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</si>
  <si>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</si>
  <si>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</si>
  <si>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</si>
  <si>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</si>
  <si>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</si>
  <si>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</si>
  <si>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</si>
  <si>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</si>
  <si>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</si>
  <si>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</si>
  <si>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</si>
  <si>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</si>
  <si>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</si>
  <si>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</si>
  <si>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</si>
  <si>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</si>
  <si>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</si>
  <si>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</si>
  <si>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</si>
  <si>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</si>
  <si>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</si>
  <si>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</si>
  <si>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</si>
  <si>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</si>
  <si>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</si>
  <si>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</si>
  <si>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</si>
  <si>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</si>
  <si>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</si>
  <si>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</si>
  <si>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</si>
  <si>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</si>
  <si>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</si>
  <si>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</si>
  <si>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</si>
  <si>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</si>
  <si>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</si>
  <si>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</si>
  <si>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</si>
  <si>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</si>
  <si>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</si>
  <si>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</si>
  <si>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</si>
  <si>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</si>
  <si>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</si>
  <si>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</si>
  <si>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</si>
  <si>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</si>
  <si>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</si>
  <si>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</si>
  <si>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</si>
  <si>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</si>
  <si>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</si>
  <si>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</si>
  <si>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</si>
  <si>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</si>
  <si>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</si>
  <si>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</si>
  <si>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</si>
  <si>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</si>
  <si>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</si>
  <si>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</si>
  <si>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</si>
  <si>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</si>
  <si>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</si>
  <si>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</si>
  <si>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</si>
  <si>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</si>
  <si>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</si>
  <si>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</si>
  <si>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</si>
  <si>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</si>
  <si>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</si>
  <si>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</si>
  <si>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</si>
  <si>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</si>
  <si>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</si>
  <si>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</si>
  <si>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</si>
  <si>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</si>
  <si>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</si>
  <si>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</si>
  <si>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</si>
  <si>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</si>
  <si>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</si>
  <si>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</si>
  <si>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</si>
  <si>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</si>
  <si>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</si>
  <si>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</si>
  <si>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</si>
  <si>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</si>
  <si>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</si>
  <si>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</si>
  <si>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</si>
  <si>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</si>
  <si>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</si>
  <si>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</si>
  <si>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</si>
  <si>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</si>
  <si>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</si>
  <si>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</si>
  <si>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</si>
  <si>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</si>
  <si>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</si>
  <si>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</si>
  <si>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</si>
  <si>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</si>
  <si>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</si>
  <si>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</si>
  <si>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</si>
  <si>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</si>
  <si>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</si>
  <si>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</si>
  <si>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</si>
  <si>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</si>
  <si>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</si>
  <si>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</si>
  <si>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</si>
  <si>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</si>
  <si>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</si>
  <si>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</si>
  <si>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</si>
  <si>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</si>
  <si>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</si>
  <si>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</si>
  <si>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</si>
  <si>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</si>
  <si>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</si>
  <si>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</si>
  <si>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</si>
  <si>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</si>
  <si>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</si>
  <si>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</si>
  <si>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</si>
  <si>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</si>
  <si>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</si>
  <si>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</si>
  <si>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</si>
  <si>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</si>
  <si>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</si>
  <si>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</si>
  <si>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</si>
  <si>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</si>
  <si>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</si>
  <si>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</si>
  <si>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</si>
  <si>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</si>
  <si>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</si>
  <si>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</si>
  <si>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</si>
  <si>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</si>
  <si>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</si>
  <si>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</si>
  <si>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</si>
  <si>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</si>
  <si>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</si>
  <si>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</si>
  <si>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</si>
  <si>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</si>
  <si>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</si>
  <si>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</si>
  <si>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</si>
  <si>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</si>
  <si>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</si>
  <si>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</si>
  <si>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</si>
  <si>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</si>
  <si>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</si>
  <si>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</si>
  <si>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</si>
  <si>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</si>
  <si>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</si>
  <si>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</si>
  <si>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</si>
  <si>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</si>
  <si>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</si>
  <si>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</si>
  <si>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</si>
  <si>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</si>
  <si>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</si>
  <si>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</si>
  <si>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</si>
  <si>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</si>
  <si>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</si>
  <si>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</si>
  <si>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</si>
  <si>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</si>
  <si>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</si>
  <si>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</si>
  <si>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</si>
  <si>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</si>
  <si>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</si>
  <si>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</si>
  <si>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</si>
  <si>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</si>
  <si>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</si>
  <si>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</si>
  <si>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</si>
  <si>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</si>
  <si>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</si>
  <si>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</si>
  <si>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</si>
  <si>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</si>
  <si>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</si>
  <si>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</si>
  <si>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</si>
  <si>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</si>
  <si>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</si>
  <si>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</si>
  <si>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</si>
  <si>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</si>
  <si>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</si>
  <si>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</si>
  <si>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</si>
  <si>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</si>
  <si>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</si>
  <si>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</si>
  <si>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</si>
  <si>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</si>
  <si>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</si>
  <si>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</si>
  <si>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</si>
  <si>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</si>
  <si>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</si>
  <si>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</si>
  <si>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</si>
  <si>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</si>
  <si>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</si>
  <si>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</si>
  <si>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</si>
  <si>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</si>
  <si>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</si>
  <si>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</si>
  <si>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</si>
  <si>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</si>
  <si>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</si>
  <si>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</si>
  <si>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</si>
  <si>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</si>
  <si>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</si>
  <si>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</si>
  <si>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</si>
  <si>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</si>
  <si>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</si>
  <si>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</si>
  <si>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</si>
  <si>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</si>
  <si>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</si>
  <si>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</si>
  <si>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</si>
  <si>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</si>
  <si>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</si>
  <si>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</si>
  <si>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</si>
  <si>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</si>
  <si>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</si>
  <si>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</si>
  <si>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</si>
  <si>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</si>
  <si>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</si>
  <si>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</si>
  <si>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</si>
  <si>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</si>
  <si>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</si>
  <si>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</si>
  <si>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</si>
  <si>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</si>
  <si>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</si>
  <si>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</si>
  <si>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</si>
  <si>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</si>
  <si>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</si>
  <si>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</si>
  <si>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</si>
  <si>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</si>
  <si>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</si>
  <si>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</si>
  <si>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</si>
  <si>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</si>
  <si>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</si>
  <si>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</si>
  <si>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</si>
  <si>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</si>
  <si>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</si>
  <si>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</si>
  <si>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</si>
  <si>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</si>
  <si>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</si>
  <si>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</si>
  <si>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</si>
  <si>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</si>
  <si>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</si>
  <si>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</si>
  <si>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</si>
  <si>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</si>
  <si>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</si>
  <si>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</si>
  <si>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</si>
  <si>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</si>
  <si>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</si>
  <si>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</si>
  <si>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</si>
  <si>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</si>
  <si>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</si>
  <si>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</si>
  <si>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</si>
  <si>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</si>
  <si>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</si>
  <si>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</si>
  <si>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</si>
  <si>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</si>
  <si>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</si>
  <si>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</si>
  <si>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</si>
  <si>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</si>
  <si>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</si>
  <si>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</si>
  <si>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</si>
  <si>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</si>
  <si>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</si>
  <si>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</si>
  <si>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</si>
  <si>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</si>
  <si>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</si>
  <si>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</si>
  <si>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</si>
  <si>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</si>
  <si>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</si>
  <si>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</si>
  <si>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</si>
  <si>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</si>
  <si>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</si>
  <si>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</si>
  <si>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</si>
  <si>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</si>
  <si>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</si>
  <si>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</si>
  <si>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</si>
  <si>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</si>
  <si>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</si>
  <si>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</si>
  <si>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</si>
  <si>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</si>
  <si>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</si>
  <si>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</si>
  <si>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</si>
  <si>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</si>
  <si>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</si>
  <si>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</si>
  <si>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</si>
  <si>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</si>
  <si>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</si>
  <si>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</si>
  <si>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</si>
  <si>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</si>
  <si>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</si>
  <si>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</si>
  <si>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</si>
  <si>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</si>
  <si>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</si>
  <si>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</si>
  <si>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</si>
  <si>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</si>
  <si>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</si>
  <si>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</si>
  <si>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</si>
  <si>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</si>
  <si>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</si>
  <si>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</si>
  <si>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</si>
  <si>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</si>
  <si>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</si>
  <si>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</si>
  <si>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</si>
  <si>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</si>
  <si>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</si>
  <si>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</si>
  <si>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</si>
  <si>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</si>
  <si>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</si>
  <si>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</si>
  <si>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</si>
  <si>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</si>
  <si>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</si>
  <si>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</si>
  <si>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</si>
  <si>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</si>
  <si>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</si>
  <si>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</si>
  <si>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</si>
  <si>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</si>
  <si>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</si>
  <si>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</si>
  <si>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</si>
  <si>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</si>
  <si>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</si>
  <si>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</si>
  <si>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</si>
  <si>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</si>
  <si>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</si>
  <si>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</si>
  <si>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</si>
  <si>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</si>
  <si>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</si>
  <si>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</si>
  <si>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</si>
  <si>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</si>
  <si>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</si>
  <si>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</si>
  <si>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</si>
  <si>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</si>
  <si>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</si>
  <si>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</si>
  <si>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</si>
  <si>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</si>
  <si>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</si>
  <si>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</si>
  <si>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</si>
  <si>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</si>
  <si>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</si>
  <si>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</si>
  <si>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</si>
  <si>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</si>
  <si>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</si>
  <si>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</si>
  <si>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</si>
  <si>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</si>
  <si>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</si>
  <si>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</si>
  <si>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</si>
  <si>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</si>
  <si>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</si>
  <si>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</si>
  <si>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</si>
  <si>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</si>
  <si>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</si>
  <si>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</si>
  <si>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</si>
  <si>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</si>
  <si>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</si>
  <si>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</si>
  <si>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</si>
  <si>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</si>
  <si>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</si>
  <si>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</si>
  <si>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</si>
  <si>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</si>
  <si>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</si>
  <si>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</si>
  <si>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</si>
  <si>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</si>
  <si>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</si>
  <si>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</si>
  <si>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</si>
  <si>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</si>
  <si>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</si>
  <si>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</si>
  <si>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</si>
  <si>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</si>
  <si>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</si>
  <si>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</si>
  <si>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</si>
  <si>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</si>
  <si>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</si>
  <si>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</si>
  <si>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</si>
  <si>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</si>
  <si>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</si>
  <si>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</si>
  <si>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</si>
  <si>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</si>
  <si>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</si>
  <si>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</si>
  <si>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</si>
  <si>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</si>
  <si>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</si>
  <si>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</si>
  <si>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</si>
  <si>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</si>
  <si>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</si>
  <si>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</si>
  <si>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</si>
  <si>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</si>
  <si>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</si>
  <si>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</si>
  <si>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</si>
  <si>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</si>
  <si>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</si>
  <si>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</si>
  <si>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</si>
  <si>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</si>
  <si>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</si>
  <si>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</si>
  <si>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</si>
  <si>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</si>
  <si>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</si>
  <si>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</si>
  <si>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</si>
  <si>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</si>
  <si>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</si>
  <si>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</si>
  <si>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</si>
  <si>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</si>
  <si>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</si>
  <si>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</si>
  <si>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</si>
  <si>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</si>
  <si>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</si>
  <si>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</si>
  <si>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</si>
  <si>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</si>
  <si>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</si>
  <si>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</si>
  <si>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</si>
  <si>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</si>
  <si>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</si>
  <si>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</si>
  <si>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</si>
  <si>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</si>
  <si>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</si>
  <si>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</si>
  <si>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</si>
  <si>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</si>
  <si>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</si>
  <si>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</si>
  <si>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</si>
  <si>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</si>
  <si>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</si>
  <si>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</si>
  <si>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</si>
  <si>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</si>
  <si>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</si>
  <si>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</si>
  <si>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</si>
  <si>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</si>
  <si>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</si>
  <si>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</si>
  <si>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</si>
  <si>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</si>
  <si>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</si>
  <si>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</si>
  <si>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</si>
  <si>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</si>
  <si>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</si>
  <si>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</si>
  <si>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</si>
  <si>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</si>
  <si>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</si>
  <si>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</si>
  <si>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</si>
  <si>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</si>
  <si>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</si>
  <si>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</si>
  <si>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</si>
  <si>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</si>
  <si>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</si>
  <si>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</si>
  <si>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</si>
  <si>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</si>
  <si>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</si>
  <si>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</si>
  <si>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</si>
  <si>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</si>
  <si>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</si>
  <si>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</si>
  <si>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</si>
  <si>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</si>
  <si>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</si>
  <si>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</si>
  <si>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</si>
  <si>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</si>
  <si>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</si>
  <si>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</si>
  <si>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</si>
  <si>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</si>
  <si>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</si>
  <si>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</si>
  <si>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</si>
  <si>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</si>
  <si>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</si>
  <si>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</si>
  <si>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</si>
  <si>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</si>
  <si>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</si>
  <si>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</si>
  <si>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</si>
  <si>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</si>
  <si>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</si>
  <si>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</si>
  <si>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</si>
  <si>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</si>
  <si>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</si>
  <si>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</si>
  <si>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</si>
  <si>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</si>
  <si>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</si>
  <si>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</si>
  <si>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</si>
  <si>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</si>
  <si>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</si>
  <si>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</si>
  <si>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</si>
  <si>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</si>
  <si>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</si>
  <si>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</si>
  <si>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</si>
  <si>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</si>
  <si>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</si>
  <si>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</si>
  <si>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</si>
  <si>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</si>
  <si>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</si>
  <si>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</si>
  <si>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</si>
  <si>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</si>
  <si>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</si>
  <si>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</si>
  <si>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</si>
  <si>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</si>
  <si>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</si>
  <si>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</si>
  <si>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</si>
  <si>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</si>
  <si>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</si>
  <si>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</si>
  <si>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</si>
  <si>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</si>
  <si>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</si>
  <si>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</si>
  <si>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</si>
  <si>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</si>
  <si>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</si>
  <si>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</si>
  <si>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</si>
  <si>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</si>
  <si>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</si>
  <si>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</si>
  <si>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</si>
  <si>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</si>
  <si>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</si>
  <si>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</si>
  <si>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</si>
  <si>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</si>
  <si>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</si>
  <si>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</si>
  <si>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</si>
  <si>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</si>
  <si>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</si>
  <si>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</si>
  <si>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</si>
  <si>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</si>
  <si>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</si>
  <si>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</si>
  <si>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</si>
  <si>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</si>
  <si>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</si>
  <si>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</si>
  <si>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</si>
  <si>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</si>
  <si>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</si>
  <si>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</si>
  <si>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</si>
  <si>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</si>
  <si>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</si>
  <si>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</si>
  <si>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</si>
  <si>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</si>
  <si>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</si>
  <si>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</si>
  <si>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</si>
  <si>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</si>
  <si>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</si>
  <si>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</si>
  <si>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</si>
  <si>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</si>
  <si>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</si>
  <si>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</si>
  <si>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</si>
  <si>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</si>
  <si>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</si>
  <si>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</si>
  <si>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</si>
  <si>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</si>
  <si>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</si>
  <si>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</si>
  <si>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</si>
  <si>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</si>
  <si>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</si>
  <si>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</si>
  <si>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</si>
  <si>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</si>
  <si>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</si>
  <si>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</si>
  <si>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</si>
  <si>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</si>
  <si>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</si>
  <si>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</si>
  <si>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</si>
  <si>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</si>
  <si>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</si>
  <si>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</si>
  <si>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</si>
  <si>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</si>
  <si>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</si>
  <si>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</si>
  <si>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</si>
  <si>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</si>
  <si>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</si>
  <si>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</si>
  <si>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</si>
  <si>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</si>
  <si>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</si>
  <si>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</si>
  <si>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</si>
  <si>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</si>
  <si>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</si>
  <si>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</si>
  <si>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</si>
  <si>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</si>
  <si>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</si>
  <si>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</si>
  <si>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</si>
  <si>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</si>
  <si>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</si>
  <si>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</si>
  <si>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</si>
  <si>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</si>
  <si>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</si>
  <si>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</si>
  <si>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</si>
  <si>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</si>
  <si>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</si>
  <si>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</si>
  <si>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</si>
  <si>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</si>
  <si>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</si>
  <si>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</si>
  <si>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</si>
  <si>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</si>
  <si>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</si>
  <si>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</si>
  <si>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</si>
  <si>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</si>
  <si>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</si>
  <si>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</si>
  <si>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</si>
  <si>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</si>
  <si>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</si>
  <si>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</si>
  <si>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</si>
  <si>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</si>
  <si>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</si>
  <si>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</si>
  <si>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</si>
  <si>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</si>
  <si>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</si>
  <si>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</si>
  <si>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</si>
  <si>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</si>
  <si>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</si>
  <si>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</si>
  <si>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</si>
  <si>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</si>
  <si>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</si>
  <si>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</si>
  <si>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</si>
  <si>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</si>
  <si>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</si>
  <si>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</si>
  <si>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</si>
  <si>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</si>
  <si>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</si>
  <si>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</si>
  <si>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</si>
  <si>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</si>
  <si>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</si>
  <si>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</si>
  <si>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</si>
  <si>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</si>
  <si>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</si>
  <si>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</si>
  <si>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</si>
  <si>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</si>
  <si>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</si>
  <si>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</si>
  <si>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</si>
  <si>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</si>
  <si>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</si>
  <si>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</si>
  <si>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</si>
  <si>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</si>
  <si>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</si>
  <si>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</si>
  <si>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</si>
  <si>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</si>
  <si>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</si>
  <si>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</si>
  <si>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</si>
  <si>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</si>
  <si>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</si>
  <si>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</si>
  <si>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</si>
  <si>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</si>
  <si>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</si>
  <si>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</si>
  <si>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</si>
  <si>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</si>
  <si>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</si>
  <si>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</si>
  <si>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</si>
  <si>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</si>
  <si>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</si>
  <si>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</si>
  <si>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</si>
  <si>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</si>
  <si>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</si>
  <si>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</si>
  <si>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</si>
  <si>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</si>
  <si>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</si>
  <si>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</si>
  <si>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</si>
  <si>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</si>
  <si>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</si>
  <si>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</si>
  <si>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</si>
  <si>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</si>
  <si>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</si>
  <si>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</si>
  <si>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</si>
  <si>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</si>
  <si>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</si>
  <si>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</si>
  <si>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</si>
  <si>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</si>
  <si>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</si>
  <si>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</si>
  <si>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</si>
  <si>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</si>
  <si>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</si>
  <si>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</si>
  <si>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</si>
  <si>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</si>
  <si>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</si>
  <si>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</si>
  <si>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</si>
  <si>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</si>
  <si>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</si>
  <si>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</si>
  <si>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</si>
  <si>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</si>
  <si>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</si>
  <si>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</si>
  <si>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</si>
  <si>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</si>
  <si>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</si>
  <si>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</si>
  <si>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</si>
  <si>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</si>
  <si>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</si>
  <si>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</si>
  <si>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</si>
  <si>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</si>
  <si>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</si>
  <si>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</si>
  <si>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</si>
  <si>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</si>
  <si>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</si>
  <si>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</si>
  <si>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</si>
  <si>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</si>
  <si>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</si>
  <si>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</si>
  <si>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</si>
  <si>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</si>
  <si>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</si>
  <si>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</si>
  <si>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</si>
  <si>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</si>
  <si>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</si>
  <si>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</si>
  <si>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</si>
  <si>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</si>
  <si>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</si>
  <si>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</si>
  <si>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</si>
  <si>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</si>
  <si>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</si>
  <si>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</si>
  <si>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</si>
  <si>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</si>
  <si>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</si>
  <si>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</si>
  <si>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</si>
  <si>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</si>
  <si>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</si>
  <si>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</si>
  <si>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</si>
  <si>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</si>
  <si>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</si>
  <si>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</si>
  <si>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</si>
  <si>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</si>
  <si>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</si>
  <si>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</si>
  <si>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</si>
  <si>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</si>
  <si>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</si>
  <si>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</si>
  <si>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</si>
  <si>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</si>
  <si>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</si>
  <si>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</si>
  <si>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</si>
  <si>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</si>
  <si>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</si>
  <si>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</si>
  <si>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</si>
  <si>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</si>
  <si>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</si>
  <si>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</si>
  <si>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</si>
  <si>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</si>
  <si>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</si>
  <si>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</si>
  <si>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</si>
  <si>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</si>
  <si>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</si>
  <si>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</si>
  <si>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</si>
  <si>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</si>
  <si>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</si>
  <si>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</si>
  <si>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</si>
  <si>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</si>
  <si>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</si>
  <si>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</si>
  <si>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</si>
  <si>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</si>
  <si>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</si>
  <si>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</si>
  <si>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</si>
  <si>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</si>
  <si>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</si>
  <si>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</si>
  <si>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</si>
  <si>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</si>
  <si>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</si>
  <si>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</si>
  <si>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</si>
  <si>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</si>
  <si>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</si>
  <si>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</si>
  <si>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</si>
  <si>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</si>
  <si>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</si>
  <si>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</si>
  <si>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</si>
  <si>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</si>
  <si>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</si>
  <si>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</si>
  <si>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</si>
  <si>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</si>
  <si>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</si>
  <si>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</si>
  <si>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</si>
  <si>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</si>
  <si>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</si>
  <si>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</si>
  <si>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</si>
  <si>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</si>
  <si>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</si>
  <si>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</si>
  <si>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</si>
  <si>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</si>
  <si>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</si>
  <si>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</si>
  <si>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</si>
  <si>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</si>
  <si>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</si>
  <si>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</si>
  <si>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</si>
  <si>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</si>
  <si>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</si>
  <si>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</si>
  <si>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</si>
  <si>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</si>
  <si>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</si>
  <si>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</si>
  <si>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</si>
  <si>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</si>
  <si>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</si>
  <si>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</si>
  <si>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</si>
  <si>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</si>
  <si>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</si>
  <si>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</si>
  <si>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</si>
  <si>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</si>
  <si>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</si>
  <si>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</si>
  <si>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</si>
  <si>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</si>
  <si>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</si>
  <si>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</si>
  <si>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</si>
  <si>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</si>
  <si>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</si>
  <si>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</si>
  <si>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</si>
  <si>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</si>
  <si>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</si>
  <si>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</si>
  <si>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</si>
  <si>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</si>
  <si>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</si>
  <si>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</si>
  <si>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</si>
  <si>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</si>
  <si>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</si>
  <si>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</si>
  <si>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</si>
  <si>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</si>
  <si>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</si>
  <si>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</si>
  <si>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</si>
  <si>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</si>
  <si>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</si>
  <si>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</si>
  <si>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</si>
  <si>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</si>
  <si>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</si>
  <si>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</si>
  <si>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</si>
  <si>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</si>
  <si>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</si>
  <si>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</si>
  <si>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</si>
  <si>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</si>
  <si>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</si>
  <si>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</si>
  <si>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</si>
  <si>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</si>
  <si>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</si>
  <si>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</si>
  <si>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</si>
  <si>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</si>
  <si>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</si>
  <si>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</si>
  <si>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</si>
  <si>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</si>
  <si>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</si>
  <si>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</si>
  <si>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</si>
  <si>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</si>
  <si>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</si>
  <si>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</si>
  <si>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</si>
  <si>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</si>
  <si>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</si>
  <si>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</si>
  <si>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</si>
  <si>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</si>
  <si>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</si>
  <si>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</si>
  <si>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</si>
  <si>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</si>
  <si>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</si>
  <si>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</si>
  <si>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</si>
  <si>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</si>
  <si>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</si>
  <si>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</si>
  <si>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</si>
  <si>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</si>
  <si>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</si>
  <si>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</si>
  <si>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</si>
  <si>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</si>
  <si>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</si>
  <si>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</si>
  <si>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</si>
  <si>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</si>
  <si>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</si>
  <si>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</si>
  <si>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</si>
  <si>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</si>
  <si>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</si>
  <si>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</si>
  <si>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</si>
  <si>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</si>
  <si>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</si>
  <si>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</si>
  <si>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</si>
  <si>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</si>
  <si>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</si>
  <si>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</si>
  <si>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</si>
  <si>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</si>
  <si>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</si>
  <si>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</si>
  <si>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</si>
  <si>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</si>
  <si>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</si>
  <si>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</si>
  <si>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</si>
  <si>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</si>
  <si>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</si>
  <si>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</si>
  <si>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</si>
  <si>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</si>
  <si>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</si>
  <si>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</si>
  <si>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</si>
  <si>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</si>
  <si>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</si>
  <si>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</si>
  <si>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</si>
  <si>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</si>
  <si>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</si>
  <si>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</si>
  <si>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</si>
  <si>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</si>
  <si>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</si>
  <si>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</si>
  <si>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</si>
  <si>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</si>
  <si>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</si>
  <si>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</si>
  <si>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</si>
  <si>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</si>
  <si>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</si>
  <si>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</si>
  <si>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</si>
  <si>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</si>
  <si>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</si>
  <si>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</si>
  <si>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</si>
  <si>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</si>
  <si>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</si>
  <si>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</si>
  <si>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</si>
  <si>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</si>
  <si>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</si>
  <si>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</si>
  <si>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</si>
  <si>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</si>
  <si>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</si>
  <si>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</si>
  <si>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</si>
  <si>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</si>
  <si>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</si>
  <si>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</si>
  <si>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</si>
  <si>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</si>
  <si>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</si>
  <si>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</si>
  <si>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</si>
  <si>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</si>
  <si>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</si>
  <si>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</si>
  <si>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</si>
  <si>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</si>
  <si>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</si>
  <si>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</si>
  <si>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</si>
  <si>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</si>
  <si>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</si>
  <si>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</si>
  <si>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</si>
  <si>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</si>
  <si>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</si>
  <si>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</si>
  <si>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</si>
  <si>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</si>
  <si>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</si>
  <si>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</si>
  <si>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</si>
  <si>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</si>
  <si>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</si>
  <si>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</si>
  <si>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</si>
  <si>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</si>
  <si>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</si>
  <si>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</si>
  <si>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</si>
  <si>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</si>
  <si>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</si>
  <si>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</si>
  <si>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</si>
  <si>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</si>
  <si>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</si>
  <si>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</si>
  <si>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</si>
  <si>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</si>
  <si>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</si>
  <si>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</si>
  <si>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</si>
  <si>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</si>
  <si>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</si>
  <si>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</si>
  <si>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</si>
  <si>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</si>
  <si>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</si>
  <si>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</si>
  <si>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</si>
  <si>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</si>
  <si>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</si>
  <si>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</si>
  <si>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</si>
  <si>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</si>
  <si>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</si>
  <si>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</si>
  <si>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</si>
  <si>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</si>
  <si>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</si>
  <si>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</si>
  <si>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</si>
  <si>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</si>
  <si>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</si>
  <si>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</si>
  <si>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</si>
  <si>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</si>
  <si>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</si>
  <si>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</si>
  <si>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</si>
  <si>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</si>
  <si>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</si>
  <si>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</si>
  <si>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</si>
  <si>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</si>
  <si>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</si>
  <si>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</si>
  <si>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</si>
  <si>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</si>
  <si>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</si>
  <si>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</si>
  <si>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</si>
  <si>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</si>
  <si>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</si>
  <si>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</si>
  <si>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</si>
  <si>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</si>
  <si>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</si>
  <si>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</si>
  <si>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</si>
  <si>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</si>
  <si>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</si>
  <si>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</si>
  <si>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</si>
  <si>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</si>
  <si>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</si>
  <si>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</si>
  <si>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</si>
  <si>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</si>
  <si>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</si>
  <si>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</si>
  <si>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</si>
  <si>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</si>
  <si>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</si>
  <si>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</si>
  <si>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</si>
  <si>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</si>
  <si>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</si>
  <si>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</si>
  <si>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</si>
  <si>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</si>
  <si>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</si>
  <si>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</si>
  <si>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</si>
  <si>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</si>
  <si>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</si>
  <si>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</si>
  <si>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</si>
  <si>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</si>
  <si>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</si>
  <si>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</si>
  <si>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</si>
  <si>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</si>
  <si>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</si>
  <si>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</si>
  <si>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</si>
  <si>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</si>
  <si>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</si>
  <si>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</si>
  <si>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</si>
  <si>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</si>
  <si>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</si>
  <si>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</si>
  <si>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</si>
  <si>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</si>
  <si>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</si>
  <si>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</si>
  <si>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</si>
  <si>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</si>
  <si>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</si>
  <si>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</si>
  <si>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</si>
  <si>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</si>
  <si>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</si>
  <si>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</si>
  <si>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</si>
  <si>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</si>
  <si>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</si>
  <si>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</si>
  <si>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</si>
  <si>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</si>
  <si>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</si>
  <si>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</si>
  <si>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</si>
  <si>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</si>
  <si>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</si>
  <si>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</si>
  <si>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</si>
  <si>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</si>
  <si>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</si>
  <si>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</si>
  <si>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</si>
  <si>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</si>
  <si>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</si>
  <si>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</si>
  <si>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</si>
  <si>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</si>
  <si>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</si>
  <si>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</si>
  <si>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</si>
  <si>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</si>
  <si>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</si>
  <si>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</si>
  <si>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</si>
  <si>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</si>
  <si>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</si>
  <si>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</si>
  <si>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</si>
  <si>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</si>
  <si>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</si>
  <si>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</si>
  <si>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</si>
  <si>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</si>
  <si>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</si>
  <si>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</si>
  <si>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</si>
  <si>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</si>
  <si>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</si>
  <si>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</si>
  <si>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</si>
  <si>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</si>
  <si>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</si>
  <si>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</si>
  <si>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</si>
  <si>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</si>
  <si>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</si>
  <si>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</si>
  <si>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</si>
  <si>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</si>
  <si>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</si>
  <si>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</si>
  <si>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</si>
  <si>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</si>
  <si>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</si>
  <si>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</si>
  <si>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</si>
  <si>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</si>
  <si>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</si>
  <si>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</si>
  <si>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</si>
  <si>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</si>
  <si>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</si>
  <si>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</si>
  <si>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</si>
  <si>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</si>
  <si>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</si>
  <si>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</si>
  <si>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</si>
  <si>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</si>
  <si>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</si>
  <si>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</si>
  <si>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</si>
  <si>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</si>
  <si>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</si>
  <si>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</si>
  <si>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</si>
  <si>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</si>
  <si>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</si>
  <si>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</si>
  <si>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</si>
  <si>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</si>
  <si>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</si>
  <si>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</si>
  <si>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</si>
  <si>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</si>
  <si>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</si>
  <si>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</si>
  <si>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</si>
  <si>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</si>
  <si>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</si>
  <si>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</si>
  <si>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</si>
  <si>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</si>
  <si>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</si>
  <si>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</si>
  <si>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</si>
  <si>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</si>
  <si>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</si>
  <si>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</si>
  <si>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</si>
  <si>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</si>
  <si>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</si>
  <si>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</si>
  <si>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</si>
  <si>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</si>
  <si>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</si>
  <si>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</si>
  <si>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</si>
  <si>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</si>
  <si>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</si>
  <si>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</si>
  <si>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</si>
  <si>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</si>
  <si>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</si>
  <si>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</si>
  <si>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</si>
  <si>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</si>
  <si>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</si>
  <si>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</si>
  <si>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</si>
  <si>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</si>
  <si>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</si>
  <si>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</si>
  <si>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</si>
  <si>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</si>
  <si>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</si>
  <si>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</si>
  <si>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</si>
  <si>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</si>
  <si>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</si>
  <si>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</si>
  <si>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</si>
  <si>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</si>
  <si>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</si>
  <si>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</si>
  <si>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</si>
  <si>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</si>
  <si>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</si>
  <si>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</si>
  <si>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</si>
  <si>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</si>
  <si>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</si>
  <si>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</si>
  <si>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</si>
  <si>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</si>
  <si>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</si>
  <si>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</si>
  <si>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</si>
  <si>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</si>
  <si>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</si>
  <si>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</si>
  <si>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</si>
  <si>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</si>
  <si>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</si>
  <si>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</si>
  <si>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</si>
  <si>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</si>
  <si>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</si>
  <si>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</si>
  <si>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</si>
  <si>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</si>
  <si>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</si>
  <si>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</si>
  <si>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</si>
  <si>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</si>
  <si>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</si>
  <si>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</si>
  <si>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</si>
  <si>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</si>
  <si>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</si>
  <si>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</si>
  <si>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</si>
  <si>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</si>
  <si>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</si>
  <si>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</si>
  <si>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</si>
  <si>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</si>
  <si>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</si>
  <si>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</si>
  <si>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</si>
  <si>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</si>
  <si>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</si>
  <si>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</si>
  <si>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</si>
  <si>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</si>
  <si>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</si>
  <si>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</si>
  <si>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</si>
  <si>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</si>
  <si>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</si>
  <si>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</si>
  <si>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</si>
  <si>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</si>
  <si>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</si>
  <si>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</si>
  <si>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</si>
  <si>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</si>
  <si>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</si>
  <si>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</si>
  <si>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</si>
  <si>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</si>
  <si>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</si>
  <si>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</si>
  <si>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</si>
  <si>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</si>
  <si>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</si>
  <si>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</si>
  <si>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</si>
  <si>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</si>
  <si>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</si>
  <si>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</si>
  <si>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</si>
  <si>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</si>
  <si>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</si>
  <si>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</si>
  <si>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</si>
  <si>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</si>
  <si>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</si>
  <si>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</si>
  <si>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</si>
  <si>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</si>
  <si>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</si>
  <si>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</si>
  <si>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</si>
  <si>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</si>
  <si>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</si>
  <si>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</si>
  <si>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</si>
  <si>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</si>
  <si>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</si>
  <si>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</si>
  <si>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</si>
  <si>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</si>
  <si>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</si>
  <si>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</si>
  <si>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</si>
  <si>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</si>
  <si>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</si>
  <si>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</si>
  <si>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</si>
  <si>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</si>
  <si>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</si>
  <si>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</si>
  <si>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</si>
  <si>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</si>
  <si>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</si>
  <si>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</si>
  <si>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</si>
  <si>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</si>
  <si>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</si>
  <si>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</si>
  <si>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</si>
  <si>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</si>
  <si>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</si>
  <si>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</si>
  <si>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</si>
  <si>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</si>
  <si>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</si>
  <si>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</si>
  <si>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</si>
  <si>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</si>
  <si>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</si>
  <si>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</si>
  <si>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</si>
  <si>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</si>
  <si>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</si>
  <si>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</si>
  <si>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</si>
  <si>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</si>
  <si>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</si>
  <si>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</si>
  <si>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</si>
  <si>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</si>
  <si>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</si>
  <si>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</si>
  <si>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</si>
  <si>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</si>
  <si>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</si>
  <si>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</si>
  <si>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</si>
  <si>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</si>
  <si>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</si>
  <si>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</si>
  <si>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</si>
  <si>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</si>
  <si>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</si>
  <si>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</si>
  <si>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</si>
  <si>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</si>
  <si>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</si>
  <si>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</si>
  <si>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</si>
  <si>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</si>
  <si>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</si>
  <si>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</si>
  <si>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</si>
  <si>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</si>
  <si>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</si>
  <si>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</si>
  <si>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</si>
  <si>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</si>
  <si>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</si>
  <si>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</si>
  <si>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</si>
  <si>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</si>
  <si>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</si>
  <si>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</si>
  <si>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</si>
  <si>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</si>
  <si>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</si>
  <si>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</si>
  <si>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</si>
  <si>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</si>
  <si>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</si>
  <si>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</si>
  <si>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</si>
  <si>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</si>
  <si>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</si>
  <si>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</si>
  <si>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</si>
  <si>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</si>
  <si>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</si>
  <si>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</si>
  <si>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</si>
  <si>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</si>
  <si>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</si>
  <si>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</si>
  <si>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</si>
  <si>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</si>
  <si>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</si>
  <si>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</si>
  <si>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</si>
  <si>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</si>
  <si>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</si>
  <si>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</si>
  <si>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</si>
  <si>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</si>
  <si>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</si>
  <si>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</si>
  <si>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</si>
  <si>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</si>
  <si>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</si>
  <si>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</si>
  <si>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</si>
  <si>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</si>
  <si>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</si>
  <si>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</si>
  <si>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</si>
  <si>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</si>
  <si>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</si>
  <si>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</si>
  <si>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</si>
  <si>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</si>
  <si>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</si>
  <si>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</si>
  <si>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</si>
  <si>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</si>
  <si>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</si>
  <si>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</si>
  <si>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</si>
  <si>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</si>
  <si>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</si>
  <si>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</si>
  <si>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</si>
  <si>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</si>
  <si>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</si>
  <si>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</si>
  <si>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</si>
  <si>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</si>
  <si>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</si>
  <si>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</si>
  <si>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</si>
  <si>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</si>
  <si>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</si>
  <si>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</si>
  <si>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</si>
  <si>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</si>
  <si>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</si>
  <si>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</si>
  <si>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</si>
  <si>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</si>
  <si>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</si>
  <si>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</si>
  <si>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</si>
  <si>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</si>
  <si>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</si>
  <si>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</si>
  <si>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</si>
  <si>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</si>
  <si>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</si>
  <si>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</si>
  <si>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</si>
  <si>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</si>
  <si>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</si>
  <si>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</si>
  <si>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</si>
  <si>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</si>
  <si>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</si>
  <si>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</si>
  <si>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</si>
  <si>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</si>
  <si>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</si>
  <si>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</si>
  <si>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</si>
  <si>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</si>
  <si>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</si>
  <si>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</si>
  <si>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</si>
  <si>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</si>
  <si>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</si>
  <si>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</si>
  <si>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</si>
  <si>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</si>
  <si>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</si>
  <si>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</si>
  <si>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</si>
  <si>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</si>
  <si>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</si>
  <si>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</si>
  <si>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</si>
  <si>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</si>
  <si>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</si>
  <si>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</si>
  <si>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</si>
  <si>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</si>
  <si>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</si>
  <si>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</si>
  <si>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</si>
  <si>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</si>
  <si>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</si>
  <si>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</si>
  <si>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</si>
  <si>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</si>
  <si>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</si>
  <si>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</si>
  <si>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</si>
  <si>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</si>
  <si>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</si>
  <si>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</si>
  <si>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</si>
  <si>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</si>
  <si>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</si>
  <si>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</si>
  <si>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</si>
  <si>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</si>
  <si>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</si>
  <si>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</si>
  <si>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</si>
  <si>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</si>
  <si>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</si>
  <si>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</si>
  <si>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</si>
  <si>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</si>
  <si>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</si>
  <si>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</si>
  <si>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</si>
  <si>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</si>
  <si>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</si>
  <si>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</si>
  <si>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</si>
  <si>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</si>
  <si>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</si>
  <si>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</si>
  <si>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</si>
  <si>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</si>
  <si>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</si>
  <si>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</si>
  <si>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</si>
  <si>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</si>
  <si>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</si>
  <si>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</si>
  <si>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</si>
  <si>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</si>
  <si>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</si>
  <si>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</si>
  <si>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</si>
  <si>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</si>
  <si>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</si>
  <si>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</si>
  <si>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</si>
  <si>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</si>
  <si>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</si>
  <si>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</si>
  <si>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</si>
  <si>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</si>
  <si>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</si>
  <si>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</si>
  <si>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</si>
  <si>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</si>
  <si>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</si>
  <si>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</si>
  <si>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</si>
  <si>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</si>
  <si>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</si>
  <si>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</si>
  <si>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</si>
  <si>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</si>
  <si>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</si>
  <si>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</si>
  <si>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</si>
  <si>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</si>
  <si>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</si>
  <si>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</si>
  <si>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</si>
  <si>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</si>
  <si>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</si>
  <si>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</si>
  <si>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</si>
  <si>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</si>
  <si>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</si>
  <si>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</si>
  <si>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</si>
  <si>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</si>
  <si>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</si>
  <si>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</si>
  <si>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</si>
  <si>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</si>
  <si>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</si>
  <si>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</si>
  <si>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</si>
  <si>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</si>
  <si>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</si>
  <si>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</si>
  <si>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</si>
  <si>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</si>
  <si>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</si>
  <si>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</si>
  <si>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</si>
  <si>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</si>
  <si>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</si>
  <si>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</si>
  <si>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</si>
  <si>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</si>
  <si>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</si>
  <si>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</si>
  <si>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</si>
  <si>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</si>
  <si>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</si>
  <si>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</si>
  <si>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</si>
  <si>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</si>
  <si>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</si>
  <si>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</si>
  <si>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</si>
  <si>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</si>
  <si>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</si>
  <si>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</si>
  <si>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</si>
  <si>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</si>
  <si>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</si>
  <si>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</si>
  <si>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</si>
  <si>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</si>
  <si>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</si>
  <si>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</si>
  <si>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</si>
  <si>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</si>
  <si>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</si>
  <si>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</si>
  <si>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</si>
  <si>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</si>
  <si>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</si>
  <si>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</si>
  <si>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</si>
  <si>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</si>
  <si>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</si>
  <si>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</si>
  <si>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</si>
  <si>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</si>
  <si>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</si>
  <si>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</si>
  <si>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</si>
  <si>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</si>
  <si>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</si>
  <si>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</si>
  <si>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</si>
  <si>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</si>
  <si>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</si>
  <si>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</si>
  <si>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</si>
  <si>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</si>
  <si>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</si>
  <si>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</si>
  <si>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</si>
  <si>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</si>
  <si>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</si>
  <si>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</si>
  <si>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</si>
  <si>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</si>
  <si>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</si>
  <si>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</si>
  <si>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</si>
  <si>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</si>
  <si>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</si>
  <si>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</si>
  <si>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</si>
  <si>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</si>
  <si>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</si>
  <si>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</si>
  <si>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</si>
  <si>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</si>
  <si>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</si>
  <si>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</si>
  <si>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</si>
  <si>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</si>
  <si>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</si>
  <si>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</si>
  <si>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</si>
  <si>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</si>
  <si>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</si>
  <si>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</si>
  <si>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</si>
  <si>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</si>
  <si>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</si>
  <si>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</si>
  <si>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</si>
  <si>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</si>
  <si>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</si>
  <si>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</si>
  <si>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</si>
  <si>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</si>
  <si>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</si>
  <si>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</si>
  <si>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</si>
  <si>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</si>
  <si>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</si>
  <si>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</si>
  <si>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</si>
  <si>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</si>
  <si>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</si>
  <si>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</si>
  <si>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</si>
  <si>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</si>
  <si>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</si>
  <si>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</si>
  <si>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</si>
  <si>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</si>
  <si>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</si>
  <si>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</si>
  <si>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</si>
  <si>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</si>
  <si>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</si>
  <si>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</si>
  <si>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</si>
  <si>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</si>
  <si>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</si>
  <si>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</si>
  <si>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</si>
  <si>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</si>
  <si>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</si>
  <si>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</si>
  <si>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</si>
  <si>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</si>
  <si>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</si>
  <si>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</si>
  <si>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</si>
  <si>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</si>
  <si>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</si>
  <si>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</si>
  <si>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</si>
  <si>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</si>
  <si>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</si>
  <si>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</si>
  <si>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</si>
  <si>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</si>
  <si>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</si>
  <si>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</si>
  <si>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</si>
  <si>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</si>
  <si>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</si>
  <si>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</si>
  <si>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</si>
  <si>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</si>
  <si>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</si>
  <si>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</si>
  <si>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</si>
  <si>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</si>
  <si>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</si>
  <si>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</si>
  <si>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</si>
  <si>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</si>
  <si>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</si>
  <si>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</si>
  <si>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</si>
  <si>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</si>
  <si>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</si>
  <si>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</si>
  <si>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</si>
  <si>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</si>
  <si>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</si>
  <si>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</si>
  <si>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</si>
  <si>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</si>
  <si>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</si>
  <si>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</si>
  <si>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</si>
  <si>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</si>
  <si>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</si>
  <si>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</si>
  <si>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</si>
  <si>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</si>
  <si>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</si>
  <si>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</si>
  <si>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</si>
  <si>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</si>
  <si>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</si>
  <si>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</si>
  <si>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</si>
  <si>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</si>
  <si>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</si>
  <si>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</si>
  <si>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</si>
  <si>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</si>
  <si>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</si>
  <si>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</si>
  <si>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</si>
  <si>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</si>
  <si>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</si>
  <si>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</si>
  <si>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</si>
  <si>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</si>
  <si>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</si>
  <si>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</si>
  <si>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</si>
  <si>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</si>
  <si>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</si>
  <si>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</si>
  <si>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</si>
  <si>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</si>
  <si>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</si>
  <si>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</si>
  <si>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</si>
  <si>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</si>
  <si>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</si>
  <si>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</si>
  <si>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</si>
  <si>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</si>
  <si>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</si>
  <si>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</si>
  <si>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</si>
  <si>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</si>
  <si>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</si>
  <si>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</si>
  <si>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</si>
  <si>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</si>
  <si>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</si>
  <si>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</si>
  <si>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</si>
  <si>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</si>
  <si>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</si>
  <si>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</si>
  <si>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</si>
  <si>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</si>
  <si>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</si>
  <si>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</si>
  <si>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</si>
  <si>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</si>
  <si>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</si>
  <si>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</si>
  <si>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</si>
  <si>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</si>
  <si>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</si>
  <si>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</si>
  <si>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</si>
  <si>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</si>
  <si>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</si>
  <si>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</si>
  <si>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</si>
  <si>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</si>
  <si>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</si>
  <si>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</si>
  <si>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</si>
  <si>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</si>
  <si>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</si>
  <si>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</si>
  <si>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</si>
  <si>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</si>
  <si>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</si>
  <si>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</si>
  <si>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</si>
  <si>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</si>
  <si>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</si>
  <si>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</si>
  <si>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</si>
  <si>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</si>
  <si>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</si>
  <si>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</si>
  <si>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</si>
  <si>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</si>
  <si>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</si>
  <si>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</si>
  <si>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</si>
  <si>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</si>
  <si>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</si>
  <si>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</si>
  <si>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</si>
  <si>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</si>
  <si>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</si>
  <si>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</si>
  <si>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</si>
  <si>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</si>
  <si>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</si>
  <si>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</si>
  <si>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</si>
  <si>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</si>
  <si>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</si>
  <si>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</si>
  <si>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出让</t>
  </si>
  <si>
    <t>抵押</t>
  </si>
  <si>
    <t>房地产抵押价值</t>
  </si>
  <si>
    <t>北京市</t>
  </si>
  <si>
    <t>企业</t>
  </si>
  <si>
    <t>是</t>
  </si>
  <si>
    <t>地上</t>
  </si>
  <si>
    <t>独立商业</t>
  </si>
  <si>
    <t>商业</t>
    <phoneticPr fontId="7" type="noConversion"/>
  </si>
  <si>
    <t>利息：取LPR加浮动点数</t>
  </si>
  <si>
    <t>成新度</t>
  </si>
  <si>
    <t>收益法</t>
  </si>
  <si>
    <t>押一</t>
  </si>
  <si>
    <t>钢混</t>
  </si>
  <si>
    <t>非生产用房</t>
  </si>
  <si>
    <t>按租金收入计税</t>
  </si>
  <si>
    <t>未包含在土地购买价格中</t>
  </si>
  <si>
    <t>全部缴纳</t>
  </si>
  <si>
    <t>成本法</t>
  </si>
  <si>
    <t>总价</t>
  </si>
  <si>
    <t>成本比率</t>
  </si>
  <si>
    <t>通成达大厦</t>
    <phoneticPr fontId="140" type="noConversion"/>
  </si>
  <si>
    <t>租金</t>
    <phoneticPr fontId="140" type="noConversion"/>
  </si>
  <si>
    <t>建筑面积</t>
    <phoneticPr fontId="140" type="noConversion"/>
  </si>
  <si>
    <t>国门大厦</t>
    <phoneticPr fontId="140" type="noConversion"/>
  </si>
  <si>
    <t>第三置业大厦</t>
    <phoneticPr fontId="140" type="noConversion"/>
  </si>
  <si>
    <t>中冶大厦</t>
    <phoneticPr fontId="140" type="noConversion"/>
  </si>
  <si>
    <t>时间国际</t>
    <phoneticPr fontId="140" type="noConversion"/>
  </si>
  <si>
    <t>静安中心</t>
    <phoneticPr fontId="140" type="noConversion"/>
  </si>
  <si>
    <t>豪成大厦</t>
    <phoneticPr fontId="140" type="noConversion"/>
  </si>
  <si>
    <t>基准地价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</si>
</sst>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58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177" fontId="79" fillId="0" borderId="1" xfId="1" applyNumberFormat="1" applyFont="1" applyFill="1" applyBorder="1" applyAlignment="1" applyProtection="1">
      <alignment vertical="center"/>
      <protection locked="0" hidden="1"/>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7"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98" fillId="0" borderId="0" xfId="0" applyFont="1">
      <alignment vertical="center"/>
    </xf>
    <xf numFmtId="0" fontId="113" fillId="0" borderId="23" xfId="0" applyFont="1" applyBorder="1" applyAlignment="1" applyProtection="1">
      <alignment horizontal="center" vertical="center"/>
      <protection locked="0"/>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66674</xdr:rowOff>
    </xdr:from>
    <xdr:to>
      <xdr:col>11</xdr:col>
      <xdr:colOff>8807</xdr:colOff>
      <xdr:row>23</xdr:row>
      <xdr:rowOff>123133</xdr:rowOff>
    </xdr:to>
    <xdr:pic>
      <xdr:nvPicPr>
        <xdr:cNvPr id="2" name="图片 1"/>
        <xdr:cNvPicPr>
          <a:picLocks noChangeAspect="1"/>
        </xdr:cNvPicPr>
      </xdr:nvPicPr>
      <xdr:blipFill>
        <a:blip xmlns:r="http://schemas.openxmlformats.org/officeDocument/2006/relationships" r:embed="rId1"/>
        <a:stretch>
          <a:fillRect/>
        </a:stretch>
      </xdr:blipFill>
      <xdr:spPr>
        <a:xfrm>
          <a:off x="76200" y="66674"/>
          <a:ext cx="7476407" cy="39998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6">
          <cell r="C6">
            <v>23000</v>
          </cell>
        </row>
        <row r="18">
          <cell r="V18">
            <v>13235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9" customWidth="1"/>
    <col min="2" max="2" width="81" style="1326" customWidth="1"/>
    <col min="3" max="16384" width="9" style="1324"/>
  </cols>
  <sheetData>
    <row r="1" spans="1:2" s="1312" customFormat="1" ht="16.5" thickBot="1">
      <c r="A1" s="1311" t="s">
        <v>946</v>
      </c>
      <c r="B1" s="1310" t="s">
        <v>1025</v>
      </c>
    </row>
    <row r="2" spans="1:2" s="1315" customFormat="1" ht="15" thickTop="1">
      <c r="A2" s="1313" t="s">
        <v>947</v>
      </c>
      <c r="B2" s="1314" t="str">
        <f>'预评函-封皮'!B37:I37</f>
        <v>北京市房地产抵押价值预评估</v>
      </c>
    </row>
    <row r="3" spans="1:2" s="1318" customFormat="1">
      <c r="A3" s="1316" t="s">
        <v>948</v>
      </c>
      <c r="B3" s="1317">
        <f>'预评函-封皮'!B40</f>
        <v>0</v>
      </c>
    </row>
    <row r="4" spans="1:2" s="1318" customFormat="1">
      <c r="A4" s="1316" t="s">
        <v>949</v>
      </c>
      <c r="B4" s="1317" t="str">
        <f>'预评函-封皮'!B46</f>
        <v>（注册号：0)、（注册号：0)</v>
      </c>
    </row>
    <row r="5" spans="1:2" s="1312" customFormat="1" ht="15" thickBot="1">
      <c r="A5" s="1319" t="s">
        <v>950</v>
      </c>
      <c r="B5" s="1320" t="str">
        <f>'预评函-封皮'!B49</f>
        <v>康正预评字号</v>
      </c>
    </row>
    <row r="6" spans="1:2" s="1315" customFormat="1" ht="15" thickTop="1">
      <c r="A6" s="1313" t="s">
        <v>951</v>
      </c>
      <c r="B6" s="1314" t="str">
        <f>'预评函-1'!A4</f>
        <v>受贵公司委托，我公司对北京市房地产抵押价值进行了预评估。</v>
      </c>
    </row>
    <row r="7" spans="1:2" s="1318" customFormat="1">
      <c r="A7" s="1316" t="s">
        <v>991</v>
      </c>
      <c r="B7" s="1317" t="str">
        <f>'预评函-1'!A7</f>
        <v>估价对象为北京市房地产，为所有。根据《国有土地使用证》[]，估价对象（分摊）出让国有建设用地使用权面积为0平方米，建筑面积为6531.86平方米。</v>
      </c>
    </row>
    <row r="8" spans="1:2" s="1318" customFormat="1">
      <c r="A8" s="1316" t="s">
        <v>992</v>
      </c>
      <c r="B8" s="1317" t="str">
        <f>'预评函-1'!A8</f>
        <v>估价对象简述。项目推广名，项目类型（用途），估价对象分布，各用途面积明细情况：XX用途建筑面积XX平方米，XX用途建筑面积XX平方米，……。复杂面积清单需设‘附表’列示：抵押物清单详见附表</v>
      </c>
    </row>
    <row r="9" spans="1:2" s="1318" customFormat="1">
      <c r="A9" s="1316" t="s">
        <v>993</v>
      </c>
      <c r="B9" s="1317" t="str">
        <f>'预评函-1'!A10</f>
        <v>估价对象为北京市房地产,属开发建设的，该项目尚在开发建设中。根据《国有土地使用证》[]，估价对象（分摊）出让国有建设用地使用权面积为0平方米，规划建筑面积为6531.86平方米。</v>
      </c>
    </row>
    <row r="10" spans="1:2" s="1318" customFormat="1">
      <c r="A10" s="1316" t="s">
        <v>994</v>
      </c>
      <c r="B10" s="13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8" customFormat="1">
      <c r="A11" s="1316" t="s">
        <v>952</v>
      </c>
      <c r="B11" s="131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18" customFormat="1">
      <c r="A12" s="1316" t="s">
        <v>953</v>
      </c>
      <c r="B12" s="1317" t="str">
        <f>'预评函-1'!A15</f>
        <v>2022年11月4日</v>
      </c>
    </row>
    <row r="13" spans="1:2" s="1318" customFormat="1">
      <c r="A13" s="1316" t="s">
        <v>954</v>
      </c>
      <c r="B13" s="1317" t="str">
        <f>'预评函-1'!A18</f>
        <v>本次估价的“房地产价值”是指在正常市场情况下，在价值时点2022年11月4日，估价对象规划用途为，土地取得方式为出让，出让国有建设用地使用权剩余土地使用年限为，假定未设立法定优先受偿款下的房地产市场价值。</v>
      </c>
    </row>
    <row r="14" spans="1:2" s="1318" customFormat="1">
      <c r="A14" s="1316" t="s">
        <v>955</v>
      </c>
      <c r="B14" s="131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8" customFormat="1">
      <c r="A15" s="1316" t="s">
        <v>956</v>
      </c>
      <c r="B15" s="1317" t="str">
        <f>'预评函-1'!A20</f>
        <v>本次估价的“房地产抵押价值”是指估价对象在价值时点的“房地产价值”扣减估价师于价值时点所知悉的法定优先受偿款后的余额。</v>
      </c>
    </row>
    <row r="16" spans="1:2" s="1318" customFormat="1">
      <c r="A16" s="1316" t="s">
        <v>957</v>
      </c>
      <c r="B16" s="131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8" customFormat="1">
      <c r="A17" s="1316" t="s">
        <v>958</v>
      </c>
      <c r="B17" s="1317" t="str">
        <f>'预评函-1'!A22</f>
        <v/>
      </c>
    </row>
    <row r="18" spans="1:2" s="1312" customFormat="1" ht="15" thickBot="1">
      <c r="A18" s="1319" t="s">
        <v>959</v>
      </c>
      <c r="B18" s="1320" t="str">
        <f>'预评函-1'!A24</f>
        <v>本次评估采用的主估价方法为成本法和收益法。</v>
      </c>
    </row>
    <row r="19" spans="1:2" s="1315" customFormat="1" ht="15" thickTop="1">
      <c r="A19" s="1313" t="s">
        <v>960</v>
      </c>
      <c r="B19" s="131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8" customFormat="1">
      <c r="A20" s="1316" t="s">
        <v>961</v>
      </c>
      <c r="B20" s="1317">
        <f ca="1">'预评函-2'!D5</f>
        <v>18063</v>
      </c>
    </row>
    <row r="21" spans="1:2" s="1318" customFormat="1">
      <c r="A21" s="1316" t="s">
        <v>962</v>
      </c>
      <c r="B21" s="1317">
        <f ca="1">'预评函-2'!D7</f>
        <v>27654</v>
      </c>
    </row>
    <row r="22" spans="1:2" s="1318" customFormat="1">
      <c r="A22" s="1316" t="s">
        <v>963</v>
      </c>
      <c r="B22" s="1317" t="str">
        <f ca="1">'预评函-2'!D6</f>
        <v>壹亿捌仟零陆拾叁万元整</v>
      </c>
    </row>
    <row r="23" spans="1:2" s="1318" customFormat="1">
      <c r="A23" s="1316" t="s">
        <v>1014</v>
      </c>
      <c r="B23" s="1317" t="str">
        <f>'预评函-2'!B8</f>
        <v>2.估价师知悉的法定优先受偿款</v>
      </c>
    </row>
    <row r="24" spans="1:2" s="1318" customFormat="1">
      <c r="A24" s="1316" t="s">
        <v>1020</v>
      </c>
      <c r="B24" s="1317">
        <f>'预评函-2'!D8</f>
        <v>3208</v>
      </c>
    </row>
    <row r="25" spans="1:2" s="1318" customFormat="1">
      <c r="A25" s="1316" t="s">
        <v>964</v>
      </c>
      <c r="B25" s="1317" t="str">
        <f>'预评函-2'!D9</f>
        <v>叁仟贰佰零捌万元整</v>
      </c>
    </row>
    <row r="26" spans="1:2" s="1318" customFormat="1">
      <c r="A26" s="1316" t="s">
        <v>965</v>
      </c>
      <c r="B26" s="1317">
        <f>'预评函-2'!D10</f>
        <v>0</v>
      </c>
    </row>
    <row r="27" spans="1:2" s="1318" customFormat="1">
      <c r="A27" s="1316" t="s">
        <v>966</v>
      </c>
      <c r="B27" s="1317">
        <f>'预评函-2'!D11</f>
        <v>0</v>
      </c>
    </row>
    <row r="28" spans="1:2" s="1318" customFormat="1">
      <c r="A28" s="1316" t="s">
        <v>967</v>
      </c>
      <c r="B28" s="1317">
        <f>'预评函-2'!D12</f>
        <v>3208</v>
      </c>
    </row>
    <row r="29" spans="1:2" s="1318" customFormat="1">
      <c r="A29" s="1316" t="s">
        <v>1018</v>
      </c>
      <c r="B29" s="1317" t="str">
        <f>'预评函-2'!B13</f>
        <v>3.房地产抵押价值</v>
      </c>
    </row>
    <row r="30" spans="1:2" s="1318" customFormat="1">
      <c r="A30" s="1316" t="s">
        <v>1019</v>
      </c>
      <c r="B30" s="1317">
        <f ca="1">'预评函-2'!D13</f>
        <v>14855</v>
      </c>
    </row>
    <row r="31" spans="1:2" s="1318" customFormat="1">
      <c r="A31" s="1316" t="s">
        <v>1001</v>
      </c>
      <c r="B31" s="1317">
        <f ca="1">'预评函-2'!D15</f>
        <v>22742</v>
      </c>
    </row>
    <row r="32" spans="1:2" s="1318" customFormat="1">
      <c r="A32" s="1316" t="s">
        <v>968</v>
      </c>
      <c r="B32" s="1317" t="str">
        <f ca="1">'预评函-2'!D14</f>
        <v>壹亿肆仟捌佰伍拾伍万元整</v>
      </c>
    </row>
    <row r="33" spans="1:2" s="1318" customFormat="1">
      <c r="A33" s="1316" t="s">
        <v>1003</v>
      </c>
      <c r="B33" s="1317" t="str">
        <f>'预评函-2'!B16</f>
        <v>——</v>
      </c>
    </row>
    <row r="34" spans="1:2" s="1318" customFormat="1">
      <c r="A34" s="1316" t="s">
        <v>1021</v>
      </c>
      <c r="B34" s="1317" t="str">
        <f>'预评函-2'!D16</f>
        <v>——</v>
      </c>
    </row>
    <row r="35" spans="1:2" s="1318" customFormat="1">
      <c r="A35" s="1316" t="s">
        <v>1002</v>
      </c>
      <c r="B35" s="1317" t="str">
        <f>'预评函-2'!D18</f>
        <v>——</v>
      </c>
    </row>
    <row r="36" spans="1:2" s="1318" customFormat="1">
      <c r="A36" s="1316" t="s">
        <v>969</v>
      </c>
      <c r="B36" s="1317" t="e">
        <f>'预评函-2'!D17</f>
        <v>#VALUE!</v>
      </c>
    </row>
    <row r="37" spans="1:2" s="1318" customFormat="1">
      <c r="A37" s="1316" t="s">
        <v>1004</v>
      </c>
      <c r="B37" s="1317" t="str">
        <f>'预评函-2'!B19</f>
        <v>——</v>
      </c>
    </row>
    <row r="38" spans="1:2" s="1318" customFormat="1">
      <c r="A38" s="1316" t="s">
        <v>1022</v>
      </c>
      <c r="B38" s="1317" t="str">
        <f>'预评函-2'!D19</f>
        <v>——</v>
      </c>
    </row>
    <row r="39" spans="1:2" s="1318" customFormat="1">
      <c r="A39" s="1316" t="s">
        <v>970</v>
      </c>
      <c r="B39" s="1317" t="str">
        <f>'预评函-2'!D21</f>
        <v>——</v>
      </c>
    </row>
    <row r="40" spans="1:2" s="1318" customFormat="1">
      <c r="A40" s="1316" t="s">
        <v>971</v>
      </c>
      <c r="B40" s="1317" t="e">
        <f>'预评函-2'!D20</f>
        <v>#VALUE!</v>
      </c>
    </row>
    <row r="41" spans="1:2" s="1318" customFormat="1">
      <c r="A41" s="1316" t="s">
        <v>1017</v>
      </c>
      <c r="B41" s="1317" t="str">
        <f>'预评函-3'!A4</f>
        <v>北京市房地产</v>
      </c>
    </row>
    <row r="42" spans="1:2" s="1318" customFormat="1">
      <c r="A42" s="1316" t="s">
        <v>1015</v>
      </c>
      <c r="B42" s="1317" t="str">
        <f>'预评函-3'!B2</f>
        <v>建筑面积</v>
      </c>
    </row>
    <row r="43" spans="1:2" s="1318" customFormat="1">
      <c r="A43" s="1316" t="s">
        <v>1016</v>
      </c>
      <c r="B43" s="1317">
        <f>'预评函-3'!B4</f>
        <v>6531.86</v>
      </c>
    </row>
    <row r="44" spans="1:2" s="1318" customFormat="1">
      <c r="A44" s="1316" t="s">
        <v>1000</v>
      </c>
      <c r="B44" s="1317" t="str">
        <f>'预评函-3'!C2</f>
        <v>(分摊)土地面积</v>
      </c>
    </row>
    <row r="45" spans="1:2" s="1318" customFormat="1">
      <c r="A45" s="1316" t="s">
        <v>972</v>
      </c>
      <c r="B45" s="1317">
        <f>'预评函-3'!C4</f>
        <v>0</v>
      </c>
    </row>
    <row r="46" spans="1:2" s="1318" customFormat="1">
      <c r="A46" s="1316" t="s">
        <v>998</v>
      </c>
      <c r="B46" s="1317" t="str">
        <f>'预评函-3'!D2</f>
        <v>出让国有建设用地使用权价值</v>
      </c>
    </row>
    <row r="47" spans="1:2" s="1318" customFormat="1">
      <c r="A47" s="1316" t="s">
        <v>973</v>
      </c>
      <c r="B47" s="1317">
        <f ca="1">'预评函-3'!D4</f>
        <v>16383</v>
      </c>
    </row>
    <row r="48" spans="1:2" s="1318" customFormat="1">
      <c r="A48" s="1316" t="s">
        <v>974</v>
      </c>
      <c r="B48" s="1317">
        <f ca="1">'预评函-3'!E4</f>
        <v>25082</v>
      </c>
    </row>
    <row r="49" spans="1:2" s="1318" customFormat="1">
      <c r="A49" s="1316" t="s">
        <v>975</v>
      </c>
      <c r="B49" s="1317" t="str">
        <f ca="1">'预评函-3'!D5</f>
        <v>壹亿陆仟叁佰捌拾叁万元整</v>
      </c>
    </row>
    <row r="50" spans="1:2" s="1318" customFormat="1">
      <c r="A50" s="1316" t="s">
        <v>999</v>
      </c>
      <c r="B50" s="1317" t="str">
        <f>'预评函-3'!F2</f>
        <v>在建建筑物价值</v>
      </c>
    </row>
    <row r="51" spans="1:2" s="1318" customFormat="1">
      <c r="A51" s="1316" t="s">
        <v>976</v>
      </c>
      <c r="B51" s="1317">
        <f ca="1">'预评函-3'!F4</f>
        <v>1680</v>
      </c>
    </row>
    <row r="52" spans="1:2" s="1318" customFormat="1">
      <c r="A52" s="1316" t="s">
        <v>977</v>
      </c>
      <c r="B52" s="1317">
        <f ca="1">'预评函-3'!G4</f>
        <v>2572</v>
      </c>
    </row>
    <row r="53" spans="1:2" s="1318" customFormat="1">
      <c r="A53" s="1316" t="s">
        <v>1005</v>
      </c>
      <c r="B53" s="1317" t="str">
        <f ca="1">'预评函-3'!F5</f>
        <v>壹仟陆佰捌拾万元整</v>
      </c>
    </row>
    <row r="54" spans="1:2" s="1318" customFormat="1">
      <c r="A54" s="1316" t="s">
        <v>1023</v>
      </c>
      <c r="B54" s="1317" t="str">
        <f>'预评函-3'!A8</f>
        <v>房地产抵押价值</v>
      </c>
    </row>
    <row r="55" spans="1:2" s="1318" customFormat="1">
      <c r="A55" s="1316" t="s">
        <v>1006</v>
      </c>
      <c r="B55" s="1317" t="str">
        <f>'预评函-3'!A10</f>
        <v/>
      </c>
    </row>
    <row r="56" spans="1:2" s="1318" customFormat="1">
      <c r="A56" s="1316" t="s">
        <v>1007</v>
      </c>
      <c r="B56" s="1317" t="str">
        <f>'预评函-3'!A12</f>
        <v/>
      </c>
    </row>
    <row r="57" spans="1:2" s="1312" customFormat="1" ht="15" thickBot="1">
      <c r="A57" s="1319" t="s">
        <v>1024</v>
      </c>
      <c r="B57" s="1320" t="str">
        <f>'预评函-3'!A6</f>
        <v>估价师知悉的法定优先受偿款</v>
      </c>
    </row>
    <row r="58" spans="1:2" s="1315" customFormat="1" ht="15" thickTop="1">
      <c r="A58" s="1313" t="s">
        <v>978</v>
      </c>
      <c r="B58" s="1314" t="str">
        <f>'预评函-4'!A12</f>
        <v>2.本《评估意见函》仅供金融机构进行内部审核使用，不做其他目的之用。</v>
      </c>
    </row>
    <row r="59" spans="1:2" s="1318" customFormat="1">
      <c r="A59" s="1316" t="s">
        <v>979</v>
      </c>
      <c r="B59" s="1317" t="str">
        <f>'预评函-4'!A13</f>
        <v>3.抵押双方在办理抵押登记手续时，应使用本公司出具的正式《房地产评估报告》，特提醒报告使用者注意。</v>
      </c>
    </row>
    <row r="60" spans="1:2" s="1318" customFormat="1">
      <c r="A60" s="1316" t="s">
        <v>980</v>
      </c>
      <c r="B60" s="1317" t="str">
        <f>'预评函-4'!A14</f>
        <v>4.本次评估估价师所知悉的法定优先受偿款情况说明如下：</v>
      </c>
    </row>
    <row r="61" spans="1:2" s="1318" customFormat="1">
      <c r="A61" s="1316" t="s">
        <v>981</v>
      </c>
      <c r="B61" s="131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8" customFormat="1">
      <c r="A62" s="1316" t="s">
        <v>982</v>
      </c>
      <c r="B62" s="1317" t="str">
        <f>'预评函-4'!A16</f>
        <v>（2）根据《工程款支付情况说明》，截至价值时点，估价对象不存在应付未付工程款项。（只要没有施工方盖章的，均“设定”进行表述）</v>
      </c>
    </row>
    <row r="63" spans="1:2" s="1318" customFormat="1">
      <c r="A63" s="1316" t="s">
        <v>983</v>
      </c>
      <c r="B63" s="13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8" customFormat="1">
      <c r="A64" s="1316" t="s">
        <v>995</v>
      </c>
      <c r="B64" s="1317" t="str">
        <f>'预评函-4'!A18</f>
        <v>故，本次评估估价师知悉的法定优先受偿款为人民币3208万元整。</v>
      </c>
    </row>
    <row r="65" spans="1:2" s="1318" customFormat="1">
      <c r="A65" s="1316" t="s">
        <v>984</v>
      </c>
      <c r="B65" s="131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8" customFormat="1">
      <c r="A66" s="1316" t="s">
        <v>985</v>
      </c>
      <c r="B66" s="131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8" customFormat="1">
      <c r="A67" s="1316" t="s">
        <v>996</v>
      </c>
      <c r="B67" s="131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8" customFormat="1">
      <c r="A68" s="1316" t="s">
        <v>997</v>
      </c>
      <c r="B68" s="1317" t="str">
        <f>'预评函-4'!A22</f>
        <v>8.其他需特殊说明事项：无（注意调整序号）</v>
      </c>
    </row>
    <row r="69" spans="1:2" s="1312" customFormat="1" ht="15" thickBot="1">
      <c r="A69" s="1319" t="s">
        <v>986</v>
      </c>
      <c r="B69" s="1321">
        <f>'预评函-4'!C31</f>
        <v>42551</v>
      </c>
    </row>
    <row r="70" spans="1:2" ht="15" thickTop="1">
      <c r="A70" s="1322" t="s">
        <v>987</v>
      </c>
      <c r="B70" s="1323">
        <f>'预评函-4'!A4</f>
        <v>0</v>
      </c>
    </row>
    <row r="71" spans="1:2">
      <c r="A71" s="1316" t="s">
        <v>988</v>
      </c>
      <c r="B71" s="1317">
        <f>'预评函-4'!B4</f>
        <v>0</v>
      </c>
    </row>
    <row r="72" spans="1:2">
      <c r="A72" s="1316" t="s">
        <v>989</v>
      </c>
      <c r="B72" s="1325">
        <f>'预评函-4'!A5</f>
        <v>0</v>
      </c>
    </row>
    <row r="73" spans="1:2" s="1312" customFormat="1" ht="15" thickBot="1">
      <c r="A73" s="1319" t="s">
        <v>990</v>
      </c>
      <c r="B73" s="1320">
        <f>'预评函-4'!B5</f>
        <v>0</v>
      </c>
    </row>
    <row r="74" spans="1:2" ht="15" thickTop="1">
      <c r="A74" s="1309" t="s">
        <v>1026</v>
      </c>
      <c r="B74" s="1326"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692" customWidth="1"/>
    <col min="2" max="2" width="23.25" style="1643" customWidth="1"/>
    <col min="3" max="3" width="13" style="1687" customWidth="1"/>
    <col min="4" max="4" width="5.75" style="1684" customWidth="1"/>
    <col min="5" max="5" width="7.125" style="1684" customWidth="1"/>
    <col min="6" max="6" width="10.625" style="1684" customWidth="1"/>
    <col min="7" max="7" width="7.5" style="1684" customWidth="1"/>
    <col min="8" max="8" width="9" style="1687" customWidth="1"/>
    <col min="9" max="9" width="11.625" style="1687" customWidth="1"/>
    <col min="10" max="10" width="9" style="1687" customWidth="1"/>
    <col min="11" max="19" width="9" style="1684" customWidth="1"/>
    <col min="20" max="23" width="9" style="1687" customWidth="1"/>
    <col min="24" max="24" width="21.125" style="1643" customWidth="1"/>
    <col min="25" max="16384" width="9" style="1643"/>
  </cols>
  <sheetData>
    <row r="1" spans="1:23" s="1681" customFormat="1" ht="27">
      <c r="A1" s="1675" t="s">
        <v>71</v>
      </c>
      <c r="B1" s="1676" t="s">
        <v>1413</v>
      </c>
      <c r="C1" s="1677" t="s">
        <v>578</v>
      </c>
      <c r="D1" s="1678" t="s">
        <v>1414</v>
      </c>
      <c r="E1" s="1678" t="s">
        <v>1415</v>
      </c>
      <c r="F1" s="1678" t="s">
        <v>1416</v>
      </c>
      <c r="G1" s="1678" t="s">
        <v>1417</v>
      </c>
      <c r="H1" s="1678" t="s">
        <v>1418</v>
      </c>
      <c r="I1" s="1678" t="s">
        <v>1419</v>
      </c>
      <c r="J1" s="1678" t="s">
        <v>1420</v>
      </c>
      <c r="K1" s="1678" t="s">
        <v>1421</v>
      </c>
      <c r="L1" s="1678" t="s">
        <v>1422</v>
      </c>
      <c r="M1" s="1678" t="s">
        <v>1423</v>
      </c>
      <c r="N1" s="1678" t="s">
        <v>1424</v>
      </c>
      <c r="O1" s="1678" t="s">
        <v>1425</v>
      </c>
      <c r="P1" s="1679" t="s">
        <v>573</v>
      </c>
      <c r="Q1" s="1679" t="s">
        <v>872</v>
      </c>
      <c r="R1" s="1678" t="s">
        <v>866</v>
      </c>
      <c r="S1" s="1678" t="s">
        <v>1426</v>
      </c>
      <c r="T1" s="1680" t="s">
        <v>1427</v>
      </c>
      <c r="U1" s="1678" t="s">
        <v>1428</v>
      </c>
      <c r="V1" s="1678" t="s">
        <v>1429</v>
      </c>
      <c r="W1" s="1678" t="s">
        <v>575</v>
      </c>
    </row>
    <row r="2" spans="1:23">
      <c r="A2" s="1682" t="s">
        <v>22</v>
      </c>
      <c r="B2" s="1682" t="s">
        <v>1430</v>
      </c>
      <c r="C2" s="1683" t="s">
        <v>579</v>
      </c>
      <c r="D2" s="1684" t="s">
        <v>1431</v>
      </c>
      <c r="E2" s="1684" t="s">
        <v>1432</v>
      </c>
      <c r="F2" s="1684" t="s">
        <v>1433</v>
      </c>
      <c r="G2" s="1684">
        <v>40</v>
      </c>
      <c r="H2" s="1684" t="s">
        <v>1433</v>
      </c>
      <c r="I2" s="1684" t="s">
        <v>1434</v>
      </c>
      <c r="J2" s="1684" t="s">
        <v>1435</v>
      </c>
      <c r="K2" s="1684" t="s">
        <v>1436</v>
      </c>
      <c r="L2" s="1684" t="s">
        <v>1436</v>
      </c>
      <c r="M2" s="1684" t="s">
        <v>1436</v>
      </c>
      <c r="N2" s="1684" t="s">
        <v>1436</v>
      </c>
      <c r="O2" s="1684" t="s">
        <v>1436</v>
      </c>
      <c r="P2" s="1684" t="s">
        <v>1436</v>
      </c>
      <c r="Q2" s="1684" t="s">
        <v>1436</v>
      </c>
      <c r="R2" s="1684" t="s">
        <v>868</v>
      </c>
      <c r="S2" s="1684" t="s">
        <v>1436</v>
      </c>
      <c r="T2" s="1684" t="s">
        <v>1437</v>
      </c>
      <c r="U2" s="1684" t="s">
        <v>1436</v>
      </c>
      <c r="V2" s="1684" t="s">
        <v>1438</v>
      </c>
      <c r="W2" s="1684" t="s">
        <v>1436</v>
      </c>
    </row>
    <row r="3" spans="1:23">
      <c r="A3" s="1682" t="s">
        <v>1439</v>
      </c>
      <c r="B3" s="1685" t="s">
        <v>873</v>
      </c>
      <c r="C3" s="1686" t="s">
        <v>580</v>
      </c>
      <c r="D3" s="1684" t="s">
        <v>1440</v>
      </c>
      <c r="E3" s="1684" t="s">
        <v>16</v>
      </c>
      <c r="F3" s="1684" t="s">
        <v>1441</v>
      </c>
      <c r="G3" s="1684">
        <v>50</v>
      </c>
      <c r="H3" s="1684" t="s">
        <v>1441</v>
      </c>
      <c r="I3" s="1684" t="s">
        <v>1442</v>
      </c>
      <c r="J3" s="1684" t="s">
        <v>1443</v>
      </c>
      <c r="K3" s="1684" t="s">
        <v>1444</v>
      </c>
      <c r="L3" s="1684" t="s">
        <v>1444</v>
      </c>
      <c r="M3" s="1684" t="s">
        <v>1444</v>
      </c>
      <c r="N3" s="1684" t="s">
        <v>1444</v>
      </c>
      <c r="O3" s="1684" t="s">
        <v>1444</v>
      </c>
      <c r="P3" s="1684" t="s">
        <v>1444</v>
      </c>
      <c r="Q3" s="1684" t="s">
        <v>1444</v>
      </c>
      <c r="R3" s="1684" t="s">
        <v>867</v>
      </c>
      <c r="S3" s="1684" t="s">
        <v>1444</v>
      </c>
      <c r="T3" s="1684" t="s">
        <v>1445</v>
      </c>
      <c r="U3" s="1684" t="s">
        <v>1444</v>
      </c>
      <c r="V3" s="1684" t="s">
        <v>1446</v>
      </c>
      <c r="W3" s="1684" t="s">
        <v>1444</v>
      </c>
    </row>
    <row r="4" spans="1:23">
      <c r="A4" s="1682" t="s">
        <v>1447</v>
      </c>
      <c r="B4" s="1682" t="s">
        <v>1448</v>
      </c>
      <c r="C4" s="1683" t="s">
        <v>581</v>
      </c>
      <c r="D4" s="1684" t="s">
        <v>655</v>
      </c>
      <c r="E4" s="1684" t="s">
        <v>1449</v>
      </c>
      <c r="F4" s="1684" t="s">
        <v>1450</v>
      </c>
      <c r="G4" s="1684">
        <v>70</v>
      </c>
      <c r="H4" s="1684" t="s">
        <v>1450</v>
      </c>
      <c r="I4" s="1684" t="s">
        <v>1451</v>
      </c>
      <c r="K4" s="1684" t="s">
        <v>1452</v>
      </c>
      <c r="L4" s="1684" t="s">
        <v>1452</v>
      </c>
      <c r="M4" s="1684" t="s">
        <v>1452</v>
      </c>
      <c r="N4" s="1684" t="s">
        <v>1452</v>
      </c>
      <c r="O4" s="1684" t="s">
        <v>1452</v>
      </c>
      <c r="P4" s="1684" t="s">
        <v>1452</v>
      </c>
      <c r="Q4" s="1684" t="s">
        <v>1452</v>
      </c>
      <c r="R4" s="1684" t="s">
        <v>869</v>
      </c>
      <c r="S4" s="1684" t="s">
        <v>1452</v>
      </c>
      <c r="T4" s="1684" t="s">
        <v>1453</v>
      </c>
      <c r="U4" s="1684" t="s">
        <v>1452</v>
      </c>
      <c r="W4" s="1684" t="s">
        <v>1452</v>
      </c>
    </row>
    <row r="5" spans="1:23">
      <c r="A5" s="1682" t="s">
        <v>1454</v>
      </c>
      <c r="B5" s="1682" t="s">
        <v>1455</v>
      </c>
      <c r="C5" s="1683" t="s">
        <v>582</v>
      </c>
      <c r="F5" s="1684" t="s">
        <v>1456</v>
      </c>
      <c r="H5" s="1684" t="s">
        <v>1457</v>
      </c>
      <c r="I5" s="1684" t="s">
        <v>1458</v>
      </c>
      <c r="K5" s="1684" t="s">
        <v>1459</v>
      </c>
      <c r="L5" s="1684" t="s">
        <v>1459</v>
      </c>
      <c r="M5" s="1684" t="s">
        <v>1459</v>
      </c>
      <c r="N5" s="1684" t="s">
        <v>1459</v>
      </c>
      <c r="O5" s="1684" t="s">
        <v>1459</v>
      </c>
      <c r="P5" s="1684" t="s">
        <v>1459</v>
      </c>
      <c r="Q5" s="1684" t="s">
        <v>1459</v>
      </c>
      <c r="R5" s="1684" t="s">
        <v>870</v>
      </c>
      <c r="S5" s="1684" t="s">
        <v>1459</v>
      </c>
      <c r="T5" s="1684" t="s">
        <v>1460</v>
      </c>
      <c r="U5" s="1684" t="s">
        <v>1459</v>
      </c>
      <c r="W5" s="1684" t="s">
        <v>1459</v>
      </c>
    </row>
    <row r="6" spans="1:23">
      <c r="A6" s="1682" t="s">
        <v>1461</v>
      </c>
      <c r="B6" s="1685" t="s">
        <v>874</v>
      </c>
      <c r="C6" s="1688" t="s">
        <v>30</v>
      </c>
      <c r="F6" s="1684" t="s">
        <v>1457</v>
      </c>
      <c r="H6" s="1684" t="s">
        <v>1462</v>
      </c>
      <c r="I6" s="1684" t="s">
        <v>1463</v>
      </c>
      <c r="K6" s="1684" t="s">
        <v>1464</v>
      </c>
      <c r="L6" s="1684" t="s">
        <v>1464</v>
      </c>
      <c r="M6" s="1684" t="s">
        <v>1464</v>
      </c>
      <c r="N6" s="1684" t="s">
        <v>1464</v>
      </c>
      <c r="O6" s="1684" t="s">
        <v>1464</v>
      </c>
      <c r="P6" s="1684" t="s">
        <v>1464</v>
      </c>
      <c r="Q6" s="1684" t="s">
        <v>1464</v>
      </c>
      <c r="R6" s="1684" t="s">
        <v>871</v>
      </c>
      <c r="S6" s="1684" t="s">
        <v>1464</v>
      </c>
      <c r="T6" s="1684"/>
      <c r="U6" s="1684" t="s">
        <v>1464</v>
      </c>
      <c r="W6" s="1684" t="s">
        <v>1464</v>
      </c>
    </row>
    <row r="7" spans="1:23">
      <c r="A7" s="1682" t="s">
        <v>1465</v>
      </c>
      <c r="B7" s="1685" t="s">
        <v>875</v>
      </c>
      <c r="C7" s="1683" t="s">
        <v>31</v>
      </c>
      <c r="F7" s="1684" t="s">
        <v>1466</v>
      </c>
      <c r="H7" s="1684" t="s">
        <v>1467</v>
      </c>
      <c r="I7" s="1684" t="s">
        <v>1468</v>
      </c>
    </row>
    <row r="8" spans="1:23">
      <c r="A8" s="1682" t="s">
        <v>1469</v>
      </c>
      <c r="B8" s="1682" t="s">
        <v>1470</v>
      </c>
      <c r="C8" s="1683" t="s">
        <v>583</v>
      </c>
      <c r="F8" s="1684" t="s">
        <v>1471</v>
      </c>
      <c r="H8" s="1684"/>
      <c r="I8" s="1684" t="s">
        <v>1472</v>
      </c>
    </row>
    <row r="9" spans="1:23">
      <c r="A9" s="1682" t="s">
        <v>1473</v>
      </c>
      <c r="B9" s="1682" t="s">
        <v>1474</v>
      </c>
      <c r="C9" s="1683" t="s">
        <v>584</v>
      </c>
      <c r="F9" s="1684" t="s">
        <v>1475</v>
      </c>
      <c r="H9" s="1684"/>
    </row>
    <row r="10" spans="1:23">
      <c r="A10" s="1682" t="s">
        <v>1476</v>
      </c>
      <c r="B10" s="1682" t="s">
        <v>1477</v>
      </c>
      <c r="C10" s="1683" t="s">
        <v>585</v>
      </c>
      <c r="F10" s="1684" t="s">
        <v>16</v>
      </c>
    </row>
    <row r="11" spans="1:23">
      <c r="A11" s="1682" t="s">
        <v>1478</v>
      </c>
      <c r="B11" s="1682" t="s">
        <v>1479</v>
      </c>
      <c r="C11" s="1683" t="s">
        <v>586</v>
      </c>
    </row>
    <row r="12" spans="1:23">
      <c r="A12" s="1682" t="s">
        <v>1480</v>
      </c>
      <c r="B12" s="1682" t="s">
        <v>1481</v>
      </c>
      <c r="C12" s="1683" t="s">
        <v>587</v>
      </c>
    </row>
    <row r="13" spans="1:23">
      <c r="A13" s="1682" t="s">
        <v>1482</v>
      </c>
      <c r="B13" s="1682" t="s">
        <v>1483</v>
      </c>
      <c r="C13" s="1683" t="s">
        <v>588</v>
      </c>
    </row>
    <row r="14" spans="1:23">
      <c r="A14" s="1682" t="s">
        <v>1484</v>
      </c>
      <c r="B14" s="1682" t="s">
        <v>1485</v>
      </c>
      <c r="C14" s="1684" t="s">
        <v>16</v>
      </c>
    </row>
    <row r="15" spans="1:23">
      <c r="A15" s="1682" t="s">
        <v>1486</v>
      </c>
      <c r="B15" s="1682" t="s">
        <v>1487</v>
      </c>
      <c r="C15" s="1683"/>
    </row>
    <row r="16" spans="1:23">
      <c r="A16" s="1682" t="s">
        <v>1488</v>
      </c>
      <c r="B16" s="1682" t="s">
        <v>576</v>
      </c>
      <c r="C16" s="1683"/>
    </row>
    <row r="17" spans="1:3">
      <c r="A17" s="1682" t="s">
        <v>1489</v>
      </c>
      <c r="B17" s="1682" t="s">
        <v>2793</v>
      </c>
      <c r="C17" s="1683"/>
    </row>
    <row r="18" spans="1:3">
      <c r="A18" s="1682" t="s">
        <v>1490</v>
      </c>
      <c r="B18" s="1682" t="s">
        <v>2937</v>
      </c>
      <c r="C18" s="1683"/>
    </row>
    <row r="19" spans="1:3">
      <c r="A19" s="1682" t="s">
        <v>1491</v>
      </c>
      <c r="B19" s="1682" t="s">
        <v>577</v>
      </c>
      <c r="C19" s="1683"/>
    </row>
    <row r="20" spans="1:3">
      <c r="A20" s="1682" t="s">
        <v>1492</v>
      </c>
      <c r="B20" s="1682" t="s">
        <v>577</v>
      </c>
      <c r="C20" s="1683"/>
    </row>
    <row r="21" spans="1:3">
      <c r="A21" s="1682" t="s">
        <v>1493</v>
      </c>
      <c r="B21" s="1682" t="s">
        <v>577</v>
      </c>
      <c r="C21" s="1683"/>
    </row>
    <row r="22" spans="1:3">
      <c r="A22" s="1682" t="s">
        <v>1494</v>
      </c>
      <c r="B22" s="1682" t="s">
        <v>577</v>
      </c>
      <c r="C22" s="1683"/>
    </row>
    <row r="23" spans="1:3">
      <c r="A23" s="1682" t="s">
        <v>1495</v>
      </c>
      <c r="B23" s="1682" t="s">
        <v>577</v>
      </c>
      <c r="C23" s="1683"/>
    </row>
    <row r="24" spans="1:3">
      <c r="A24" s="1682" t="s">
        <v>1496</v>
      </c>
      <c r="B24" s="1682" t="s">
        <v>577</v>
      </c>
      <c r="C24" s="1683"/>
    </row>
    <row r="25" spans="1:3">
      <c r="A25" s="1682" t="s">
        <v>1497</v>
      </c>
      <c r="B25" s="1682" t="s">
        <v>577</v>
      </c>
      <c r="C25" s="1683"/>
    </row>
    <row r="26" spans="1:3">
      <c r="A26" s="1682" t="s">
        <v>1498</v>
      </c>
      <c r="B26" s="1682" t="s">
        <v>577</v>
      </c>
      <c r="C26" s="1683"/>
    </row>
    <row r="27" spans="1:3">
      <c r="A27" s="1682" t="s">
        <v>577</v>
      </c>
      <c r="B27" s="1682" t="s">
        <v>577</v>
      </c>
      <c r="C27" s="1683"/>
    </row>
    <row r="28" spans="1:3">
      <c r="A28" s="1682" t="s">
        <v>577</v>
      </c>
      <c r="B28" s="1682" t="s">
        <v>577</v>
      </c>
      <c r="C28" s="1683"/>
    </row>
    <row r="29" spans="1:3">
      <c r="A29" s="1682" t="s">
        <v>577</v>
      </c>
      <c r="B29" s="1682" t="s">
        <v>577</v>
      </c>
      <c r="C29" s="1683"/>
    </row>
    <row r="30" spans="1:3">
      <c r="A30" s="1682" t="s">
        <v>577</v>
      </c>
      <c r="B30" s="1682" t="s">
        <v>577</v>
      </c>
      <c r="C30" s="1683"/>
    </row>
    <row r="31" spans="1:3">
      <c r="A31" s="1682" t="s">
        <v>577</v>
      </c>
      <c r="B31" s="1682" t="s">
        <v>577</v>
      </c>
      <c r="C31" s="1683"/>
    </row>
    <row r="32" spans="1:3">
      <c r="A32" s="1682" t="s">
        <v>577</v>
      </c>
      <c r="B32" s="1682" t="s">
        <v>577</v>
      </c>
      <c r="C32" s="1683"/>
    </row>
    <row r="33" spans="1:3">
      <c r="A33" s="1682" t="s">
        <v>577</v>
      </c>
      <c r="B33" s="1682" t="s">
        <v>577</v>
      </c>
      <c r="C33" s="1683"/>
    </row>
    <row r="34" spans="1:3">
      <c r="A34" s="1682" t="s">
        <v>577</v>
      </c>
      <c r="B34" s="1682" t="s">
        <v>577</v>
      </c>
      <c r="C34" s="1683"/>
    </row>
    <row r="35" spans="1:3">
      <c r="A35" s="1682" t="s">
        <v>577</v>
      </c>
      <c r="B35" s="1682" t="s">
        <v>577</v>
      </c>
      <c r="C35" s="1683"/>
    </row>
    <row r="36" spans="1:3">
      <c r="A36" s="1682" t="s">
        <v>577</v>
      </c>
      <c r="B36" s="1682" t="s">
        <v>577</v>
      </c>
      <c r="C36" s="1683"/>
    </row>
    <row r="37" spans="1:3">
      <c r="A37" s="1682" t="s">
        <v>577</v>
      </c>
      <c r="B37" s="1682" t="s">
        <v>577</v>
      </c>
      <c r="C37" s="1683"/>
    </row>
    <row r="38" spans="1:3">
      <c r="A38" s="1682" t="s">
        <v>577</v>
      </c>
      <c r="B38" s="1682" t="s">
        <v>577</v>
      </c>
      <c r="C38" s="1683"/>
    </row>
    <row r="39" spans="1:3">
      <c r="A39" s="1682" t="s">
        <v>577</v>
      </c>
      <c r="B39" s="1682" t="s">
        <v>577</v>
      </c>
      <c r="C39" s="1683"/>
    </row>
    <row r="40" spans="1:3">
      <c r="A40" s="1682" t="s">
        <v>577</v>
      </c>
      <c r="B40" s="1682" t="s">
        <v>577</v>
      </c>
      <c r="C40" s="1683"/>
    </row>
    <row r="41" spans="1:3">
      <c r="A41" s="1682" t="s">
        <v>577</v>
      </c>
      <c r="B41" s="1682" t="s">
        <v>577</v>
      </c>
      <c r="C41" s="1683"/>
    </row>
    <row r="42" spans="1:3">
      <c r="A42" s="1682" t="s">
        <v>577</v>
      </c>
      <c r="B42" s="1682" t="s">
        <v>577</v>
      </c>
      <c r="C42" s="1683"/>
    </row>
    <row r="43" spans="1:3">
      <c r="A43" s="1682" t="s">
        <v>577</v>
      </c>
      <c r="B43" s="1682" t="s">
        <v>577</v>
      </c>
      <c r="C43" s="1683"/>
    </row>
    <row r="44" spans="1:3">
      <c r="A44" s="1682" t="s">
        <v>577</v>
      </c>
      <c r="B44" s="1682" t="s">
        <v>577</v>
      </c>
      <c r="C44" s="1683"/>
    </row>
    <row r="45" spans="1:3">
      <c r="A45" s="1682" t="s">
        <v>577</v>
      </c>
      <c r="B45" s="1682" t="s">
        <v>577</v>
      </c>
      <c r="C45" s="1683"/>
    </row>
    <row r="46" spans="1:3">
      <c r="A46" s="1682" t="s">
        <v>577</v>
      </c>
      <c r="B46" s="1682" t="s">
        <v>577</v>
      </c>
      <c r="C46" s="1683"/>
    </row>
    <row r="47" spans="1:3">
      <c r="A47" s="1682" t="s">
        <v>577</v>
      </c>
      <c r="B47" s="1682" t="s">
        <v>577</v>
      </c>
      <c r="C47" s="1683"/>
    </row>
    <row r="48" spans="1:3">
      <c r="A48" s="1682" t="s">
        <v>577</v>
      </c>
      <c r="B48" s="1682" t="s">
        <v>577</v>
      </c>
      <c r="C48" s="1683"/>
    </row>
    <row r="49" spans="1:4">
      <c r="A49" s="1682" t="s">
        <v>577</v>
      </c>
      <c r="B49" s="1682" t="s">
        <v>577</v>
      </c>
      <c r="C49" s="1683"/>
    </row>
    <row r="50" spans="1:4">
      <c r="A50" s="1682" t="s">
        <v>577</v>
      </c>
      <c r="B50" s="1682" t="s">
        <v>577</v>
      </c>
      <c r="C50" s="1683"/>
    </row>
    <row r="51" spans="1:4">
      <c r="A51" s="1689" t="s">
        <v>644</v>
      </c>
      <c r="B51" s="169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690" t="s">
        <v>1011</v>
      </c>
    </row>
    <row r="52" spans="1:4">
      <c r="A52" s="1689" t="s">
        <v>645</v>
      </c>
      <c r="B52" s="1689" t="s">
        <v>646</v>
      </c>
      <c r="C52" s="1687" t="s">
        <v>647</v>
      </c>
      <c r="D52" s="1687" t="s">
        <v>648</v>
      </c>
    </row>
    <row r="53" spans="1:4">
      <c r="A53" s="3274" t="s">
        <v>649</v>
      </c>
      <c r="B53" s="1690" t="s">
        <v>650</v>
      </c>
      <c r="C53" s="168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11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74"/>
      <c r="B54" s="1690" t="s">
        <v>651</v>
      </c>
      <c r="C54" s="1687" t="s">
        <v>1008</v>
      </c>
    </row>
    <row r="55" spans="1:4">
      <c r="A55" s="3274"/>
      <c r="B55" s="1690" t="s">
        <v>652</v>
      </c>
      <c r="C55" s="1687" t="s">
        <v>1009</v>
      </c>
    </row>
    <row r="56" spans="1:4">
      <c r="A56" s="3274"/>
      <c r="B56" s="1690" t="s">
        <v>653</v>
      </c>
      <c r="C56" s="1687" t="s">
        <v>1013</v>
      </c>
    </row>
    <row r="57" spans="1:4">
      <c r="A57" s="3274"/>
      <c r="B57" s="1690" t="s">
        <v>654</v>
      </c>
      <c r="C57" s="1687" t="s">
        <v>1010</v>
      </c>
    </row>
    <row r="58" spans="1:4">
      <c r="A58" s="1691"/>
      <c r="B58" s="1687"/>
    </row>
    <row r="59" spans="1:4">
      <c r="A59" s="1691"/>
      <c r="B59" s="1687"/>
    </row>
    <row r="60" spans="1:4">
      <c r="A60" s="1691"/>
      <c r="B60" s="1687"/>
    </row>
    <row r="61" spans="1:4">
      <c r="A61" s="1691"/>
      <c r="B61" s="1687"/>
    </row>
    <row r="62" spans="1:4">
      <c r="A62" s="1691"/>
      <c r="B62" s="1687"/>
    </row>
    <row r="63" spans="1:4">
      <c r="A63" s="1691"/>
      <c r="B63" s="1687"/>
    </row>
    <row r="64" spans="1:4">
      <c r="A64" s="1691"/>
      <c r="B64" s="1687"/>
    </row>
    <row r="65" spans="1:2">
      <c r="A65" s="1691"/>
      <c r="B65" s="1687"/>
    </row>
    <row r="66" spans="1:2">
      <c r="A66" s="1691"/>
      <c r="B66" s="1687"/>
    </row>
    <row r="67" spans="1:2">
      <c r="A67" s="1691"/>
      <c r="B67" s="1687"/>
    </row>
    <row r="68" spans="1:2">
      <c r="A68" s="1691"/>
      <c r="B68" s="1687"/>
    </row>
    <row r="69" spans="1:2">
      <c r="A69" s="1691"/>
      <c r="B69" s="1687"/>
    </row>
    <row r="70" spans="1:2">
      <c r="A70" s="1691"/>
      <c r="B70" s="1687"/>
    </row>
    <row r="71" spans="1:2">
      <c r="A71" s="1691"/>
      <c r="B71" s="1687"/>
    </row>
    <row r="72" spans="1:2">
      <c r="A72" s="1691"/>
      <c r="B72" s="1687"/>
    </row>
    <row r="73" spans="1:2">
      <c r="A73" s="1691"/>
      <c r="B73" s="1687"/>
    </row>
    <row r="74" spans="1:2">
      <c r="A74" s="1691"/>
      <c r="B74" s="1687"/>
    </row>
    <row r="75" spans="1:2">
      <c r="A75" s="1691"/>
      <c r="B75" s="1687"/>
    </row>
    <row r="76" spans="1:2">
      <c r="A76" s="1691"/>
      <c r="B76" s="1687"/>
    </row>
    <row r="77" spans="1:2">
      <c r="A77" s="1691"/>
      <c r="B77" s="1687"/>
    </row>
    <row r="78" spans="1:2">
      <c r="A78" s="1691"/>
      <c r="B78" s="1687"/>
    </row>
    <row r="79" spans="1:2">
      <c r="A79" s="1691"/>
      <c r="B79" s="1687"/>
    </row>
    <row r="80" spans="1:2">
      <c r="A80" s="1691"/>
      <c r="B80" s="1687"/>
    </row>
    <row r="81" spans="1:2">
      <c r="A81" s="1691"/>
      <c r="B81" s="1687"/>
    </row>
    <row r="82" spans="1:2">
      <c r="A82" s="1691"/>
      <c r="B82" s="1687"/>
    </row>
    <row r="83" spans="1:2">
      <c r="A83" s="1691"/>
      <c r="B83" s="1687"/>
    </row>
    <row r="84" spans="1:2">
      <c r="A84" s="1691"/>
      <c r="B84" s="1687"/>
    </row>
    <row r="85" spans="1:2">
      <c r="A85" s="1691"/>
      <c r="B85" s="1687"/>
    </row>
    <row r="86" spans="1:2">
      <c r="A86" s="1691"/>
      <c r="B86" s="1687"/>
    </row>
    <row r="87" spans="1:2">
      <c r="A87" s="1691"/>
      <c r="B87" s="1687"/>
    </row>
    <row r="88" spans="1:2">
      <c r="A88" s="1691"/>
      <c r="B88" s="1687"/>
    </row>
    <row r="89" spans="1:2">
      <c r="A89" s="1691"/>
      <c r="B89" s="1687"/>
    </row>
    <row r="90" spans="1:2">
      <c r="A90" s="1691"/>
      <c r="B90" s="1687"/>
    </row>
    <row r="91" spans="1:2">
      <c r="A91" s="1691"/>
      <c r="B91" s="1687"/>
    </row>
    <row r="92" spans="1:2">
      <c r="A92" s="1691"/>
      <c r="B92" s="1687"/>
    </row>
    <row r="93" spans="1:2">
      <c r="A93" s="1691"/>
      <c r="B93" s="1687"/>
    </row>
    <row r="94" spans="1:2">
      <c r="A94" s="1691"/>
      <c r="B94" s="1687"/>
    </row>
    <row r="95" spans="1:2">
      <c r="A95" s="1691"/>
      <c r="B95" s="1687"/>
    </row>
    <row r="96" spans="1:2">
      <c r="A96" s="1691"/>
      <c r="B96" s="1687"/>
    </row>
    <row r="97" spans="1:2">
      <c r="A97" s="1691"/>
      <c r="B97" s="1687"/>
    </row>
    <row r="98" spans="1:2">
      <c r="A98" s="1691"/>
      <c r="B98" s="1687"/>
    </row>
    <row r="99" spans="1:2">
      <c r="A99" s="1691"/>
      <c r="B99" s="1687"/>
    </row>
    <row r="100" spans="1:2">
      <c r="A100" s="1691"/>
      <c r="B100" s="1687"/>
    </row>
    <row r="101" spans="1:2">
      <c r="A101" s="1691"/>
      <c r="B101" s="1687"/>
    </row>
    <row r="102" spans="1:2">
      <c r="A102" s="1691"/>
      <c r="B102" s="1687"/>
    </row>
    <row r="103" spans="1:2">
      <c r="A103" s="1691"/>
      <c r="B103" s="1687"/>
    </row>
    <row r="104" spans="1:2">
      <c r="A104" s="1691"/>
      <c r="B104" s="1687"/>
    </row>
    <row r="105" spans="1:2">
      <c r="A105" s="1691"/>
      <c r="B105" s="1687"/>
    </row>
    <row r="106" spans="1:2">
      <c r="A106" s="1691"/>
      <c r="B106" s="1687"/>
    </row>
    <row r="107" spans="1:2">
      <c r="A107" s="1691"/>
      <c r="B107" s="1687"/>
    </row>
    <row r="108" spans="1:2">
      <c r="A108" s="1691"/>
      <c r="B108" s="1687"/>
    </row>
    <row r="109" spans="1:2">
      <c r="A109" s="1691"/>
      <c r="B109" s="1687"/>
    </row>
    <row r="110" spans="1:2">
      <c r="A110" s="1691"/>
      <c r="B110" s="1687"/>
    </row>
    <row r="111" spans="1:2">
      <c r="A111" s="1691"/>
      <c r="B111" s="1687"/>
    </row>
    <row r="112" spans="1:2">
      <c r="A112" s="1691"/>
      <c r="B112" s="1687"/>
    </row>
    <row r="113" spans="1:2">
      <c r="A113" s="1691"/>
      <c r="B113" s="1687"/>
    </row>
    <row r="114" spans="1:2">
      <c r="A114" s="1691"/>
      <c r="B114" s="1687"/>
    </row>
    <row r="115" spans="1:2">
      <c r="A115" s="1691"/>
      <c r="B115" s="1687"/>
    </row>
    <row r="116" spans="1:2">
      <c r="A116" s="1691"/>
      <c r="B116" s="1687"/>
    </row>
    <row r="117" spans="1:2">
      <c r="A117" s="1691"/>
      <c r="B117" s="1687"/>
    </row>
    <row r="118" spans="1:2">
      <c r="A118" s="1691"/>
      <c r="B118" s="1687"/>
    </row>
    <row r="119" spans="1:2">
      <c r="A119" s="1691"/>
      <c r="B119" s="1687"/>
    </row>
    <row r="120" spans="1:2">
      <c r="A120" s="1691"/>
      <c r="B120" s="1687"/>
    </row>
    <row r="121" spans="1:2">
      <c r="A121" s="1691"/>
      <c r="B121" s="1687"/>
    </row>
    <row r="122" spans="1:2">
      <c r="A122" s="1691"/>
      <c r="B122" s="1687"/>
    </row>
    <row r="123" spans="1:2">
      <c r="A123" s="1691"/>
      <c r="B123" s="1687"/>
    </row>
    <row r="124" spans="1:2">
      <c r="A124" s="1691"/>
      <c r="B124" s="1687"/>
    </row>
    <row r="125" spans="1:2">
      <c r="A125" s="1691"/>
      <c r="B125" s="1687"/>
    </row>
    <row r="126" spans="1:2">
      <c r="A126" s="1691"/>
      <c r="B126" s="1687"/>
    </row>
    <row r="127" spans="1:2">
      <c r="A127" s="1691"/>
      <c r="B127" s="168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H21" sqref="H21"/>
    </sheetView>
  </sheetViews>
  <sheetFormatPr defaultColWidth="10" defaultRowHeight="12.75"/>
  <cols>
    <col min="1" max="1" width="16.875" style="1882" customWidth="1"/>
    <col min="2" max="2" width="10" style="1882" customWidth="1"/>
    <col min="3" max="3" width="11.5" style="1882" customWidth="1"/>
    <col min="4" max="4" width="10" style="1882" customWidth="1"/>
    <col min="5" max="5" width="12.625" style="1882" customWidth="1"/>
    <col min="6" max="6" width="10" style="1882" customWidth="1"/>
    <col min="7" max="7" width="10.75" style="1882" customWidth="1"/>
    <col min="8" max="8" width="10" style="1882" customWidth="1"/>
    <col min="9" max="9" width="11.125" style="1715" customWidth="1"/>
    <col min="10" max="10" width="10" style="1880" customWidth="1"/>
    <col min="11" max="11" width="10" style="2805" customWidth="1"/>
    <col min="12" max="13" width="10" style="2806" customWidth="1"/>
    <col min="14" max="14" width="10" style="1880" customWidth="1"/>
    <col min="15" max="15" width="10" style="12" customWidth="1"/>
    <col min="16" max="17" width="10" style="1880"/>
    <col min="18" max="18" width="10" style="1880" customWidth="1"/>
    <col min="19" max="30" width="10" style="1880"/>
    <col min="31" max="16384" width="10" style="1882"/>
  </cols>
  <sheetData>
    <row r="1" spans="1:28" ht="13.5" thickBot="1">
      <c r="A1" s="2540" t="s">
        <v>2668</v>
      </c>
      <c r="B1" s="3275" t="str">
        <f>IF(B10="北京市","北京市",C10)&amp;F10&amp;IF(结果表!G1="在建","出让国有建设用地使用权及在建建筑物",IF(结果表!G1="土地","出让国有建设用地使用权",))&amp;B9&amp;"预评估"</f>
        <v>北京市房地产抵押价值预评估</v>
      </c>
      <c r="C1" s="3276"/>
      <c r="D1" s="3276"/>
      <c r="E1" s="3276"/>
      <c r="F1" s="3276"/>
      <c r="G1" s="3276"/>
      <c r="H1" s="3276"/>
      <c r="I1" s="3277"/>
      <c r="J1" s="2647"/>
      <c r="K1" s="2542"/>
      <c r="L1" s="2543"/>
      <c r="M1" s="2543"/>
      <c r="N1" s="2544"/>
      <c r="O1" s="1712"/>
      <c r="P1" s="2544"/>
      <c r="Q1" s="2544"/>
      <c r="R1" s="2544"/>
      <c r="S1" s="1819" t="str">
        <f>IF(B10="北京市","北京市",C10)&amp;F10&amp;IF(结果表!G1="在建","出让国有建设用地使用权及在建建筑物房地产抵押价值",IF(结果表!G1="土地","出让国有建设用地使用权抵押价值",B9))</f>
        <v>北京市房地产抵押价值</v>
      </c>
      <c r="T1" s="1882"/>
      <c r="U1" s="1882"/>
      <c r="V1" s="1882"/>
      <c r="W1" s="1882"/>
      <c r="X1" s="1882"/>
      <c r="Y1" s="1882"/>
      <c r="Z1" s="1882"/>
      <c r="AA1" s="1882"/>
      <c r="AB1" s="1882"/>
    </row>
    <row r="2" spans="1:28">
      <c r="A2" s="2541" t="s">
        <v>2669</v>
      </c>
      <c r="B2" s="2545"/>
      <c r="C2" s="2546"/>
      <c r="D2" s="2849"/>
      <c r="E2" s="2839"/>
      <c r="F2" s="2839"/>
      <c r="G2" s="2840"/>
      <c r="H2" s="2840"/>
      <c r="I2" s="2840"/>
      <c r="J2" s="2647"/>
      <c r="K2" s="2542"/>
      <c r="L2" s="2543"/>
      <c r="M2" s="2543"/>
      <c r="N2" s="2544"/>
      <c r="O2" s="1712"/>
      <c r="P2" s="2544"/>
      <c r="Q2" s="2544"/>
      <c r="R2" s="2544"/>
      <c r="S2" s="1819" t="str">
        <f>IF(B10="北京市","北京市",C10)&amp;F10&amp;IF(结果表!G1="在建","出让国有建设用地使用权及在建建筑物房地产",IF(结果表!G1="土地","出让国有建设用地使用权","房地产"))</f>
        <v>北京市房地产</v>
      </c>
      <c r="T2" s="1882"/>
      <c r="U2" s="1882"/>
      <c r="V2" s="1882"/>
      <c r="W2" s="1882"/>
      <c r="X2" s="1882"/>
      <c r="Y2" s="1882"/>
      <c r="Z2" s="1882"/>
      <c r="AA2" s="1882"/>
      <c r="AB2" s="1882"/>
    </row>
    <row r="3" spans="1:28">
      <c r="A3" s="308" t="s">
        <v>2670</v>
      </c>
      <c r="B3" s="2547"/>
      <c r="C3" s="2548" t="s">
        <v>2671</v>
      </c>
      <c r="D3" s="2547">
        <v>44869</v>
      </c>
      <c r="E3" s="2840"/>
      <c r="F3" s="2840"/>
      <c r="G3" s="2840"/>
      <c r="H3" s="2840"/>
      <c r="I3" s="2840"/>
      <c r="J3" s="2647"/>
      <c r="K3" s="2542"/>
      <c r="L3" s="2543"/>
      <c r="M3" s="2543"/>
      <c r="N3" s="2544"/>
      <c r="O3" s="1712"/>
      <c r="P3" s="2544"/>
      <c r="Q3" s="2544"/>
      <c r="R3" s="2544"/>
      <c r="S3" s="1819"/>
      <c r="T3" s="1882"/>
      <c r="U3" s="1882"/>
      <c r="V3" s="1882"/>
      <c r="W3" s="1882"/>
      <c r="X3" s="1882"/>
      <c r="Y3" s="1882"/>
      <c r="Z3" s="1882"/>
      <c r="AA3" s="1882"/>
      <c r="AB3" s="1882"/>
    </row>
    <row r="4" spans="1:28" ht="13.5" thickBot="1">
      <c r="A4" s="1203" t="s">
        <v>2672</v>
      </c>
      <c r="B4" s="2549"/>
      <c r="C4" s="2550">
        <f>SUMIF(注册房地产估价师,B4,估价师及机构信息!B3:B24)</f>
        <v>0</v>
      </c>
      <c r="D4" s="2549"/>
      <c r="E4" s="2551">
        <f>SUMIF(注册房地产估价师,D4,估价师及机构信息!B3:B24)</f>
        <v>0</v>
      </c>
      <c r="F4" s="2549"/>
      <c r="G4" s="2551">
        <f>SUMIF(注册房地产估价师,F4,估价师及机构信息!B3:B24)</f>
        <v>0</v>
      </c>
      <c r="H4" s="2549"/>
      <c r="I4" s="2551">
        <f>SUMIF(注册房地产估价师,H4,估价师及机构信息!B3:B24)</f>
        <v>0</v>
      </c>
      <c r="J4" s="2615"/>
      <c r="K4" s="2552" t="str">
        <f>CONCATENATE(B4,"（注册号：",C4,")、",D4,"（注册号：",E4,")")</f>
        <v>（注册号：0)、（注册号：0)</v>
      </c>
      <c r="L4" s="2543"/>
      <c r="M4" s="2543"/>
      <c r="N4" s="2544"/>
      <c r="O4" s="1712"/>
      <c r="P4" s="2544"/>
      <c r="Q4" s="2544"/>
      <c r="R4" s="2544"/>
      <c r="S4" s="1819"/>
      <c r="T4" s="1882"/>
      <c r="U4" s="1882"/>
      <c r="V4" s="1882"/>
      <c r="W4" s="1882"/>
      <c r="X4" s="1882"/>
      <c r="Y4" s="1882"/>
      <c r="Z4" s="1882"/>
      <c r="AA4" s="1882"/>
      <c r="AB4" s="1882"/>
    </row>
    <row r="5" spans="1:28" ht="13.5" thickTop="1">
      <c r="A5" s="2553" t="s">
        <v>2673</v>
      </c>
      <c r="B5" s="2554"/>
      <c r="C5" s="2555"/>
      <c r="D5" s="2556"/>
      <c r="E5" s="2841"/>
      <c r="F5" s="2841"/>
      <c r="G5" s="2841"/>
      <c r="H5" s="2841"/>
      <c r="I5" s="2841"/>
      <c r="J5" s="2615"/>
      <c r="K5" s="2552" t="str">
        <f>IF(F4="——","",IF(H4="——",F4&amp;"（注册号："&amp;G4&amp;")",CONCATENATE(F4,"（注册号：",G4,")、",H4,"（注册号：",I4,")")))</f>
        <v>（注册号：0)、（注册号：0)</v>
      </c>
      <c r="L5" s="2543"/>
      <c r="M5" s="2543"/>
      <c r="N5" s="2544"/>
      <c r="O5" s="1712"/>
      <c r="P5" s="2544"/>
      <c r="Q5" s="2544"/>
      <c r="R5" s="2544"/>
      <c r="S5" s="1882"/>
      <c r="T5" s="1882"/>
      <c r="U5" s="1882"/>
      <c r="V5" s="1882"/>
      <c r="W5" s="1882"/>
      <c r="X5" s="1882"/>
      <c r="Y5" s="1882"/>
      <c r="Z5" s="1882"/>
      <c r="AA5" s="1882"/>
      <c r="AB5" s="1882"/>
    </row>
    <row r="6" spans="1:28">
      <c r="A6" s="2557" t="s">
        <v>2674</v>
      </c>
      <c r="B6" s="2558"/>
      <c r="C6" s="2559"/>
      <c r="D6" s="2560"/>
      <c r="E6" s="2839"/>
      <c r="F6" s="2841"/>
      <c r="G6" s="2841"/>
      <c r="H6" s="2841"/>
      <c r="I6" s="2841"/>
      <c r="J6" s="2615"/>
      <c r="K6" s="2791" t="str">
        <f>IF(COUNTIF(B6,"*上海银行*"),"上海银行","")</f>
        <v/>
      </c>
      <c r="L6" s="2789"/>
      <c r="M6" s="2789"/>
      <c r="N6" s="2615"/>
      <c r="O6" s="2626"/>
      <c r="P6" s="2615"/>
      <c r="Q6" s="2615"/>
      <c r="R6" s="2615"/>
    </row>
    <row r="7" spans="1:28">
      <c r="A7" s="2557" t="s">
        <v>2675</v>
      </c>
      <c r="B7" s="2561"/>
      <c r="C7" s="2559"/>
      <c r="D7" s="2560"/>
      <c r="E7" s="2839"/>
      <c r="F7" s="2841"/>
      <c r="G7" s="2841"/>
      <c r="H7" s="2841"/>
      <c r="I7" s="2841"/>
      <c r="J7" s="2615"/>
      <c r="K7" s="2792"/>
      <c r="L7" s="2789"/>
      <c r="M7" s="2789"/>
      <c r="N7" s="2615"/>
      <c r="O7" s="2626"/>
      <c r="P7" s="2615"/>
      <c r="Q7" s="2615"/>
      <c r="R7" s="2615"/>
    </row>
    <row r="8" spans="1:28">
      <c r="A8" s="2562" t="s">
        <v>2676</v>
      </c>
      <c r="B8" s="2563" t="s">
        <v>3175</v>
      </c>
      <c r="C8" s="2564"/>
      <c r="D8" s="3278" t="s">
        <v>2677</v>
      </c>
      <c r="E8" s="2565" t="s">
        <v>3176</v>
      </c>
      <c r="F8" s="2566"/>
      <c r="G8" s="2840"/>
      <c r="H8" s="2840"/>
      <c r="I8" s="2840"/>
      <c r="J8" s="2615"/>
      <c r="K8" s="2790"/>
      <c r="L8" s="2789"/>
      <c r="M8" s="2789"/>
      <c r="N8" s="2615"/>
      <c r="O8" s="2626"/>
      <c r="P8" s="2615"/>
      <c r="Q8" s="2615"/>
      <c r="R8" s="2615"/>
    </row>
    <row r="9" spans="1:28" ht="13.5" thickBot="1">
      <c r="A9" s="2567" t="s">
        <v>2678</v>
      </c>
      <c r="B9" s="2568" t="s">
        <v>3176</v>
      </c>
      <c r="C9" s="2569"/>
      <c r="D9" s="3279"/>
      <c r="E9" s="2568" t="s">
        <v>70</v>
      </c>
      <c r="F9" s="2570"/>
      <c r="G9" s="2842"/>
      <c r="H9" s="2842"/>
      <c r="I9" s="2842"/>
      <c r="J9" s="2615"/>
      <c r="K9" s="2792"/>
      <c r="L9" s="2789"/>
      <c r="M9" s="2789"/>
      <c r="N9" s="2615"/>
      <c r="O9" s="2626"/>
      <c r="P9" s="2615"/>
      <c r="Q9" s="2615"/>
      <c r="R9" s="2615"/>
    </row>
    <row r="10" spans="1:28" ht="13.5" thickTop="1">
      <c r="A10" s="2571" t="s">
        <v>2679</v>
      </c>
      <c r="B10" s="2572" t="s">
        <v>3177</v>
      </c>
      <c r="C10" s="2573"/>
      <c r="D10" s="2556"/>
      <c r="E10" s="2574" t="s">
        <v>2680</v>
      </c>
      <c r="F10" s="2843"/>
      <c r="G10" s="2844"/>
      <c r="H10" s="2845"/>
      <c r="I10" s="2846"/>
      <c r="J10" s="2615"/>
      <c r="K10" s="2792"/>
      <c r="L10" s="2789"/>
      <c r="M10" s="2789"/>
      <c r="N10" s="2615"/>
      <c r="O10" s="2626"/>
      <c r="P10" s="2615"/>
      <c r="Q10" s="2615"/>
      <c r="R10" s="2615"/>
    </row>
    <row r="11" spans="1:28">
      <c r="A11" s="2575" t="s">
        <v>2681</v>
      </c>
      <c r="B11" s="2576" t="s">
        <v>3178</v>
      </c>
      <c r="C11" s="2577"/>
      <c r="D11" s="2578"/>
      <c r="E11" s="2544"/>
      <c r="F11" s="2544"/>
      <c r="G11" s="2544"/>
      <c r="H11" s="2544"/>
      <c r="I11" s="2544"/>
      <c r="J11" s="2615"/>
      <c r="K11" s="2792"/>
      <c r="L11" s="2789"/>
      <c r="M11" s="2789"/>
      <c r="N11" s="2615"/>
      <c r="O11" s="2626"/>
      <c r="P11" s="2615"/>
      <c r="Q11" s="2615"/>
      <c r="R11" s="2615"/>
    </row>
    <row r="12" spans="1:28">
      <c r="A12" s="2579" t="s">
        <v>2682</v>
      </c>
      <c r="B12" s="2576" t="s">
        <v>3174</v>
      </c>
      <c r="C12" s="329" t="s">
        <v>2683</v>
      </c>
      <c r="D12" s="2580" t="s">
        <v>2684</v>
      </c>
      <c r="E12" s="2580" t="s">
        <v>2685</v>
      </c>
      <c r="F12" s="2580" t="s">
        <v>2686</v>
      </c>
      <c r="G12" s="2580" t="s">
        <v>2687</v>
      </c>
      <c r="H12" s="2580" t="s">
        <v>2688</v>
      </c>
      <c r="I12" s="2580" t="s">
        <v>2689</v>
      </c>
      <c r="J12" s="2615"/>
      <c r="K12" s="2792"/>
      <c r="L12" s="2789"/>
      <c r="M12" s="2789"/>
      <c r="N12" s="2615"/>
      <c r="O12" s="2626"/>
      <c r="P12" s="2615"/>
      <c r="Q12" s="2615"/>
      <c r="R12" s="2615"/>
    </row>
    <row r="13" spans="1:28">
      <c r="A13" s="1194"/>
      <c r="B13" s="2581"/>
      <c r="C13" s="2582" t="s">
        <v>2690</v>
      </c>
      <c r="D13" s="946"/>
      <c r="E13" s="946">
        <v>59479</v>
      </c>
      <c r="F13" s="946"/>
      <c r="G13" s="946"/>
      <c r="H13" s="946"/>
      <c r="I13" s="946"/>
      <c r="J13" s="2615"/>
      <c r="K13" s="2792"/>
      <c r="L13" s="2789"/>
      <c r="M13" s="2789"/>
      <c r="N13" s="2615"/>
      <c r="O13" s="2626"/>
      <c r="P13" s="2615"/>
      <c r="Q13" s="2615"/>
      <c r="R13" s="2615"/>
    </row>
    <row r="14" spans="1:28">
      <c r="A14" s="1194"/>
      <c r="B14" s="2581"/>
      <c r="C14" s="2582" t="s">
        <v>2691</v>
      </c>
      <c r="D14" s="2583"/>
      <c r="E14" s="2583">
        <v>40</v>
      </c>
      <c r="F14" s="2583"/>
      <c r="G14" s="2583"/>
      <c r="H14" s="2583"/>
      <c r="I14" s="2583"/>
      <c r="J14" s="2615"/>
      <c r="K14" s="2793"/>
      <c r="L14" s="2789"/>
      <c r="M14" s="2789"/>
      <c r="N14" s="2615"/>
      <c r="O14" s="2626"/>
      <c r="P14" s="2615"/>
      <c r="Q14" s="2615"/>
      <c r="R14" s="2615"/>
    </row>
    <row r="15" spans="1:28">
      <c r="A15" s="326"/>
      <c r="B15" s="2584"/>
      <c r="C15" s="2585" t="s">
        <v>2692</v>
      </c>
      <c r="D15" s="2586" t="str">
        <f>IF(B12="出让",IF(D13="","",ROUNDDOWN(MIN((D13-$D$3)/365,D14),2)),D14)</f>
        <v/>
      </c>
      <c r="E15" s="2586">
        <f>IF(B12="出让",IF(E13="","",ROUNDDOWN(MIN((E13-$D$3)/365,E14),2)),E14)</f>
        <v>40</v>
      </c>
      <c r="F15" s="2586" t="str">
        <f>IF(B12="出让",IF(F13="","",ROUNDDOWN(MIN((F13-$D$3)/365,F14),2)),F14)</f>
        <v/>
      </c>
      <c r="G15" s="2586" t="str">
        <f>IF(B12="出让",IF(G13="","",ROUNDDOWN(MIN((G13-$D$3)/365,G14),2)),G14)</f>
        <v/>
      </c>
      <c r="H15" s="2586" t="str">
        <f>IF(B12="出让",IF(H13="","",ROUNDDOWN(MIN((H13-$D$3)/365,H14),2)),H14)</f>
        <v/>
      </c>
      <c r="I15" s="2586" t="str">
        <f>IF(B12="出让",IF(I13="","",ROUNDDOWN(MIN((I13-$D$3)/365,I14),2)),I14)</f>
        <v/>
      </c>
      <c r="J15" s="2615"/>
      <c r="K15" s="2794"/>
      <c r="L15" s="2627"/>
      <c r="M15" s="2627"/>
      <c r="N15" s="2685"/>
      <c r="O15" s="2627"/>
      <c r="P15" s="2685"/>
      <c r="Q15" s="2615"/>
      <c r="R15" s="2615"/>
    </row>
    <row r="16" spans="1:28">
      <c r="A16" s="2574" t="s">
        <v>2693</v>
      </c>
      <c r="B16" s="3285"/>
      <c r="C16" s="3286"/>
      <c r="D16" s="3287"/>
      <c r="E16" s="2589" t="s">
        <v>2694</v>
      </c>
      <c r="F16" s="3288"/>
      <c r="G16" s="3289"/>
      <c r="H16" s="3289"/>
      <c r="I16" s="3290"/>
      <c r="J16" s="2615"/>
      <c r="K16" s="2794"/>
      <c r="L16" s="2627"/>
      <c r="M16" s="2627"/>
      <c r="N16" s="2685"/>
      <c r="O16" s="2627"/>
      <c r="P16" s="2685"/>
      <c r="Q16" s="2615"/>
      <c r="R16" s="2615"/>
    </row>
    <row r="17" spans="1:28">
      <c r="A17" s="319" t="s">
        <v>2695</v>
      </c>
      <c r="B17" s="308" t="s">
        <v>2696</v>
      </c>
      <c r="C17" s="11">
        <f>'数据-汇总表'!E3</f>
        <v>6531.86</v>
      </c>
      <c r="D17" s="2496" t="s">
        <v>2697</v>
      </c>
      <c r="E17" s="3291" t="s">
        <v>2698</v>
      </c>
      <c r="F17" s="3292"/>
      <c r="G17" s="3292"/>
      <c r="H17" s="3292"/>
      <c r="I17" s="3293"/>
      <c r="J17" s="2615"/>
      <c r="K17" s="2795"/>
      <c r="L17" s="2627"/>
      <c r="M17" s="2627"/>
      <c r="N17" s="2685"/>
      <c r="O17" s="2627"/>
      <c r="P17" s="2685"/>
      <c r="Q17" s="2615"/>
      <c r="R17" s="2615"/>
      <c r="S17" s="2615"/>
      <c r="T17" s="2615"/>
      <c r="U17" s="2615"/>
      <c r="V17" s="2615"/>
    </row>
    <row r="18" spans="1:28" ht="24.75" thickBot="1">
      <c r="A18" s="2590" t="s">
        <v>2699</v>
      </c>
      <c r="B18" s="1203" t="s">
        <v>2700</v>
      </c>
      <c r="C18" s="2591">
        <f>'数据-汇总表'!D3</f>
        <v>0</v>
      </c>
      <c r="D18" s="1205" t="s">
        <v>2701</v>
      </c>
      <c r="E18" s="3294" t="s">
        <v>2702</v>
      </c>
      <c r="F18" s="3295"/>
      <c r="G18" s="3295"/>
      <c r="H18" s="3295"/>
      <c r="I18" s="3296"/>
      <c r="J18" s="2615"/>
      <c r="K18" s="2795"/>
      <c r="L18" s="2627"/>
      <c r="M18" s="2627"/>
      <c r="N18" s="2685"/>
      <c r="O18" s="2627"/>
      <c r="P18" s="2685"/>
      <c r="Q18" s="2615"/>
      <c r="R18" s="2615"/>
      <c r="S18" s="2615"/>
      <c r="T18" s="2615"/>
      <c r="U18" s="2615"/>
      <c r="V18" s="2615"/>
    </row>
    <row r="19" spans="1:28" ht="37.5" thickTop="1" thickBot="1">
      <c r="A19" s="333" t="s">
        <v>1499</v>
      </c>
      <c r="B19" s="313" t="s">
        <v>2703</v>
      </c>
      <c r="C19" s="1699"/>
      <c r="D19" s="1700" t="s">
        <v>2704</v>
      </c>
      <c r="E19" s="1701"/>
      <c r="F19" s="1702" t="str">
        <f>IF(AND(C19="是",E19="否"),"是否提供他项权证或相关说明","")</f>
        <v/>
      </c>
      <c r="G19" s="1703"/>
      <c r="H19" s="2841"/>
      <c r="I19" s="2841"/>
      <c r="J19" s="2615"/>
      <c r="K19" s="2792"/>
      <c r="L19" s="2789"/>
      <c r="M19" s="2789"/>
      <c r="N19" s="2685"/>
      <c r="O19" s="2627"/>
      <c r="P19" s="2685"/>
      <c r="Q19" s="2615"/>
      <c r="R19" s="2615"/>
      <c r="S19" s="2615"/>
      <c r="T19" s="2615"/>
      <c r="U19" s="2615"/>
      <c r="V19" s="2615"/>
    </row>
    <row r="20" spans="1:28">
      <c r="A20" s="2809" t="s">
        <v>2705</v>
      </c>
      <c r="B20" s="3281" t="s">
        <v>2706</v>
      </c>
      <c r="C20" s="3282"/>
      <c r="D20" s="3283" t="s">
        <v>2707</v>
      </c>
      <c r="E20" s="3284"/>
      <c r="F20" s="2824" t="s">
        <v>1500</v>
      </c>
      <c r="G20" s="2841"/>
      <c r="H20" s="2841"/>
      <c r="I20" s="2841"/>
      <c r="J20" s="2615"/>
      <c r="K20" s="3280" t="s">
        <v>2708</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3"/>
      <c r="N20" s="2588"/>
      <c r="O20" s="2587"/>
      <c r="P20" s="2588"/>
      <c r="Q20" s="2544"/>
      <c r="R20" s="2544"/>
      <c r="S20" s="2544"/>
      <c r="T20" s="2544"/>
      <c r="U20" s="2544"/>
      <c r="V20" s="2544"/>
      <c r="W20" s="1882"/>
      <c r="X20" s="1882"/>
      <c r="Y20" s="1882"/>
      <c r="Z20" s="1882"/>
      <c r="AA20" s="1882"/>
      <c r="AB20" s="1882"/>
    </row>
    <row r="21" spans="1:28" ht="24.75" thickBot="1">
      <c r="A21" s="2809"/>
      <c r="B21" s="2810" t="s">
        <v>2709</v>
      </c>
      <c r="C21" s="2811" t="s">
        <v>1501</v>
      </c>
      <c r="D21" s="1704" t="s">
        <v>2710</v>
      </c>
      <c r="E21" s="2812" t="s">
        <v>1501</v>
      </c>
      <c r="F21" s="2825"/>
      <c r="G21" s="2841"/>
      <c r="H21" s="2841"/>
      <c r="I21" s="2841"/>
      <c r="J21" s="2615"/>
      <c r="K21" s="3280"/>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3"/>
      <c r="N21" s="2588"/>
      <c r="O21" s="2587"/>
      <c r="P21" s="2588"/>
      <c r="Q21" s="2544"/>
      <c r="R21" s="2544"/>
      <c r="S21" s="2544"/>
      <c r="T21" s="2544"/>
      <c r="U21" s="2544"/>
      <c r="V21" s="2544"/>
      <c r="W21" s="1882"/>
      <c r="X21" s="1882"/>
      <c r="Y21" s="1882"/>
      <c r="Z21" s="1882"/>
      <c r="AA21" s="1882"/>
      <c r="AB21" s="1882"/>
    </row>
    <row r="22" spans="1:28" ht="24.75" thickBot="1">
      <c r="A22" s="2809"/>
      <c r="B22" s="2813" t="s">
        <v>2711</v>
      </c>
      <c r="C22" s="2811" t="s">
        <v>1502</v>
      </c>
      <c r="D22" s="2840"/>
      <c r="E22" s="2840"/>
      <c r="F22" s="2840"/>
      <c r="G22" s="2841"/>
      <c r="H22" s="2841"/>
      <c r="I22" s="2841"/>
      <c r="J22" s="2615"/>
      <c r="K22" s="3280"/>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3"/>
      <c r="N22" s="2588"/>
      <c r="O22" s="2587"/>
      <c r="P22" s="2588"/>
      <c r="Q22" s="2544"/>
      <c r="R22" s="2544"/>
      <c r="S22" s="2544"/>
      <c r="T22" s="2544"/>
      <c r="U22" s="2544"/>
      <c r="V22" s="2544"/>
      <c r="W22" s="1882"/>
      <c r="X22" s="1882"/>
      <c r="Y22" s="1882"/>
      <c r="Z22" s="1882"/>
      <c r="AA22" s="1882"/>
      <c r="AB22" s="1882"/>
    </row>
    <row r="23" spans="1:28">
      <c r="A23" s="2814" t="s">
        <v>2712</v>
      </c>
      <c r="B23" s="2678" t="s">
        <v>2713</v>
      </c>
      <c r="C23" s="2815"/>
      <c r="D23" s="2816" t="s">
        <v>2713</v>
      </c>
      <c r="E23" s="2817"/>
      <c r="F23" s="2840"/>
      <c r="G23" s="2841"/>
      <c r="H23" s="2841"/>
      <c r="I23" s="2841"/>
      <c r="J23" s="2615"/>
      <c r="K23" s="2796"/>
      <c r="L23" s="2651"/>
      <c r="M23" s="2789"/>
      <c r="N23" s="2685"/>
      <c r="O23" s="2627"/>
      <c r="P23" s="2685"/>
      <c r="Q23" s="2615"/>
      <c r="R23" s="2615"/>
      <c r="S23" s="2615"/>
      <c r="T23" s="2615"/>
      <c r="U23" s="2615"/>
      <c r="V23" s="2615"/>
    </row>
    <row r="24" spans="1:28">
      <c r="A24" s="2814"/>
      <c r="B24" s="2678" t="s">
        <v>1503</v>
      </c>
      <c r="C24" s="2818"/>
      <c r="D24" s="2814" t="s">
        <v>1503</v>
      </c>
      <c r="E24" s="2819"/>
      <c r="F24" s="2840"/>
      <c r="G24" s="2841"/>
      <c r="H24" s="2841"/>
      <c r="I24" s="2841"/>
      <c r="J24" s="2615"/>
      <c r="K24" s="2796"/>
      <c r="L24" s="2651"/>
      <c r="M24" s="2789"/>
      <c r="N24" s="2685"/>
      <c r="O24" s="2627"/>
      <c r="P24" s="2685"/>
      <c r="Q24" s="2615"/>
      <c r="R24" s="2615"/>
      <c r="S24" s="2615"/>
      <c r="T24" s="2615"/>
      <c r="U24" s="2615"/>
      <c r="V24" s="2615"/>
    </row>
    <row r="25" spans="1:28">
      <c r="A25" s="2814"/>
      <c r="B25" s="2678" t="s">
        <v>1504</v>
      </c>
      <c r="C25" s="2818"/>
      <c r="D25" s="2814" t="s">
        <v>1504</v>
      </c>
      <c r="E25" s="2819"/>
      <c r="F25" s="2840"/>
      <c r="G25" s="2841"/>
      <c r="H25" s="2841"/>
      <c r="I25" s="2841"/>
      <c r="J25" s="2615"/>
      <c r="K25" s="2792"/>
      <c r="L25" s="2789"/>
      <c r="M25" s="2789"/>
      <c r="N25" s="2685"/>
      <c r="O25" s="2627"/>
      <c r="P25" s="2685"/>
      <c r="Q25" s="2615"/>
      <c r="R25" s="2615"/>
      <c r="S25" s="2615"/>
      <c r="T25" s="2615"/>
      <c r="U25" s="2615"/>
      <c r="V25" s="2615"/>
    </row>
    <row r="26" spans="1:28" ht="13.5" thickBot="1">
      <c r="A26" s="2820"/>
      <c r="B26" s="2821" t="s">
        <v>1505</v>
      </c>
      <c r="C26" s="2822"/>
      <c r="D26" s="2820" t="s">
        <v>1505</v>
      </c>
      <c r="E26" s="2823"/>
      <c r="F26" s="2842"/>
      <c r="G26" s="2842"/>
      <c r="H26" s="2842"/>
      <c r="I26" s="2842"/>
      <c r="J26" s="2615"/>
      <c r="K26" s="2792"/>
      <c r="L26" s="2789"/>
      <c r="M26" s="2789"/>
      <c r="N26" s="2685"/>
      <c r="O26" s="2627"/>
      <c r="P26" s="2685"/>
      <c r="Q26" s="2615"/>
      <c r="R26" s="2615"/>
      <c r="S26" s="2615"/>
      <c r="T26" s="2615"/>
      <c r="U26" s="2615"/>
      <c r="V26" s="2615"/>
    </row>
    <row r="27" spans="1:28" ht="13.5" thickTop="1">
      <c r="A27" s="3298" t="s">
        <v>2714</v>
      </c>
      <c r="B27" s="326" t="s">
        <v>2715</v>
      </c>
      <c r="C27" s="2592"/>
      <c r="D27" s="2593"/>
      <c r="E27" s="2841"/>
      <c r="F27" s="2841"/>
      <c r="G27" s="2841"/>
      <c r="H27" s="2841"/>
      <c r="I27" s="2841"/>
      <c r="J27" s="2615"/>
      <c r="K27" s="2794"/>
      <c r="L27" s="2627"/>
      <c r="M27" s="2627"/>
      <c r="N27" s="2685"/>
      <c r="O27" s="2627"/>
      <c r="P27" s="2685"/>
      <c r="Q27" s="2615"/>
      <c r="R27" s="2615"/>
      <c r="S27" s="2615"/>
      <c r="T27" s="2615"/>
      <c r="U27" s="2615"/>
      <c r="V27" s="2615"/>
    </row>
    <row r="28" spans="1:28">
      <c r="A28" s="3298"/>
      <c r="B28" s="308" t="s">
        <v>2716</v>
      </c>
      <c r="C28" s="2594"/>
      <c r="D28" s="2595"/>
      <c r="E28" s="2841"/>
      <c r="F28" s="2841"/>
      <c r="G28" s="2841"/>
      <c r="H28" s="2841"/>
      <c r="I28" s="2841"/>
      <c r="J28" s="2615"/>
      <c r="K28" s="2792"/>
      <c r="L28" s="2789"/>
      <c r="M28" s="2789"/>
      <c r="N28" s="2615"/>
      <c r="O28" s="2626"/>
      <c r="P28" s="2615"/>
      <c r="Q28" s="2615"/>
      <c r="R28" s="2615"/>
      <c r="S28" s="2615"/>
      <c r="T28" s="2615"/>
      <c r="U28" s="2615"/>
      <c r="V28" s="2615"/>
    </row>
    <row r="29" spans="1:28">
      <c r="A29" s="3298"/>
      <c r="B29" s="308" t="s">
        <v>2717</v>
      </c>
      <c r="C29" s="2596"/>
      <c r="D29" s="2597"/>
      <c r="E29" s="2841"/>
      <c r="F29" s="2841"/>
      <c r="G29" s="2841"/>
      <c r="H29" s="2841"/>
      <c r="I29" s="2841"/>
      <c r="J29" s="2615"/>
      <c r="K29" s="2792"/>
      <c r="L29" s="2789"/>
      <c r="M29" s="2789"/>
      <c r="N29" s="2615"/>
      <c r="O29" s="2626"/>
      <c r="P29" s="2615"/>
      <c r="Q29" s="2615"/>
      <c r="R29" s="2615"/>
      <c r="S29" s="2615"/>
      <c r="T29" s="2615"/>
      <c r="U29" s="2615"/>
      <c r="V29" s="2615"/>
    </row>
    <row r="30" spans="1:28">
      <c r="A30" s="3299"/>
      <c r="B30" s="308" t="s">
        <v>2718</v>
      </c>
      <c r="C30" s="3300"/>
      <c r="D30" s="3301"/>
      <c r="E30" s="2841"/>
      <c r="F30" s="2841"/>
      <c r="G30" s="2841"/>
      <c r="H30" s="2841"/>
      <c r="I30" s="2841"/>
      <c r="J30" s="2615"/>
      <c r="K30" s="2792"/>
      <c r="L30" s="2789"/>
      <c r="M30" s="2789"/>
      <c r="N30" s="2615"/>
      <c r="O30" s="2626"/>
      <c r="P30" s="2615"/>
      <c r="Q30" s="2615"/>
      <c r="R30" s="2615"/>
      <c r="S30" s="2615"/>
      <c r="T30" s="2615"/>
      <c r="U30" s="2615"/>
      <c r="V30" s="2615"/>
    </row>
    <row r="31" spans="1:28">
      <c r="A31" s="3302" t="s">
        <v>2719</v>
      </c>
      <c r="B31" s="2598"/>
      <c r="C31" s="2497" t="str">
        <f>IF(B31="现房","成新及维护状况正常否",IF(B31="在建","工程状态是否正常",IF(B31="土地","是否闲置","-")))</f>
        <v>-</v>
      </c>
      <c r="D31" s="1508"/>
      <c r="E31" s="2599"/>
      <c r="F31" s="2841"/>
      <c r="G31" s="2841"/>
      <c r="H31" s="2841"/>
      <c r="I31" s="2841"/>
      <c r="J31" s="2615"/>
      <c r="K31" s="2791"/>
      <c r="L31" s="2789"/>
      <c r="M31" s="2789"/>
      <c r="N31" s="2615"/>
      <c r="O31" s="2626"/>
      <c r="P31" s="2615"/>
      <c r="Q31" s="2615"/>
      <c r="R31" s="2615"/>
      <c r="S31" s="2615"/>
      <c r="T31" s="2615"/>
      <c r="U31" s="2615"/>
      <c r="V31" s="2615"/>
    </row>
    <row r="32" spans="1:28">
      <c r="A32" s="3303"/>
      <c r="B32" s="2598"/>
      <c r="C32" s="2497" t="str">
        <f>IF(B32="现房","成新及维护状况是否正常",IF(B32="在建","工程状态是否正常",IF(B32="土地","是否闲置","-")))</f>
        <v>-</v>
      </c>
      <c r="D32" s="1508"/>
      <c r="E32" s="2599"/>
      <c r="F32" s="2841"/>
      <c r="G32" s="2841"/>
      <c r="H32" s="2841"/>
      <c r="I32" s="2841"/>
      <c r="J32" s="2615"/>
      <c r="K32" s="2792"/>
      <c r="L32" s="2789"/>
      <c r="M32" s="2789"/>
      <c r="N32" s="2615"/>
      <c r="O32" s="2626"/>
      <c r="P32" s="2615"/>
      <c r="Q32" s="2615"/>
      <c r="R32" s="2615"/>
      <c r="S32" s="2615"/>
      <c r="T32" s="2615"/>
      <c r="U32" s="2615"/>
      <c r="V32" s="2615"/>
    </row>
    <row r="33" spans="1:30">
      <c r="A33" s="3303"/>
      <c r="B33" s="2601"/>
      <c r="C33" s="1726" t="str">
        <f>IF(B33="现房","成新及维护状况是否正常",IF(B33="在建","工程状态是否正常",IF(B33="土地","是否闲置","-")))</f>
        <v>-</v>
      </c>
      <c r="D33" s="1500"/>
      <c r="E33" s="2602"/>
      <c r="F33" s="2841"/>
      <c r="G33" s="2841"/>
      <c r="H33" s="2841"/>
      <c r="I33" s="2841"/>
      <c r="J33" s="2615"/>
      <c r="K33" s="2792"/>
      <c r="L33" s="2789"/>
      <c r="M33" s="2789"/>
      <c r="N33" s="2615"/>
      <c r="O33" s="2626"/>
      <c r="P33" s="2615"/>
      <c r="Q33" s="2615"/>
      <c r="R33" s="2615"/>
      <c r="S33" s="2615"/>
      <c r="T33" s="2615"/>
      <c r="U33" s="2615"/>
      <c r="V33" s="2615"/>
    </row>
    <row r="34" spans="1:30">
      <c r="A34" s="308" t="s">
        <v>2720</v>
      </c>
      <c r="B34" s="2165"/>
      <c r="C34" s="2165"/>
      <c r="D34" s="2165"/>
      <c r="E34" s="2165"/>
      <c r="F34" s="2165"/>
      <c r="G34" s="2165"/>
      <c r="H34" s="2165"/>
      <c r="I34" s="2841"/>
      <c r="J34" s="2615"/>
      <c r="K34" s="2603">
        <f>COUNTIF(B34:H34,"——")</f>
        <v>0</v>
      </c>
      <c r="L34" s="329" t="s">
        <v>2721</v>
      </c>
      <c r="M34" s="329" t="s">
        <v>2722</v>
      </c>
      <c r="N34" s="329" t="s">
        <v>2723</v>
      </c>
      <c r="O34" s="329" t="s">
        <v>2724</v>
      </c>
      <c r="P34" s="329" t="s">
        <v>2725</v>
      </c>
      <c r="Q34" s="329" t="s">
        <v>2726</v>
      </c>
      <c r="R34" s="329" t="s">
        <v>2727</v>
      </c>
      <c r="S34" s="3297" t="s">
        <v>2728</v>
      </c>
      <c r="T34" s="2604" t="str">
        <f>NUMBERSTRING(7-K34,1)&amp;"通"</f>
        <v>七通</v>
      </c>
      <c r="U34" s="2615"/>
      <c r="V34" s="2615"/>
    </row>
    <row r="35" spans="1:30">
      <c r="A35" s="2605"/>
      <c r="B35" s="3304" t="s">
        <v>2729</v>
      </c>
      <c r="C35" s="3304"/>
      <c r="D35" s="3304"/>
      <c r="E35" s="3304"/>
      <c r="F35" s="673">
        <f>C10</f>
        <v>0</v>
      </c>
      <c r="G35" s="2841"/>
      <c r="H35" s="2841"/>
      <c r="I35" s="2841"/>
      <c r="J35" s="261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297"/>
      <c r="T35" s="335" t="str">
        <f>IF(T34="一通",L35,IF(T34="二通",M35,IF(T34="三通",N35,IF(T34="四通",O35,IF(T34="五通",P35,IF(T34="六通",Q35,R35))))))</f>
        <v>、、、、、、</v>
      </c>
      <c r="U35" s="2615"/>
      <c r="V35" s="2615"/>
    </row>
    <row r="36" spans="1:30">
      <c r="A36" s="2606"/>
      <c r="B36" s="673" t="s">
        <v>2685</v>
      </c>
      <c r="C36" s="673" t="s">
        <v>2686</v>
      </c>
      <c r="D36" s="673" t="s">
        <v>2684</v>
      </c>
      <c r="E36" s="673" t="s">
        <v>2689</v>
      </c>
      <c r="F36" s="2847"/>
      <c r="G36" s="2841"/>
      <c r="H36" s="2841"/>
      <c r="I36" s="2841"/>
      <c r="J36" s="2615"/>
      <c r="K36" s="2792"/>
      <c r="L36" s="2789"/>
      <c r="M36" s="2789"/>
      <c r="N36" s="2615"/>
      <c r="O36" s="2626"/>
      <c r="P36" s="2615"/>
      <c r="Q36" s="2615"/>
      <c r="R36" s="2615"/>
      <c r="S36" s="2615"/>
      <c r="T36" s="2615"/>
      <c r="U36" s="2615"/>
      <c r="V36" s="2615"/>
    </row>
    <row r="37" spans="1:30">
      <c r="A37" s="2807" t="s">
        <v>2730</v>
      </c>
      <c r="B37" s="2607" t="s">
        <v>441</v>
      </c>
      <c r="C37" s="2607"/>
      <c r="D37" s="2607"/>
      <c r="E37" s="2607"/>
      <c r="F37" s="2847"/>
      <c r="G37" s="2841"/>
      <c r="H37" s="2841"/>
      <c r="I37" s="2841"/>
      <c r="J37" s="2615"/>
      <c r="K37" s="2792"/>
      <c r="L37" s="2789"/>
      <c r="M37" s="2789"/>
      <c r="N37" s="2615"/>
      <c r="O37" s="2626"/>
      <c r="P37" s="2615"/>
      <c r="Q37" s="2615"/>
      <c r="R37" s="2615"/>
      <c r="S37" s="2615"/>
      <c r="T37" s="2615"/>
      <c r="U37" s="2615"/>
      <c r="V37" s="2615"/>
    </row>
    <row r="38" spans="1:30" ht="13.5" thickBot="1">
      <c r="A38" s="2808" t="s">
        <v>2731</v>
      </c>
      <c r="B38" s="2608" t="s">
        <v>382</v>
      </c>
      <c r="C38" s="2608"/>
      <c r="D38" s="2608"/>
      <c r="E38" s="2608"/>
      <c r="F38" s="2848"/>
      <c r="G38" s="2842"/>
      <c r="H38" s="2842"/>
      <c r="I38" s="2842"/>
      <c r="J38" s="2615"/>
      <c r="K38" s="2792"/>
      <c r="L38" s="2789"/>
      <c r="M38" s="2789"/>
      <c r="N38" s="2615"/>
      <c r="O38" s="2626"/>
      <c r="P38" s="2615"/>
      <c r="Q38" s="2615"/>
      <c r="R38" s="2615"/>
      <c r="S38" s="2615"/>
      <c r="T38" s="2615"/>
      <c r="U38" s="2615"/>
      <c r="V38" s="2615"/>
    </row>
    <row r="39" spans="1:30" s="2611" customFormat="1" ht="14.25" thickTop="1" thickBot="1">
      <c r="A39" s="2609" t="s">
        <v>2732</v>
      </c>
      <c r="B39" s="2610"/>
      <c r="C39" s="2610"/>
      <c r="D39" s="2610"/>
      <c r="E39" s="2610"/>
      <c r="F39" s="2610"/>
      <c r="G39" s="2610"/>
      <c r="H39" s="2610"/>
      <c r="I39" s="2610"/>
      <c r="J39" s="2799"/>
      <c r="K39" s="2800"/>
      <c r="L39" s="2799"/>
      <c r="M39" s="2799"/>
      <c r="N39" s="2799"/>
      <c r="O39" s="2801"/>
      <c r="P39" s="2799"/>
      <c r="Q39" s="2799"/>
      <c r="R39" s="2799"/>
      <c r="S39" s="2799"/>
      <c r="T39" s="2799"/>
      <c r="U39" s="2799"/>
      <c r="V39" s="2799"/>
      <c r="W39" s="2802"/>
      <c r="X39" s="2802"/>
      <c r="Y39" s="2802"/>
      <c r="Z39" s="2802"/>
      <c r="AA39" s="2802"/>
      <c r="AB39" s="2802"/>
      <c r="AC39" s="2802"/>
      <c r="AD39" s="2802"/>
    </row>
    <row r="40" spans="1:30">
      <c r="A40" s="2544"/>
      <c r="B40" s="2544"/>
      <c r="C40" s="2544"/>
      <c r="D40" s="2544"/>
      <c r="E40" s="2544"/>
      <c r="F40" s="2544"/>
      <c r="G40" s="2544"/>
      <c r="H40" s="2544"/>
      <c r="I40" s="1714"/>
      <c r="J40" s="2685"/>
      <c r="K40" s="2791"/>
      <c r="L40" s="2627"/>
      <c r="M40" s="2627"/>
      <c r="N40" s="2685"/>
      <c r="O40" s="2627"/>
      <c r="P40" s="2615"/>
      <c r="Q40" s="2615"/>
      <c r="R40" s="2615"/>
      <c r="S40" s="2615"/>
      <c r="T40" s="2615"/>
      <c r="U40" s="2615"/>
      <c r="V40" s="2615"/>
    </row>
    <row r="41" spans="1:30">
      <c r="A41" s="2612" t="s">
        <v>2733</v>
      </c>
      <c r="B41" s="1894"/>
      <c r="C41" s="1508"/>
      <c r="D41" s="2544"/>
      <c r="E41" s="2544"/>
      <c r="F41" s="2544"/>
      <c r="G41" s="2544"/>
      <c r="H41" s="2544"/>
      <c r="I41" s="1712"/>
      <c r="J41" s="2615"/>
      <c r="K41" s="2792"/>
      <c r="L41" s="2789"/>
      <c r="M41" s="2789"/>
      <c r="N41" s="2615"/>
      <c r="O41" s="2626"/>
      <c r="P41" s="2615"/>
      <c r="Q41" s="2615"/>
      <c r="R41" s="2615"/>
      <c r="S41" s="2615"/>
      <c r="T41" s="2615"/>
      <c r="U41" s="2615"/>
      <c r="V41" s="2615"/>
    </row>
    <row r="42" spans="1:30" ht="25.5">
      <c r="A42" s="329" t="s">
        <v>2734</v>
      </c>
      <c r="B42" s="11" t="s">
        <v>2735</v>
      </c>
      <c r="C42" s="11" t="s">
        <v>2736</v>
      </c>
      <c r="D42" s="11" t="s">
        <v>2737</v>
      </c>
      <c r="E42" s="11" t="s">
        <v>2738</v>
      </c>
      <c r="F42" s="11" t="s">
        <v>2739</v>
      </c>
      <c r="G42" s="11" t="s">
        <v>2740</v>
      </c>
      <c r="H42" s="11" t="s">
        <v>2741</v>
      </c>
      <c r="I42" s="11" t="s">
        <v>2742</v>
      </c>
      <c r="J42" s="2803" t="s">
        <v>2743</v>
      </c>
      <c r="K42" s="2804" t="s">
        <v>2744</v>
      </c>
      <c r="L42" s="2804" t="s">
        <v>2745</v>
      </c>
      <c r="M42" s="2804" t="s">
        <v>2746</v>
      </c>
      <c r="N42" s="2797" t="s">
        <v>2747</v>
      </c>
      <c r="O42" s="2797" t="s">
        <v>2748</v>
      </c>
      <c r="P42" s="2797" t="s">
        <v>2749</v>
      </c>
      <c r="Q42" s="2798" t="s">
        <v>2750</v>
      </c>
      <c r="R42" s="2798" t="s">
        <v>2751</v>
      </c>
      <c r="S42" s="2615"/>
      <c r="T42" s="2615"/>
      <c r="U42" s="2615"/>
      <c r="V42" s="2615"/>
    </row>
    <row r="43" spans="1:30" s="1880" customFormat="1">
      <c r="A43" s="1706"/>
      <c r="B43" s="1163"/>
      <c r="C43" s="1163"/>
      <c r="D43" s="1163"/>
      <c r="E43" s="1163"/>
      <c r="F43" s="1163"/>
      <c r="G43" s="1163"/>
      <c r="H43" s="1163"/>
      <c r="I43" s="1163"/>
      <c r="J43" s="2613"/>
      <c r="K43" s="2614"/>
      <c r="L43" s="2614"/>
      <c r="M43" s="1163"/>
      <c r="N43" s="1163"/>
      <c r="O43" s="1163"/>
      <c r="P43" s="1163"/>
      <c r="Q43" s="1163"/>
      <c r="R43" s="1163"/>
      <c r="S43" s="2615"/>
      <c r="T43" s="2615"/>
      <c r="U43" s="2615"/>
      <c r="V43" s="2615"/>
    </row>
    <row r="44" spans="1:30" s="1880" customFormat="1">
      <c r="A44" s="1706"/>
      <c r="B44" s="1706"/>
      <c r="C44" s="1163"/>
      <c r="D44" s="1163"/>
      <c r="E44" s="1163"/>
      <c r="F44" s="1163"/>
      <c r="G44" s="1163"/>
      <c r="H44" s="1163"/>
      <c r="I44" s="1163"/>
      <c r="J44" s="2613"/>
      <c r="K44" s="2614"/>
      <c r="L44" s="2614"/>
      <c r="M44" s="1163"/>
      <c r="N44" s="1163"/>
      <c r="O44" s="1163"/>
      <c r="P44" s="1163"/>
      <c r="Q44" s="1163"/>
      <c r="R44" s="1163"/>
      <c r="S44" s="2615"/>
      <c r="T44" s="2615"/>
      <c r="U44" s="2615"/>
      <c r="V44" s="2615"/>
    </row>
    <row r="45" spans="1:30" s="1880" customFormat="1">
      <c r="A45" s="1706"/>
      <c r="B45" s="1706"/>
      <c r="C45" s="1163"/>
      <c r="D45" s="1163"/>
      <c r="E45" s="1163"/>
      <c r="F45" s="1163"/>
      <c r="G45" s="1163"/>
      <c r="H45" s="1163"/>
      <c r="I45" s="1163"/>
      <c r="J45" s="2613"/>
      <c r="K45" s="2614"/>
      <c r="L45" s="2614"/>
      <c r="M45" s="1163"/>
      <c r="N45" s="1163"/>
      <c r="O45" s="1163"/>
      <c r="P45" s="1163"/>
      <c r="Q45" s="1163"/>
      <c r="R45" s="1163"/>
      <c r="S45" s="2615"/>
      <c r="T45" s="2615"/>
      <c r="U45" s="2615"/>
      <c r="V45" s="2615"/>
    </row>
    <row r="46" spans="1:30" s="1880" customFormat="1">
      <c r="A46" s="1706"/>
      <c r="B46" s="1706"/>
      <c r="C46" s="1163"/>
      <c r="D46" s="1163"/>
      <c r="E46" s="1163"/>
      <c r="F46" s="1163"/>
      <c r="G46" s="1163"/>
      <c r="H46" s="1163"/>
      <c r="I46" s="1163"/>
      <c r="J46" s="2613"/>
      <c r="K46" s="2614"/>
      <c r="L46" s="2614"/>
      <c r="M46" s="1163"/>
      <c r="N46" s="1163"/>
      <c r="O46" s="1163"/>
      <c r="P46" s="1163"/>
      <c r="Q46" s="1163"/>
      <c r="R46" s="1163"/>
      <c r="S46" s="2615"/>
      <c r="T46" s="2615"/>
      <c r="U46" s="2615"/>
      <c r="V46" s="2615"/>
    </row>
    <row r="47" spans="1:30" s="1880" customFormat="1">
      <c r="A47" s="1706"/>
      <c r="B47" s="1706"/>
      <c r="C47" s="1163"/>
      <c r="D47" s="1163"/>
      <c r="E47" s="1163"/>
      <c r="F47" s="1163"/>
      <c r="G47" s="1163"/>
      <c r="H47" s="1163"/>
      <c r="I47" s="1163"/>
      <c r="J47" s="2613"/>
      <c r="K47" s="2614"/>
      <c r="L47" s="2614"/>
      <c r="M47" s="1163"/>
      <c r="N47" s="1163"/>
      <c r="O47" s="1163"/>
      <c r="P47" s="1163"/>
      <c r="Q47" s="1163"/>
      <c r="R47" s="1163"/>
      <c r="S47" s="2615"/>
      <c r="T47" s="2615"/>
      <c r="U47" s="2615"/>
      <c r="V47" s="2615"/>
    </row>
    <row r="48" spans="1:30" s="1880" customFormat="1">
      <c r="A48" s="1706"/>
      <c r="B48" s="1706"/>
      <c r="C48" s="1163"/>
      <c r="D48" s="1163"/>
      <c r="E48" s="1163"/>
      <c r="F48" s="1163"/>
      <c r="G48" s="1163"/>
      <c r="H48" s="1163"/>
      <c r="I48" s="1163"/>
      <c r="J48" s="2613"/>
      <c r="K48" s="2614"/>
      <c r="L48" s="2614"/>
      <c r="M48" s="1163"/>
      <c r="N48" s="1163"/>
      <c r="O48" s="1163"/>
      <c r="P48" s="1163"/>
      <c r="Q48" s="1163"/>
      <c r="R48" s="1163"/>
      <c r="S48" s="2615"/>
      <c r="T48" s="2615"/>
      <c r="U48" s="2615"/>
      <c r="V48" s="2615"/>
    </row>
    <row r="49" spans="1:22" s="1880" customFormat="1">
      <c r="A49" s="1706"/>
      <c r="B49" s="1706"/>
      <c r="C49" s="1163"/>
      <c r="D49" s="1163"/>
      <c r="E49" s="1163"/>
      <c r="F49" s="1163"/>
      <c r="G49" s="1163"/>
      <c r="H49" s="1163"/>
      <c r="I49" s="1163"/>
      <c r="J49" s="2613"/>
      <c r="K49" s="2614"/>
      <c r="L49" s="2614"/>
      <c r="M49" s="1163"/>
      <c r="N49" s="1163"/>
      <c r="O49" s="1163"/>
      <c r="P49" s="1163"/>
      <c r="Q49" s="1163"/>
      <c r="R49" s="1163"/>
      <c r="S49" s="2615"/>
      <c r="T49" s="2615"/>
      <c r="U49" s="2615"/>
      <c r="V49" s="2615"/>
    </row>
    <row r="50" spans="1:22" s="1880" customFormat="1">
      <c r="A50" s="1706"/>
      <c r="B50" s="1706"/>
      <c r="C50" s="1163"/>
      <c r="D50" s="1163"/>
      <c r="E50" s="1163"/>
      <c r="F50" s="1163"/>
      <c r="G50" s="1163"/>
      <c r="H50" s="1163"/>
      <c r="I50" s="1163"/>
      <c r="J50" s="2613"/>
      <c r="K50" s="2614"/>
      <c r="L50" s="2614"/>
      <c r="M50" s="1163"/>
      <c r="N50" s="1163"/>
      <c r="O50" s="1163"/>
      <c r="P50" s="1163"/>
      <c r="Q50" s="1163"/>
      <c r="R50" s="1163"/>
      <c r="S50" s="2615"/>
      <c r="T50" s="2615"/>
      <c r="U50" s="2615"/>
      <c r="V50" s="2615"/>
    </row>
    <row r="51" spans="1:22" s="1880" customFormat="1">
      <c r="A51" s="1706"/>
      <c r="B51" s="1706"/>
      <c r="C51" s="1163"/>
      <c r="D51" s="1163"/>
      <c r="E51" s="1163"/>
      <c r="F51" s="1163"/>
      <c r="G51" s="1163"/>
      <c r="H51" s="1163"/>
      <c r="I51" s="1163"/>
      <c r="J51" s="2613"/>
      <c r="K51" s="2614"/>
      <c r="L51" s="2614"/>
      <c r="M51" s="1163"/>
      <c r="N51" s="1163"/>
      <c r="O51" s="1163"/>
      <c r="P51" s="1163"/>
      <c r="Q51" s="1163"/>
      <c r="R51" s="1163"/>
    </row>
    <row r="52" spans="1:22" s="1880" customFormat="1">
      <c r="A52" s="1706"/>
      <c r="B52" s="1706"/>
      <c r="C52" s="1706"/>
      <c r="D52" s="1706"/>
      <c r="E52" s="1706"/>
      <c r="F52" s="1163"/>
      <c r="G52" s="1706"/>
      <c r="H52" s="1706"/>
      <c r="I52" s="1706"/>
      <c r="J52" s="2616"/>
      <c r="K52" s="2614"/>
      <c r="L52" s="2614"/>
      <c r="M52" s="2614"/>
      <c r="N52" s="1706"/>
      <c r="O52" s="1706"/>
      <c r="P52" s="1706"/>
      <c r="Q52" s="1706"/>
      <c r="R52" s="1706"/>
    </row>
    <row r="53" spans="1:22" s="1880" customFormat="1">
      <c r="A53" s="1706"/>
      <c r="B53" s="1706"/>
      <c r="C53" s="1706"/>
      <c r="D53" s="1706"/>
      <c r="E53" s="1706"/>
      <c r="F53" s="1163"/>
      <c r="G53" s="1706"/>
      <c r="H53" s="1706"/>
      <c r="I53" s="1706"/>
      <c r="J53" s="2616"/>
      <c r="K53" s="2614"/>
      <c r="L53" s="2614"/>
      <c r="M53" s="2614"/>
      <c r="N53" s="1706"/>
      <c r="O53" s="1706"/>
      <c r="P53" s="1706"/>
      <c r="Q53" s="1706"/>
      <c r="R53" s="1706"/>
    </row>
    <row r="54" spans="1:22" s="1880" customFormat="1">
      <c r="A54" s="1706"/>
      <c r="B54" s="1706"/>
      <c r="C54" s="1706"/>
      <c r="D54" s="1706"/>
      <c r="E54" s="1706"/>
      <c r="F54" s="1163"/>
      <c r="G54" s="1706"/>
      <c r="H54" s="1706"/>
      <c r="I54" s="1706"/>
      <c r="J54" s="2616"/>
      <c r="K54" s="2614"/>
      <c r="L54" s="2614"/>
      <c r="M54" s="2614"/>
      <c r="N54" s="1706"/>
      <c r="O54" s="1706"/>
      <c r="P54" s="1706"/>
      <c r="Q54" s="1706"/>
      <c r="R54" s="1706"/>
    </row>
    <row r="55" spans="1:22" s="1880" customFormat="1">
      <c r="A55" s="1706"/>
      <c r="B55" s="1706"/>
      <c r="C55" s="1706"/>
      <c r="D55" s="1706"/>
      <c r="E55" s="1706"/>
      <c r="F55" s="1163"/>
      <c r="G55" s="1706"/>
      <c r="H55" s="1706"/>
      <c r="I55" s="1706"/>
      <c r="J55" s="2616"/>
      <c r="K55" s="2614"/>
      <c r="L55" s="2614"/>
      <c r="M55" s="2614"/>
      <c r="N55" s="1706"/>
      <c r="O55" s="1706"/>
      <c r="P55" s="1706"/>
      <c r="Q55" s="1706"/>
      <c r="R55" s="1706"/>
    </row>
    <row r="56" spans="1:22" s="1880" customFormat="1">
      <c r="A56" s="1706"/>
      <c r="B56" s="1706"/>
      <c r="C56" s="1706"/>
      <c r="D56" s="1706"/>
      <c r="E56" s="1706"/>
      <c r="F56" s="1163"/>
      <c r="G56" s="1706"/>
      <c r="H56" s="1706"/>
      <c r="I56" s="1706"/>
      <c r="J56" s="2616"/>
      <c r="K56" s="2614"/>
      <c r="L56" s="2614"/>
      <c r="M56" s="2614"/>
      <c r="N56" s="1706"/>
      <c r="O56" s="1706"/>
      <c r="P56" s="1706"/>
      <c r="Q56" s="1706"/>
      <c r="R56" s="1706"/>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J20" sqref="AJ20"/>
    </sheetView>
  </sheetViews>
  <sheetFormatPr defaultColWidth="8.875" defaultRowHeight="14.25"/>
  <cols>
    <col min="1" max="1" width="10.625" style="1709" customWidth="1"/>
    <col min="2" max="2" width="11" style="1709" customWidth="1"/>
    <col min="3" max="3" width="10.375" style="1709" customWidth="1"/>
    <col min="4" max="4" width="9.125" style="1709" customWidth="1"/>
    <col min="5" max="6" width="10" style="1770" customWidth="1"/>
    <col min="7" max="8" width="10" style="1709" customWidth="1"/>
    <col min="9" max="9" width="10.625" style="1709" customWidth="1"/>
    <col min="10" max="10" width="9.5" style="1709" customWidth="1"/>
    <col min="11" max="11" width="11" style="1709" customWidth="1"/>
    <col min="12" max="14" width="9.5" style="1709" customWidth="1"/>
    <col min="15" max="15" width="9.875" style="1709" customWidth="1"/>
    <col min="16" max="16" width="9.75" style="1709" customWidth="1"/>
    <col min="17" max="17" width="9.375" style="1709" customWidth="1"/>
    <col min="18" max="18" width="9.25" style="1709" customWidth="1"/>
    <col min="19" max="19" width="10.875" style="1709" customWidth="1"/>
    <col min="20" max="21" width="10.75" style="1709" customWidth="1"/>
    <col min="22" max="22" width="10.875" style="1709" customWidth="1"/>
    <col min="23" max="27" width="10.75" style="1709" customWidth="1"/>
    <col min="28" max="28" width="10.875" style="1709" customWidth="1"/>
    <col min="29" max="29" width="11" style="1709" bestFit="1" customWidth="1"/>
    <col min="30" max="30" width="10" style="1709" bestFit="1" customWidth="1"/>
    <col min="31" max="31" width="9.75" style="1709" customWidth="1"/>
    <col min="32" max="46" width="9.5" style="1709" customWidth="1"/>
    <col min="47" max="47" width="18.125" style="1709" customWidth="1"/>
    <col min="48" max="50" width="9.75" style="1709" customWidth="1"/>
    <col min="51" max="55" width="10.5" style="1709" bestFit="1" customWidth="1"/>
    <col min="56" max="56" width="9.5" style="1709" bestFit="1" customWidth="1"/>
    <col min="57" max="63" width="9.125" style="1709" bestFit="1" customWidth="1"/>
    <col min="64" max="64" width="9.5" style="1709" bestFit="1" customWidth="1"/>
    <col min="65" max="65" width="9.125" style="1709" bestFit="1" customWidth="1"/>
    <col min="66" max="66" width="9.5" style="1709" bestFit="1" customWidth="1"/>
    <col min="67" max="69" width="9.125" style="1709" bestFit="1" customWidth="1"/>
    <col min="70" max="70" width="9.5" style="1709" bestFit="1" customWidth="1"/>
    <col min="71" max="71" width="9" style="1709" customWidth="1"/>
    <col min="72" max="72" width="9.125" style="1709" bestFit="1" customWidth="1"/>
    <col min="73" max="16384" width="8.875" style="1709"/>
  </cols>
  <sheetData>
    <row r="1" spans="1:72" ht="20.25">
      <c r="A1" s="1710" t="s">
        <v>1506</v>
      </c>
      <c r="B1" s="1694"/>
      <c r="C1" s="1694"/>
      <c r="D1" s="1694"/>
      <c r="E1" s="1694"/>
      <c r="F1" s="1694"/>
      <c r="G1" s="1694"/>
      <c r="H1" s="1694"/>
      <c r="I1" s="1694"/>
      <c r="J1" s="1694"/>
      <c r="K1" s="1694"/>
      <c r="L1" s="1694"/>
      <c r="M1" s="1694"/>
      <c r="N1" s="1694"/>
      <c r="O1" s="1694"/>
      <c r="P1" s="1694"/>
      <c r="Q1" s="1694"/>
      <c r="R1" s="1694"/>
      <c r="S1" s="1694"/>
      <c r="T1" s="1694"/>
      <c r="U1" s="1694"/>
      <c r="V1" s="1694"/>
      <c r="W1" s="1694"/>
      <c r="X1" s="1694"/>
      <c r="Y1" s="1694"/>
      <c r="Z1" s="1694"/>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711" t="s">
        <v>1507</v>
      </c>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row>
    <row r="2" spans="1:72" s="1715" customFormat="1" ht="24">
      <c r="A2" s="11" t="s">
        <v>1508</v>
      </c>
      <c r="B2" s="11" t="s">
        <v>1509</v>
      </c>
      <c r="C2" s="11" t="s">
        <v>1510</v>
      </c>
      <c r="D2" s="1712"/>
      <c r="E2" s="1713"/>
      <c r="F2" s="1714"/>
      <c r="G2" s="1712"/>
      <c r="H2" s="1712"/>
      <c r="I2" s="1712"/>
      <c r="J2" s="1712"/>
      <c r="K2" s="1712"/>
      <c r="L2" s="1712"/>
      <c r="M2" s="1712"/>
      <c r="N2" s="1712"/>
      <c r="O2" s="1712"/>
      <c r="P2" s="1712"/>
      <c r="Q2" s="1712"/>
      <c r="R2" s="1712"/>
      <c r="S2" s="1712"/>
      <c r="T2" s="1712"/>
      <c r="U2" s="1712"/>
      <c r="V2" s="1712"/>
      <c r="W2" s="1712"/>
      <c r="X2" s="1712"/>
      <c r="Y2" s="1712"/>
      <c r="Z2" s="1712"/>
      <c r="AA2" s="1712"/>
      <c r="AB2" s="1712"/>
      <c r="AC2" s="1712"/>
      <c r="AD2" s="1712"/>
      <c r="AE2" s="1712"/>
      <c r="AF2" s="1712"/>
      <c r="AG2" s="1712"/>
      <c r="AH2" s="1712"/>
      <c r="AI2" s="1712"/>
      <c r="AJ2" s="1712"/>
      <c r="AK2" s="1712"/>
      <c r="AL2" s="1712"/>
      <c r="AM2" s="1712"/>
      <c r="AN2" s="1712"/>
      <c r="AO2" s="1712"/>
      <c r="AP2" s="1712"/>
      <c r="AQ2" s="1712"/>
      <c r="AR2" s="1712"/>
      <c r="AS2" s="1712"/>
      <c r="AT2" s="1712"/>
      <c r="AU2" s="1712"/>
      <c r="AV2" s="1712"/>
      <c r="AW2" s="1712"/>
      <c r="AX2" s="1712"/>
      <c r="AY2" s="1160" t="s">
        <v>1511</v>
      </c>
      <c r="AZ2" s="1161" t="s">
        <v>1512</v>
      </c>
      <c r="BA2" s="11" t="s">
        <v>1513</v>
      </c>
      <c r="BB2" s="1712"/>
      <c r="BC2" s="1712"/>
      <c r="BD2" s="1712"/>
      <c r="BE2" s="1712"/>
      <c r="BF2" s="1712"/>
      <c r="BG2" s="1712"/>
      <c r="BH2" s="1712"/>
      <c r="BI2" s="1712"/>
      <c r="BJ2" s="1712"/>
      <c r="BK2" s="1712"/>
      <c r="BL2" s="1712"/>
      <c r="BM2" s="1712"/>
      <c r="BN2" s="1712"/>
      <c r="BO2" s="1712"/>
      <c r="BP2" s="1712"/>
      <c r="BQ2" s="1712"/>
      <c r="BR2" s="1712"/>
      <c r="BS2" s="1712"/>
      <c r="BT2" s="1712"/>
    </row>
    <row r="3" spans="1:72" s="1715" customFormat="1" ht="12.75">
      <c r="A3" s="13"/>
      <c r="B3" s="14">
        <f>IF(C3="否",G5-AT5,G5)</f>
        <v>6531.86</v>
      </c>
      <c r="C3" s="1716" t="s">
        <v>1514</v>
      </c>
      <c r="D3" s="1712"/>
      <c r="E3" s="1712"/>
      <c r="F3" s="1712"/>
      <c r="G3" s="1712"/>
      <c r="H3" s="1712"/>
      <c r="I3" s="1712"/>
      <c r="J3" s="1712"/>
      <c r="K3" s="1712"/>
      <c r="L3" s="1712"/>
      <c r="M3" s="1712"/>
      <c r="N3" s="1712"/>
      <c r="O3" s="1712"/>
      <c r="P3" s="1712"/>
      <c r="Q3" s="1712"/>
      <c r="R3" s="1712"/>
      <c r="S3" s="1712"/>
      <c r="T3" s="1712"/>
      <c r="U3" s="1712"/>
      <c r="V3" s="1712"/>
      <c r="W3" s="1712"/>
      <c r="X3" s="1712"/>
      <c r="Y3" s="1712"/>
      <c r="Z3" s="1712"/>
      <c r="AA3" s="1712"/>
      <c r="AB3" s="1712"/>
      <c r="AC3" s="1712"/>
      <c r="AD3" s="1712"/>
      <c r="AE3" s="1712"/>
      <c r="AF3" s="1712"/>
      <c r="AG3" s="1712"/>
      <c r="AH3" s="1712"/>
      <c r="AI3" s="1712"/>
      <c r="AJ3" s="1712"/>
      <c r="AK3" s="1712"/>
      <c r="AL3" s="1712"/>
      <c r="AM3" s="1712"/>
      <c r="AN3" s="1712"/>
      <c r="AO3" s="1712"/>
      <c r="AP3" s="1712"/>
      <c r="AQ3" s="1712"/>
      <c r="AR3" s="1712"/>
      <c r="AS3" s="1712"/>
      <c r="AT3" s="1712"/>
      <c r="AU3" s="1712"/>
      <c r="AV3" s="1712"/>
      <c r="AW3" s="1712"/>
      <c r="AX3" s="1712"/>
      <c r="AY3" s="1162"/>
      <c r="AZ3" s="1163"/>
      <c r="BA3" s="1164"/>
      <c r="BB3" s="1712"/>
      <c r="BC3" s="1712"/>
      <c r="BD3" s="1712"/>
      <c r="BE3" s="1712"/>
      <c r="BF3" s="1712"/>
      <c r="BG3" s="1712"/>
      <c r="BH3" s="1712"/>
      <c r="BI3" s="1712"/>
      <c r="BJ3" s="1712"/>
      <c r="BK3" s="1712"/>
      <c r="BL3" s="1712"/>
      <c r="BM3" s="1712"/>
      <c r="BN3" s="1712"/>
      <c r="BO3" s="1712"/>
      <c r="BP3" s="1712"/>
      <c r="BQ3" s="1712"/>
      <c r="BR3" s="1712"/>
      <c r="BS3" s="1712"/>
      <c r="BT3" s="1712"/>
    </row>
    <row r="4" spans="1:72" s="1721" customFormat="1" ht="13.5" thickBot="1">
      <c r="A4" s="1717"/>
      <c r="B4" s="1718"/>
      <c r="C4" s="1719"/>
      <c r="D4" s="1712"/>
      <c r="E4" s="1712"/>
      <c r="F4" s="1712"/>
      <c r="G4" s="1712"/>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c r="AG4" s="1712"/>
      <c r="AH4" s="1712"/>
      <c r="AI4" s="1712"/>
      <c r="AJ4" s="1712"/>
      <c r="AK4" s="1712"/>
      <c r="AL4" s="1712"/>
      <c r="AM4" s="1712"/>
      <c r="AN4" s="1712"/>
      <c r="AO4" s="1712"/>
      <c r="AP4" s="1712"/>
      <c r="AQ4" s="1712"/>
      <c r="AR4" s="1712"/>
      <c r="AS4" s="1712"/>
      <c r="AT4" s="1712"/>
      <c r="AU4" s="1712"/>
      <c r="AV4" s="1712"/>
      <c r="AW4" s="1712"/>
      <c r="AX4" s="1712"/>
      <c r="AY4" s="1712"/>
      <c r="AZ4" s="1712"/>
      <c r="BA4" s="1720"/>
      <c r="BB4" s="1712"/>
      <c r="BC4" s="1712"/>
      <c r="BD4" s="1712"/>
      <c r="BE4" s="1712"/>
      <c r="BF4" s="1712"/>
      <c r="BG4" s="1712"/>
      <c r="BH4" s="1712"/>
      <c r="BI4" s="1712"/>
      <c r="BJ4" s="1712"/>
      <c r="BK4" s="1712"/>
      <c r="BL4" s="1712"/>
      <c r="BM4" s="1712"/>
      <c r="BN4" s="1712"/>
      <c r="BO4" s="1712"/>
      <c r="BP4" s="1712"/>
      <c r="BQ4" s="1712"/>
      <c r="BR4" s="1712"/>
      <c r="BS4" s="1712"/>
      <c r="BT4" s="1712"/>
    </row>
    <row r="5" spans="1:72" s="1715" customFormat="1" ht="12.75">
      <c r="A5" s="15" t="s">
        <v>1515</v>
      </c>
      <c r="B5" s="1482"/>
      <c r="C5" s="1482"/>
      <c r="D5" s="1484"/>
      <c r="E5" s="16" t="s">
        <v>1</v>
      </c>
      <c r="F5" s="16">
        <f>SUM(F13:F587)</f>
        <v>0</v>
      </c>
      <c r="G5" s="16">
        <f>SUM(G13:G587)</f>
        <v>6531.86</v>
      </c>
      <c r="H5" s="16">
        <f t="shared" ref="H5:AT5" si="0">SUM(H13:H656)</f>
        <v>5413.53</v>
      </c>
      <c r="I5" s="16">
        <f t="shared" si="0"/>
        <v>5413.53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1118.33</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1118.33</v>
      </c>
      <c r="AO5" s="16">
        <f t="shared" si="0"/>
        <v>0</v>
      </c>
      <c r="AP5" s="16">
        <f t="shared" si="0"/>
        <v>0</v>
      </c>
      <c r="AQ5" s="16">
        <f t="shared" si="0"/>
        <v>0</v>
      </c>
      <c r="AR5" s="16">
        <f t="shared" si="0"/>
        <v>0</v>
      </c>
      <c r="AS5" s="16">
        <f t="shared" si="0"/>
        <v>0</v>
      </c>
      <c r="AT5" s="16">
        <f t="shared" si="0"/>
        <v>0</v>
      </c>
      <c r="AU5" s="1481"/>
      <c r="AV5" s="15" t="s">
        <v>1515</v>
      </c>
      <c r="AW5" s="1482"/>
      <c r="AX5" s="1482"/>
      <c r="AY5" s="17" t="s">
        <v>3</v>
      </c>
      <c r="AZ5" s="18">
        <f t="shared" ref="AZ5:BT5" si="1">SUM(AZ13:AZ656)</f>
        <v>6531.86</v>
      </c>
      <c r="BA5" s="18">
        <f t="shared" si="1"/>
        <v>5413.53</v>
      </c>
      <c r="BB5" s="18">
        <f t="shared" si="1"/>
        <v>5413.53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1118.33</v>
      </c>
      <c r="BM5" s="18">
        <f t="shared" si="1"/>
        <v>0</v>
      </c>
      <c r="BN5" s="18">
        <f t="shared" si="1"/>
        <v>0</v>
      </c>
      <c r="BO5" s="18">
        <f t="shared" si="1"/>
        <v>0</v>
      </c>
      <c r="BP5" s="18">
        <f t="shared" si="1"/>
        <v>0</v>
      </c>
      <c r="BQ5" s="18">
        <f t="shared" si="1"/>
        <v>0</v>
      </c>
      <c r="BR5" s="18">
        <f t="shared" si="1"/>
        <v>1118.33</v>
      </c>
      <c r="BS5" s="18">
        <f t="shared" si="1"/>
        <v>0</v>
      </c>
      <c r="BT5" s="19">
        <f t="shared" si="1"/>
        <v>0</v>
      </c>
    </row>
    <row r="6" spans="1:72" s="1725" customFormat="1" ht="12.75">
      <c r="A6" s="15" t="s">
        <v>1516</v>
      </c>
      <c r="B6" s="1722"/>
      <c r="C6" s="1722"/>
      <c r="D6" s="1723"/>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24"/>
      <c r="AV6" s="15" t="s">
        <v>1516</v>
      </c>
      <c r="AW6" s="1722"/>
      <c r="AX6" s="1722"/>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15" customFormat="1" ht="24.75">
      <c r="A7" s="1705" t="s">
        <v>1517</v>
      </c>
      <c r="B7" s="1705" t="s">
        <v>1518</v>
      </c>
      <c r="C7" s="1705" t="s">
        <v>1519</v>
      </c>
      <c r="D7" s="1705" t="s">
        <v>1520</v>
      </c>
      <c r="E7" s="1705" t="s">
        <v>1521</v>
      </c>
      <c r="F7" s="1705" t="s">
        <v>1522</v>
      </c>
      <c r="G7" s="1726" t="s">
        <v>1523</v>
      </c>
      <c r="H7" s="1727"/>
      <c r="I7" s="1727"/>
      <c r="J7" s="1727"/>
      <c r="K7" s="1727"/>
      <c r="L7" s="1727"/>
      <c r="M7" s="1727"/>
      <c r="N7" s="1727"/>
      <c r="O7" s="1727"/>
      <c r="P7" s="1727"/>
      <c r="Q7" s="1727"/>
      <c r="R7" s="1727"/>
      <c r="S7" s="1727"/>
      <c r="T7" s="1727"/>
      <c r="U7" s="1727"/>
      <c r="V7" s="1727"/>
      <c r="W7" s="1727"/>
      <c r="X7" s="1727"/>
      <c r="Y7" s="1727"/>
      <c r="Z7" s="1727"/>
      <c r="AA7" s="1727"/>
      <c r="AB7" s="1727"/>
      <c r="AC7" s="1727"/>
      <c r="AD7" s="1727"/>
      <c r="AE7" s="1727"/>
      <c r="AF7" s="1727"/>
      <c r="AG7" s="1727"/>
      <c r="AH7" s="1727"/>
      <c r="AI7" s="1727"/>
      <c r="AJ7" s="1727"/>
      <c r="AK7" s="1727"/>
      <c r="AL7" s="1727"/>
      <c r="AM7" s="1727"/>
      <c r="AN7" s="1727"/>
      <c r="AO7" s="1727"/>
      <c r="AP7" s="1727"/>
      <c r="AQ7" s="1727"/>
      <c r="AR7" s="1727"/>
      <c r="AS7" s="1727"/>
      <c r="AT7" s="1484"/>
      <c r="AU7" s="1727" t="s">
        <v>1524</v>
      </c>
      <c r="AV7" s="23" t="s">
        <v>1525</v>
      </c>
      <c r="AW7" s="1714" t="s">
        <v>1526</v>
      </c>
      <c r="AX7" s="23" t="s">
        <v>1519</v>
      </c>
      <c r="AY7" s="1482" t="s">
        <v>1527</v>
      </c>
      <c r="AZ7" s="1728"/>
      <c r="BA7" s="1727"/>
      <c r="BB7" s="1727"/>
      <c r="BC7" s="1727"/>
      <c r="BD7" s="1727"/>
      <c r="BE7" s="1727"/>
      <c r="BF7" s="1727"/>
      <c r="BG7" s="1727"/>
      <c r="BH7" s="1727"/>
      <c r="BI7" s="1727"/>
      <c r="BJ7" s="1727"/>
      <c r="BK7" s="1727"/>
      <c r="BL7" s="1727"/>
      <c r="BM7" s="1727"/>
      <c r="BN7" s="1727"/>
      <c r="BO7" s="1727"/>
      <c r="BP7" s="1727"/>
      <c r="BQ7" s="1727"/>
      <c r="BR7" s="1727"/>
      <c r="BS7" s="1727"/>
      <c r="BT7" s="1729"/>
    </row>
    <row r="8" spans="1:72" s="1737" customFormat="1" ht="24">
      <c r="A8" s="1730"/>
      <c r="B8" s="1730"/>
      <c r="C8" s="1730"/>
      <c r="D8" s="1730"/>
      <c r="E8" s="1730"/>
      <c r="F8" s="1730"/>
      <c r="G8" s="1731" t="s">
        <v>1528</v>
      </c>
      <c r="H8" s="1732" t="s">
        <v>1529</v>
      </c>
      <c r="I8" s="1733"/>
      <c r="J8" s="1495"/>
      <c r="K8" s="1495"/>
      <c r="L8" s="1495"/>
      <c r="M8" s="1495"/>
      <c r="N8" s="1495"/>
      <c r="O8" s="1495"/>
      <c r="P8" s="1495"/>
      <c r="Q8" s="1495"/>
      <c r="R8" s="1495"/>
      <c r="S8" s="1495"/>
      <c r="T8" s="1495"/>
      <c r="U8" s="1495"/>
      <c r="V8" s="1734"/>
      <c r="W8" s="1495"/>
      <c r="X8" s="1495"/>
      <c r="Y8" s="1495"/>
      <c r="Z8" s="1495"/>
      <c r="AA8" s="1734"/>
      <c r="AB8" s="1735"/>
      <c r="AC8" s="899" t="s">
        <v>1530</v>
      </c>
      <c r="AD8" s="1736"/>
      <c r="AE8" s="1728"/>
      <c r="AF8" s="1495"/>
      <c r="AG8" s="1495"/>
      <c r="AH8" s="1495"/>
      <c r="AI8" s="1495"/>
      <c r="AJ8" s="1495"/>
      <c r="AK8" s="1495"/>
      <c r="AL8" s="1495"/>
      <c r="AM8" s="1495"/>
      <c r="AN8" s="1495"/>
      <c r="AO8" s="1495"/>
      <c r="AP8" s="1495"/>
      <c r="AQ8" s="1495"/>
      <c r="AR8" s="1495"/>
      <c r="AS8" s="1495"/>
      <c r="AT8" s="1183" t="s">
        <v>1531</v>
      </c>
      <c r="AU8" s="1730" t="s">
        <v>1532</v>
      </c>
      <c r="AV8" s="1183"/>
      <c r="AW8" s="1713"/>
      <c r="AX8" s="1183"/>
      <c r="AY8" s="1714" t="s">
        <v>1533</v>
      </c>
      <c r="AZ8" s="1494" t="s">
        <v>1534</v>
      </c>
      <c r="BA8" s="1495"/>
      <c r="BB8" s="1495"/>
      <c r="BC8" s="1495"/>
      <c r="BD8" s="1495"/>
      <c r="BE8" s="1495"/>
      <c r="BF8" s="1495"/>
      <c r="BG8" s="1495"/>
      <c r="BH8" s="1495"/>
      <c r="BI8" s="1495"/>
      <c r="BJ8" s="1495"/>
      <c r="BK8" s="1495"/>
      <c r="BL8" s="1495"/>
      <c r="BM8" s="1495"/>
      <c r="BN8" s="1495"/>
      <c r="BO8" s="1495"/>
      <c r="BP8" s="1495"/>
      <c r="BQ8" s="1495"/>
      <c r="BR8" s="1495"/>
      <c r="BS8" s="1495"/>
      <c r="BT8" s="26"/>
    </row>
    <row r="9" spans="1:72" s="1737" customFormat="1" ht="12.75">
      <c r="A9" s="1730"/>
      <c r="B9" s="1730"/>
      <c r="C9" s="1730"/>
      <c r="D9" s="1730"/>
      <c r="E9" s="1730"/>
      <c r="F9" s="1730"/>
      <c r="G9" s="1183"/>
      <c r="H9" s="1738" t="s">
        <v>1535</v>
      </c>
      <c r="I9" s="1739" t="s">
        <v>3180</v>
      </c>
      <c r="J9" s="899"/>
      <c r="K9" s="1739"/>
      <c r="L9" s="899"/>
      <c r="M9" s="1739"/>
      <c r="N9" s="899"/>
      <c r="O9" s="1739"/>
      <c r="P9" s="899"/>
      <c r="Q9" s="1739"/>
      <c r="R9" s="899"/>
      <c r="S9" s="1739"/>
      <c r="T9" s="899"/>
      <c r="U9" s="1739"/>
      <c r="V9" s="899"/>
      <c r="W9" s="1739"/>
      <c r="X9" s="1740"/>
      <c r="Y9" s="1739"/>
      <c r="Z9" s="899"/>
      <c r="AA9" s="1739"/>
      <c r="AB9" s="899"/>
      <c r="AC9" s="1731" t="s">
        <v>1535</v>
      </c>
      <c r="AD9" s="15" t="s">
        <v>1536</v>
      </c>
      <c r="AE9" s="1189"/>
      <c r="AF9" s="15" t="s">
        <v>1537</v>
      </c>
      <c r="AG9" s="1189"/>
      <c r="AH9" s="15" t="s">
        <v>1536</v>
      </c>
      <c r="AI9" s="1189"/>
      <c r="AJ9" s="15" t="s">
        <v>1537</v>
      </c>
      <c r="AK9" s="1189"/>
      <c r="AL9" s="15" t="s">
        <v>1536</v>
      </c>
      <c r="AM9" s="1189"/>
      <c r="AN9" s="15" t="s">
        <v>1537</v>
      </c>
      <c r="AO9" s="1189"/>
      <c r="AP9" s="15" t="s">
        <v>1536</v>
      </c>
      <c r="AQ9" s="1189"/>
      <c r="AR9" s="15" t="s">
        <v>1537</v>
      </c>
      <c r="AS9" s="1741"/>
      <c r="AT9" s="1730"/>
      <c r="AU9" s="1730" t="s">
        <v>1538</v>
      </c>
      <c r="AV9" s="1183"/>
      <c r="AW9" s="1713"/>
      <c r="AX9" s="1183"/>
      <c r="AY9" s="28"/>
      <c r="AZ9" s="28" t="s">
        <v>1528</v>
      </c>
      <c r="BA9" s="1742" t="s">
        <v>1539</v>
      </c>
      <c r="BB9" s="1743"/>
      <c r="BC9" s="1201"/>
      <c r="BD9" s="1201"/>
      <c r="BE9" s="1201"/>
      <c r="BF9" s="1201"/>
      <c r="BG9" s="1201"/>
      <c r="BH9" s="1201"/>
      <c r="BI9" s="1201"/>
      <c r="BJ9" s="1201"/>
      <c r="BK9" s="1744"/>
      <c r="BL9" s="15" t="s">
        <v>1540</v>
      </c>
      <c r="BM9" s="1495"/>
      <c r="BN9" s="1733"/>
      <c r="BO9" s="1495"/>
      <c r="BP9" s="1495"/>
      <c r="BQ9" s="1495"/>
      <c r="BR9" s="1495"/>
      <c r="BS9" s="1495"/>
      <c r="BT9" s="26"/>
    </row>
    <row r="10" spans="1:72" s="1737" customFormat="1" ht="12.75">
      <c r="A10" s="1730"/>
      <c r="B10" s="1730"/>
      <c r="C10" s="1730"/>
      <c r="D10" s="1730"/>
      <c r="E10" s="1730"/>
      <c r="F10" s="1730"/>
      <c r="G10" s="1183"/>
      <c r="H10" s="28"/>
      <c r="I10" s="1739" t="s">
        <v>1102</v>
      </c>
      <c r="J10" s="899"/>
      <c r="K10" s="1745"/>
      <c r="L10" s="899"/>
      <c r="M10" s="1745"/>
      <c r="N10" s="899"/>
      <c r="O10" s="1745"/>
      <c r="P10" s="899"/>
      <c r="Q10" s="1745"/>
      <c r="R10" s="899"/>
      <c r="S10" s="1745"/>
      <c r="T10" s="899"/>
      <c r="U10" s="1745"/>
      <c r="V10" s="899"/>
      <c r="W10" s="1745"/>
      <c r="X10" s="899"/>
      <c r="Y10" s="1745"/>
      <c r="Z10" s="899"/>
      <c r="AA10" s="1745"/>
      <c r="AB10" s="899"/>
      <c r="AC10" s="1183"/>
      <c r="AD10" s="15" t="s">
        <v>1541</v>
      </c>
      <c r="AE10" s="1746"/>
      <c r="AF10" s="15" t="s">
        <v>1541</v>
      </c>
      <c r="AG10" s="1746"/>
      <c r="AH10" s="15" t="s">
        <v>1542</v>
      </c>
      <c r="AI10" s="1746"/>
      <c r="AJ10" s="15" t="s">
        <v>1542</v>
      </c>
      <c r="AK10" s="1746"/>
      <c r="AL10" s="15" t="s">
        <v>1543</v>
      </c>
      <c r="AM10" s="1189"/>
      <c r="AN10" s="15" t="s">
        <v>1543</v>
      </c>
      <c r="AO10" s="1189"/>
      <c r="AP10" s="15" t="s">
        <v>1544</v>
      </c>
      <c r="AQ10" s="1189"/>
      <c r="AR10" s="15" t="s">
        <v>1544</v>
      </c>
      <c r="AS10" s="1189"/>
      <c r="AT10" s="1730"/>
      <c r="AU10" s="1730"/>
      <c r="AV10" s="1183"/>
      <c r="AW10" s="1713"/>
      <c r="AX10" s="1183"/>
      <c r="AY10" s="28"/>
      <c r="AZ10" s="28"/>
      <c r="BA10" s="1747" t="s">
        <v>1535</v>
      </c>
      <c r="BB10" s="1748" t="str">
        <f>I9</f>
        <v>地上</v>
      </c>
      <c r="BC10" s="29">
        <f>K9</f>
        <v>0</v>
      </c>
      <c r="BD10" s="29">
        <f>M9</f>
        <v>0</v>
      </c>
      <c r="BE10" s="29">
        <f>O9</f>
        <v>0</v>
      </c>
      <c r="BF10" s="29">
        <f>Q9</f>
        <v>0</v>
      </c>
      <c r="BG10" s="29">
        <f>S9</f>
        <v>0</v>
      </c>
      <c r="BH10" s="29">
        <f>U9</f>
        <v>0</v>
      </c>
      <c r="BI10" s="29">
        <f>W9</f>
        <v>0</v>
      </c>
      <c r="BJ10" s="29">
        <f>Y9</f>
        <v>0</v>
      </c>
      <c r="BK10" s="29">
        <f>AA9</f>
        <v>0</v>
      </c>
      <c r="BL10" s="25" t="s">
        <v>1535</v>
      </c>
      <c r="BM10" s="1494" t="str">
        <f>AD9</f>
        <v>地上</v>
      </c>
      <c r="BN10" s="29" t="str">
        <f>AF9</f>
        <v>地下</v>
      </c>
      <c r="BO10" s="1494" t="str">
        <f>AH9</f>
        <v>地上</v>
      </c>
      <c r="BP10" s="29" t="str">
        <f>AJ9</f>
        <v>地下</v>
      </c>
      <c r="BQ10" s="1494" t="str">
        <f>AL9</f>
        <v>地上</v>
      </c>
      <c r="BR10" s="29" t="str">
        <f>AN9</f>
        <v>地下</v>
      </c>
      <c r="BS10" s="1494" t="str">
        <f>AP9</f>
        <v>地上</v>
      </c>
      <c r="BT10" s="1749" t="str">
        <f>AR9</f>
        <v>地下</v>
      </c>
    </row>
    <row r="11" spans="1:72" s="1737" customFormat="1" ht="12.75">
      <c r="A11" s="1730"/>
      <c r="B11" s="1730"/>
      <c r="C11" s="1730"/>
      <c r="D11" s="1730"/>
      <c r="E11" s="1730"/>
      <c r="F11" s="1730"/>
      <c r="G11" s="1183"/>
      <c r="H11" s="1747"/>
      <c r="I11" s="1750" t="s">
        <v>3181</v>
      </c>
      <c r="J11" s="1751"/>
      <c r="K11" s="1750"/>
      <c r="L11" s="1751"/>
      <c r="M11" s="1750"/>
      <c r="N11" s="1751"/>
      <c r="O11" s="1750"/>
      <c r="P11" s="1751"/>
      <c r="Q11" s="1750"/>
      <c r="R11" s="1751"/>
      <c r="S11" s="1750"/>
      <c r="T11" s="1751"/>
      <c r="U11" s="1750"/>
      <c r="V11" s="1751"/>
      <c r="W11" s="1750"/>
      <c r="X11" s="1751"/>
      <c r="Y11" s="1750"/>
      <c r="Z11" s="1751"/>
      <c r="AA11" s="1750"/>
      <c r="AB11" s="1751"/>
      <c r="AC11" s="1183"/>
      <c r="AD11" s="1752" t="s">
        <v>1545</v>
      </c>
      <c r="AE11" s="1496"/>
      <c r="AF11" s="1752" t="s">
        <v>1545</v>
      </c>
      <c r="AG11" s="1496"/>
      <c r="AH11" s="1752" t="s">
        <v>1546</v>
      </c>
      <c r="AI11" s="1753"/>
      <c r="AJ11" s="1752" t="s">
        <v>1546</v>
      </c>
      <c r="AK11" s="1496"/>
      <c r="AL11" s="1494"/>
      <c r="AM11" s="1496"/>
      <c r="AN11" s="1494"/>
      <c r="AO11" s="1496"/>
      <c r="AP11" s="1494"/>
      <c r="AQ11" s="1496"/>
      <c r="AR11" s="1494"/>
      <c r="AS11" s="1496"/>
      <c r="AT11" s="1713"/>
      <c r="AU11" s="1730"/>
      <c r="AV11" s="1183"/>
      <c r="AW11" s="1713"/>
      <c r="AX11" s="1183"/>
      <c r="AY11" s="28"/>
      <c r="AZ11" s="28"/>
      <c r="BA11" s="28"/>
      <c r="BB11" s="1735" t="str">
        <f>I10</f>
        <v>商业</v>
      </c>
      <c r="BC11" s="1735">
        <f>K10</f>
        <v>0</v>
      </c>
      <c r="BD11" s="1735">
        <f>M10</f>
        <v>0</v>
      </c>
      <c r="BE11" s="1735">
        <f>O10</f>
        <v>0</v>
      </c>
      <c r="BF11" s="1735">
        <f>Q10</f>
        <v>0</v>
      </c>
      <c r="BG11" s="1735">
        <f>S10</f>
        <v>0</v>
      </c>
      <c r="BH11" s="1735">
        <f>U10</f>
        <v>0</v>
      </c>
      <c r="BI11" s="1735">
        <f>W10</f>
        <v>0</v>
      </c>
      <c r="BJ11" s="1735">
        <f>Y10</f>
        <v>0</v>
      </c>
      <c r="BK11" s="1735">
        <f>AA10</f>
        <v>0</v>
      </c>
      <c r="BL11" s="1183"/>
      <c r="BM11" s="1494" t="str">
        <f>AD10</f>
        <v>公共配套设施</v>
      </c>
      <c r="BN11" s="1494" t="str">
        <f>AF10</f>
        <v>公共配套设施</v>
      </c>
      <c r="BO11" s="24" t="str">
        <f>AH10</f>
        <v>物业管理用房</v>
      </c>
      <c r="BP11" s="24" t="str">
        <f>AJ10</f>
        <v>物业管理用房</v>
      </c>
      <c r="BQ11" s="24" t="str">
        <f>AL10</f>
        <v>设备及其他</v>
      </c>
      <c r="BR11" s="24" t="str">
        <f>AN10</f>
        <v>设备及其他</v>
      </c>
      <c r="BS11" s="25" t="str">
        <f>AP10</f>
        <v>未注明</v>
      </c>
      <c r="BT11" s="1754" t="str">
        <f>AR10</f>
        <v>未注明</v>
      </c>
    </row>
    <row r="12" spans="1:72" s="1715" customFormat="1" ht="12.75">
      <c r="A12" s="1755"/>
      <c r="B12" s="1755"/>
      <c r="C12" s="1755"/>
      <c r="D12" s="1755"/>
      <c r="E12" s="1755"/>
      <c r="F12" s="1755"/>
      <c r="G12" s="30"/>
      <c r="H12" s="1756"/>
      <c r="I12" s="1484" t="s">
        <v>1547</v>
      </c>
      <c r="J12" s="11" t="s">
        <v>1548</v>
      </c>
      <c r="K12" s="11" t="s">
        <v>1547</v>
      </c>
      <c r="L12" s="11" t="s">
        <v>1548</v>
      </c>
      <c r="M12" s="11" t="s">
        <v>1547</v>
      </c>
      <c r="N12" s="11" t="s">
        <v>1548</v>
      </c>
      <c r="O12" s="11" t="s">
        <v>1547</v>
      </c>
      <c r="P12" s="11" t="s">
        <v>1548</v>
      </c>
      <c r="Q12" s="11" t="s">
        <v>1547</v>
      </c>
      <c r="R12" s="11" t="s">
        <v>1548</v>
      </c>
      <c r="S12" s="11" t="s">
        <v>1547</v>
      </c>
      <c r="T12" s="11" t="s">
        <v>1548</v>
      </c>
      <c r="U12" s="11" t="s">
        <v>1547</v>
      </c>
      <c r="V12" s="1481" t="s">
        <v>1548</v>
      </c>
      <c r="W12" s="11" t="s">
        <v>1547</v>
      </c>
      <c r="X12" s="11" t="s">
        <v>1548</v>
      </c>
      <c r="Y12" s="11" t="s">
        <v>1547</v>
      </c>
      <c r="Z12" s="11" t="s">
        <v>1548</v>
      </c>
      <c r="AA12" s="11" t="s">
        <v>1547</v>
      </c>
      <c r="AB12" s="11" t="s">
        <v>1548</v>
      </c>
      <c r="AC12" s="1757"/>
      <c r="AD12" s="1484" t="s">
        <v>1547</v>
      </c>
      <c r="AE12" s="11" t="s">
        <v>1548</v>
      </c>
      <c r="AF12" s="11" t="s">
        <v>1547</v>
      </c>
      <c r="AG12" s="11" t="s">
        <v>1548</v>
      </c>
      <c r="AH12" s="11" t="s">
        <v>1547</v>
      </c>
      <c r="AI12" s="11" t="s">
        <v>1548</v>
      </c>
      <c r="AJ12" s="11" t="s">
        <v>1547</v>
      </c>
      <c r="AK12" s="11" t="s">
        <v>1548</v>
      </c>
      <c r="AL12" s="11" t="s">
        <v>1547</v>
      </c>
      <c r="AM12" s="11" t="s">
        <v>1548</v>
      </c>
      <c r="AN12" s="11" t="s">
        <v>1547</v>
      </c>
      <c r="AO12" s="11" t="s">
        <v>1548</v>
      </c>
      <c r="AP12" s="11" t="s">
        <v>1547</v>
      </c>
      <c r="AQ12" s="11" t="s">
        <v>1548</v>
      </c>
      <c r="AR12" s="30" t="s">
        <v>1547</v>
      </c>
      <c r="AS12" s="1755" t="s">
        <v>1548</v>
      </c>
      <c r="AT12" s="1758"/>
      <c r="AU12" s="1755"/>
      <c r="AV12" s="31"/>
      <c r="AW12" s="1714"/>
      <c r="AX12" s="31"/>
      <c r="AY12" s="1759"/>
      <c r="AZ12" s="28"/>
      <c r="BA12" s="1747"/>
      <c r="BB12" s="24" t="str">
        <f>I11</f>
        <v>独立商业</v>
      </c>
      <c r="BC12" s="1760">
        <f>K11</f>
        <v>0</v>
      </c>
      <c r="BD12" s="1760">
        <f>M11</f>
        <v>0</v>
      </c>
      <c r="BE12" s="1735">
        <f>O11</f>
        <v>0</v>
      </c>
      <c r="BF12" s="1735">
        <f>Q11</f>
        <v>0</v>
      </c>
      <c r="BG12" s="1735">
        <f>S11</f>
        <v>0</v>
      </c>
      <c r="BH12" s="1735">
        <f>U11</f>
        <v>0</v>
      </c>
      <c r="BI12" s="1735">
        <f>W11</f>
        <v>0</v>
      </c>
      <c r="BJ12" s="1735">
        <f>Y11</f>
        <v>0</v>
      </c>
      <c r="BK12" s="1735">
        <f>AA11</f>
        <v>0</v>
      </c>
      <c r="BL12" s="1183"/>
      <c r="BM12" s="1494" t="str">
        <f>AD11</f>
        <v>（住宅）</v>
      </c>
      <c r="BN12" s="1494" t="str">
        <f>AF11</f>
        <v>（住宅）</v>
      </c>
      <c r="BO12" s="24" t="str">
        <f>AH11</f>
        <v>（住宅、计出让金）</v>
      </c>
      <c r="BP12" s="24" t="str">
        <f>AJ11</f>
        <v>（住宅、计出让金）</v>
      </c>
      <c r="BQ12" s="24">
        <f>AL11</f>
        <v>0</v>
      </c>
      <c r="BR12" s="24">
        <f>AN11</f>
        <v>0</v>
      </c>
      <c r="BS12" s="25">
        <f>AP11</f>
        <v>0</v>
      </c>
      <c r="BT12" s="1754">
        <f>AR11</f>
        <v>0</v>
      </c>
    </row>
    <row r="13" spans="1:72" s="1715" customFormat="1" ht="12.75">
      <c r="A13" s="1163"/>
      <c r="B13" s="1163"/>
      <c r="C13" s="1163"/>
      <c r="D13" s="1761" t="s">
        <v>3179</v>
      </c>
      <c r="E13" s="16">
        <f>IF($C$3="是",ROUND($A$3*G13/$B$3,2),ROUND($A$3*(G13-AT13)/$B$3,2))</f>
        <v>0</v>
      </c>
      <c r="F13" s="32"/>
      <c r="G13" s="33">
        <f>H13+AC13+AT13</f>
        <v>6531.86</v>
      </c>
      <c r="H13" s="20">
        <f>SUMIF(I$12:AB$12,"总值",I13:AB13)</f>
        <v>5413.53</v>
      </c>
      <c r="I13" s="1762">
        <v>5413.53</v>
      </c>
      <c r="J13" s="1762"/>
      <c r="K13" s="1762"/>
      <c r="L13" s="1762"/>
      <c r="M13" s="1762"/>
      <c r="N13" s="1762"/>
      <c r="O13" s="1762"/>
      <c r="P13" s="1762"/>
      <c r="Q13" s="1762"/>
      <c r="R13" s="1762"/>
      <c r="S13" s="1762"/>
      <c r="T13" s="1762"/>
      <c r="U13" s="1762"/>
      <c r="V13" s="1762"/>
      <c r="W13" s="1762"/>
      <c r="X13" s="1762"/>
      <c r="Y13" s="1762"/>
      <c r="Z13" s="1762"/>
      <c r="AA13" s="1762"/>
      <c r="AB13" s="1762"/>
      <c r="AC13" s="16">
        <f>SUMIF(AD$12:AS$12,"总值",AD13:AS13)</f>
        <v>1118.33</v>
      </c>
      <c r="AD13" s="1763"/>
      <c r="AE13" s="1763"/>
      <c r="AF13" s="1763"/>
      <c r="AG13" s="1763"/>
      <c r="AH13" s="1763"/>
      <c r="AI13" s="1763"/>
      <c r="AJ13" s="1763"/>
      <c r="AK13" s="1763"/>
      <c r="AL13" s="1763"/>
      <c r="AM13" s="1763"/>
      <c r="AN13" s="1763">
        <f>999.96+118.37</f>
        <v>1118.33</v>
      </c>
      <c r="AO13" s="1763"/>
      <c r="AP13" s="1763"/>
      <c r="AQ13" s="1763"/>
      <c r="AR13" s="1763"/>
      <c r="AS13" s="1763"/>
      <c r="AT13" s="1764"/>
      <c r="AU13" s="1765"/>
      <c r="AV13" s="11">
        <f t="shared" ref="AV13:AX17" si="6">A13</f>
        <v>0</v>
      </c>
      <c r="AW13" s="11">
        <f t="shared" si="6"/>
        <v>0</v>
      </c>
      <c r="AX13" s="11">
        <f t="shared" si="6"/>
        <v>0</v>
      </c>
      <c r="AY13" s="1484">
        <f>ROUND($AY$6*AZ13/$AZ$5,2)</f>
        <v>0</v>
      </c>
      <c r="AZ13" s="16">
        <f>BA13+BL13</f>
        <v>6531.86</v>
      </c>
      <c r="BA13" s="16">
        <f>SUM(BB13:BK13)</f>
        <v>5413.53</v>
      </c>
      <c r="BB13" s="16">
        <f>IF($D13="是",I13-J13,0)</f>
        <v>5413.53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1118.33</v>
      </c>
      <c r="BM13" s="16">
        <f>IF($D13="是",AD13-AE13,0)</f>
        <v>0</v>
      </c>
      <c r="BN13" s="16">
        <f>IF($D13="是",AF13-AG13,0)</f>
        <v>0</v>
      </c>
      <c r="BO13" s="16">
        <f>IF($D13="是",AH13-AI13,0)</f>
        <v>0</v>
      </c>
      <c r="BP13" s="16">
        <f>IF($D13="是",AJ13-AK13,0)</f>
        <v>0</v>
      </c>
      <c r="BQ13" s="16">
        <f>IF($D13="是",AL13-AM13,0)</f>
        <v>0</v>
      </c>
      <c r="BR13" s="16">
        <f>IF($D13="是",AN13-AO13,0)</f>
        <v>1118.33</v>
      </c>
      <c r="BS13" s="16">
        <f>IF($D13="是",AP13-AQ13,0)</f>
        <v>0</v>
      </c>
      <c r="BT13" s="22">
        <f>IF($D13="是",AR13-AS13,0)</f>
        <v>0</v>
      </c>
    </row>
    <row r="14" spans="1:72" s="1715" customFormat="1" ht="12.75">
      <c r="A14" s="1163"/>
      <c r="B14" s="1163"/>
      <c r="C14" s="1706"/>
      <c r="D14" s="1761"/>
      <c r="E14" s="16">
        <f>IF($C$3="是",ROUND($A$3*G14/$B$3,2),ROUND($A$3*(G14-AT14)/$B$3,2))</f>
        <v>0</v>
      </c>
      <c r="F14" s="32"/>
      <c r="G14" s="33">
        <f>H14+AC14+AT14</f>
        <v>0</v>
      </c>
      <c r="H14" s="20">
        <f>SUMIF(I$12:AB$12,"总值",I14:AB14)</f>
        <v>0</v>
      </c>
      <c r="I14" s="1762"/>
      <c r="J14" s="1762"/>
      <c r="K14" s="1762"/>
      <c r="L14" s="1762"/>
      <c r="M14" s="1762"/>
      <c r="N14" s="1762"/>
      <c r="O14" s="1762"/>
      <c r="P14" s="1762"/>
      <c r="Q14" s="1762"/>
      <c r="R14" s="1762"/>
      <c r="S14" s="1762"/>
      <c r="T14" s="1762"/>
      <c r="U14" s="1762"/>
      <c r="V14" s="1762"/>
      <c r="W14" s="1762"/>
      <c r="X14" s="1762"/>
      <c r="Y14" s="1762"/>
      <c r="Z14" s="1762"/>
      <c r="AA14" s="1762"/>
      <c r="AB14" s="1762"/>
      <c r="AC14" s="16">
        <f>SUMIF(AD$12:AS$12,"总值",AD14:AS14)</f>
        <v>0</v>
      </c>
      <c r="AD14" s="1763"/>
      <c r="AE14" s="1763"/>
      <c r="AF14" s="1763"/>
      <c r="AG14" s="1763"/>
      <c r="AH14" s="1763"/>
      <c r="AI14" s="1763"/>
      <c r="AJ14" s="1763"/>
      <c r="AK14" s="1763"/>
      <c r="AL14" s="1763"/>
      <c r="AM14" s="1763"/>
      <c r="AN14" s="1763"/>
      <c r="AO14" s="1763"/>
      <c r="AP14" s="1763"/>
      <c r="AQ14" s="1763"/>
      <c r="AR14" s="1763"/>
      <c r="AS14" s="1763"/>
      <c r="AT14" s="1764"/>
      <c r="AU14" s="1765"/>
      <c r="AV14" s="11">
        <f t="shared" si="6"/>
        <v>0</v>
      </c>
      <c r="AW14" s="11">
        <f t="shared" si="6"/>
        <v>0</v>
      </c>
      <c r="AX14" s="11">
        <f t="shared" si="6"/>
        <v>0</v>
      </c>
      <c r="AY14" s="148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5" customFormat="1" ht="12.75">
      <c r="A15" s="1163"/>
      <c r="B15" s="1163"/>
      <c r="C15" s="1706"/>
      <c r="D15" s="1761"/>
      <c r="E15" s="16">
        <f>IF($C$3="是",ROUND($A$3*G15/$B$3,2),ROUND($A$3*(G15-AT15)/$B$3,2))</f>
        <v>0</v>
      </c>
      <c r="F15" s="32"/>
      <c r="G15" s="33">
        <f>H15+AC15+AT15</f>
        <v>0</v>
      </c>
      <c r="H15" s="20">
        <f>SUMIF(I$12:AB$12,"总值",I15:AB15)</f>
        <v>0</v>
      </c>
      <c r="I15" s="1762"/>
      <c r="J15" s="1762"/>
      <c r="K15" s="1762"/>
      <c r="L15" s="1762"/>
      <c r="M15" s="1762"/>
      <c r="N15" s="1762"/>
      <c r="O15" s="1762"/>
      <c r="P15" s="1762"/>
      <c r="Q15" s="1762"/>
      <c r="R15" s="1762"/>
      <c r="S15" s="1762"/>
      <c r="T15" s="1762"/>
      <c r="U15" s="1762"/>
      <c r="V15" s="1762"/>
      <c r="W15" s="1762"/>
      <c r="X15" s="1762"/>
      <c r="Y15" s="1762"/>
      <c r="Z15" s="1762"/>
      <c r="AA15" s="1762"/>
      <c r="AB15" s="1762"/>
      <c r="AC15" s="16">
        <f>SUMIF(AD$12:AS$12,"总值",AD15:AS15)</f>
        <v>0</v>
      </c>
      <c r="AD15" s="1763"/>
      <c r="AE15" s="1763"/>
      <c r="AF15" s="1763"/>
      <c r="AG15" s="1763"/>
      <c r="AH15" s="1763"/>
      <c r="AI15" s="1763"/>
      <c r="AJ15" s="1763"/>
      <c r="AK15" s="1763"/>
      <c r="AL15" s="1763"/>
      <c r="AM15" s="1763"/>
      <c r="AN15" s="1763"/>
      <c r="AO15" s="1763"/>
      <c r="AP15" s="1763"/>
      <c r="AQ15" s="1763"/>
      <c r="AR15" s="1763"/>
      <c r="AS15" s="1763"/>
      <c r="AT15" s="1764"/>
      <c r="AU15" s="1765"/>
      <c r="AV15" s="11">
        <f t="shared" si="6"/>
        <v>0</v>
      </c>
      <c r="AW15" s="11">
        <f t="shared" si="6"/>
        <v>0</v>
      </c>
      <c r="AX15" s="11">
        <f t="shared" si="6"/>
        <v>0</v>
      </c>
      <c r="AY15" s="148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5" customFormat="1" ht="12.75">
      <c r="A16" s="1163"/>
      <c r="B16" s="1163"/>
      <c r="C16" s="1706"/>
      <c r="D16" s="1761"/>
      <c r="E16" s="16">
        <f>IF($C$3="是",ROUND($A$3*G16/$B$3,2),ROUND($A$3*(G16-AT16)/$B$3,2))</f>
        <v>0</v>
      </c>
      <c r="F16" s="32"/>
      <c r="G16" s="33">
        <f>H16+AC16+AT16</f>
        <v>0</v>
      </c>
      <c r="H16" s="20">
        <f>SUMIF(I$12:AB$12,"总值",I16:AB16)</f>
        <v>0</v>
      </c>
      <c r="I16" s="1762"/>
      <c r="J16" s="1762"/>
      <c r="K16" s="1762"/>
      <c r="L16" s="1762"/>
      <c r="M16" s="1762"/>
      <c r="N16" s="1762"/>
      <c r="O16" s="1762"/>
      <c r="P16" s="1762"/>
      <c r="Q16" s="1762"/>
      <c r="R16" s="1762"/>
      <c r="S16" s="1762"/>
      <c r="T16" s="1762"/>
      <c r="U16" s="1762"/>
      <c r="V16" s="1762"/>
      <c r="W16" s="1762"/>
      <c r="X16" s="1762"/>
      <c r="Y16" s="1762"/>
      <c r="Z16" s="1762"/>
      <c r="AA16" s="1762"/>
      <c r="AB16" s="1762"/>
      <c r="AC16" s="16">
        <f>SUMIF(AD$12:AS$12,"总值",AD16:AS16)</f>
        <v>0</v>
      </c>
      <c r="AD16" s="1763"/>
      <c r="AE16" s="1763"/>
      <c r="AF16" s="1763"/>
      <c r="AG16" s="1763"/>
      <c r="AH16" s="1763"/>
      <c r="AI16" s="1763"/>
      <c r="AJ16" s="1763"/>
      <c r="AK16" s="1763"/>
      <c r="AL16" s="1763"/>
      <c r="AM16" s="1763"/>
      <c r="AN16" s="1763"/>
      <c r="AO16" s="1763"/>
      <c r="AP16" s="1763"/>
      <c r="AQ16" s="1763"/>
      <c r="AR16" s="1763"/>
      <c r="AS16" s="1763"/>
      <c r="AT16" s="1764"/>
      <c r="AU16" s="1765"/>
      <c r="AV16" s="11">
        <f t="shared" si="6"/>
        <v>0</v>
      </c>
      <c r="AW16" s="11">
        <f t="shared" si="6"/>
        <v>0</v>
      </c>
      <c r="AX16" s="11">
        <f t="shared" si="6"/>
        <v>0</v>
      </c>
      <c r="AY16" s="148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5" customFormat="1" ht="12.75">
      <c r="A17" s="1163"/>
      <c r="B17" s="1163"/>
      <c r="C17" s="1706"/>
      <c r="D17" s="1761"/>
      <c r="E17" s="16">
        <f>IF($C$3="是",ROUND($A$3*G17/$B$3,2),ROUND($A$3*(G17-AT17)/$B$3,2))</f>
        <v>0</v>
      </c>
      <c r="F17" s="32"/>
      <c r="G17" s="33">
        <f>H17+AC17+AT17</f>
        <v>0</v>
      </c>
      <c r="H17" s="20">
        <f>SUMIF(I$12:AB$12,"总值",I17:AB17)</f>
        <v>0</v>
      </c>
      <c r="I17" s="1762"/>
      <c r="J17" s="1762"/>
      <c r="K17" s="1762"/>
      <c r="L17" s="1762"/>
      <c r="M17" s="1762"/>
      <c r="N17" s="1762"/>
      <c r="O17" s="1762"/>
      <c r="P17" s="1762"/>
      <c r="Q17" s="1762"/>
      <c r="R17" s="1762"/>
      <c r="S17" s="1762"/>
      <c r="T17" s="1762"/>
      <c r="U17" s="1762"/>
      <c r="V17" s="1762"/>
      <c r="W17" s="1762"/>
      <c r="X17" s="1762"/>
      <c r="Y17" s="1762"/>
      <c r="Z17" s="1762"/>
      <c r="AA17" s="1762"/>
      <c r="AB17" s="1762"/>
      <c r="AC17" s="16">
        <f>SUMIF(AD$12:AS$12,"总值",AD17:AS17)</f>
        <v>0</v>
      </c>
      <c r="AD17" s="1763"/>
      <c r="AE17" s="1763"/>
      <c r="AF17" s="1763"/>
      <c r="AG17" s="1763"/>
      <c r="AH17" s="1763"/>
      <c r="AI17" s="1763"/>
      <c r="AJ17" s="1763"/>
      <c r="AK17" s="1763"/>
      <c r="AL17" s="1763"/>
      <c r="AM17" s="1763"/>
      <c r="AN17" s="1763"/>
      <c r="AO17" s="1763"/>
      <c r="AP17" s="1763"/>
      <c r="AQ17" s="1763"/>
      <c r="AR17" s="1763"/>
      <c r="AS17" s="1763"/>
      <c r="AT17" s="1764"/>
      <c r="AU17" s="1765"/>
      <c r="AV17" s="11">
        <f t="shared" si="6"/>
        <v>0</v>
      </c>
      <c r="AW17" s="11">
        <f t="shared" si="6"/>
        <v>0</v>
      </c>
      <c r="AX17" s="11">
        <f t="shared" si="6"/>
        <v>0</v>
      </c>
      <c r="AY17" s="148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6"/>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7"/>
      <c r="AV18" s="1478">
        <f t="shared" ref="AV18:AV112" si="11">A18</f>
        <v>0</v>
      </c>
      <c r="AW18" s="1478">
        <f t="shared" ref="AW18:AW112" si="12">B18</f>
        <v>0</v>
      </c>
      <c r="AX18" s="147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6"/>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7"/>
      <c r="AV19" s="1478">
        <f t="shared" si="11"/>
        <v>0</v>
      </c>
      <c r="AW19" s="1478">
        <f t="shared" si="12"/>
        <v>0</v>
      </c>
      <c r="AX19" s="147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6"/>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7"/>
      <c r="AV20" s="1478">
        <f t="shared" si="11"/>
        <v>0</v>
      </c>
      <c r="AW20" s="1478">
        <f t="shared" si="12"/>
        <v>0</v>
      </c>
      <c r="AX20" s="147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6"/>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7"/>
      <c r="AV21" s="1478">
        <f t="shared" si="11"/>
        <v>0</v>
      </c>
      <c r="AW21" s="1478">
        <f t="shared" si="12"/>
        <v>0</v>
      </c>
      <c r="AX21" s="147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6"/>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7"/>
      <c r="AV22" s="1478">
        <f t="shared" si="11"/>
        <v>0</v>
      </c>
      <c r="AW22" s="1478">
        <f t="shared" si="12"/>
        <v>0</v>
      </c>
      <c r="AX22" s="147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6"/>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7"/>
      <c r="AV23" s="1478">
        <f t="shared" si="11"/>
        <v>0</v>
      </c>
      <c r="AW23" s="1478">
        <f t="shared" si="12"/>
        <v>0</v>
      </c>
      <c r="AX23" s="147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6"/>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7"/>
      <c r="AV24" s="1478">
        <f t="shared" si="11"/>
        <v>0</v>
      </c>
      <c r="AW24" s="1478">
        <f t="shared" si="12"/>
        <v>0</v>
      </c>
      <c r="AX24" s="147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6"/>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7"/>
      <c r="AV25" s="1478">
        <f t="shared" si="11"/>
        <v>0</v>
      </c>
      <c r="AW25" s="1478">
        <f t="shared" si="12"/>
        <v>0</v>
      </c>
      <c r="AX25" s="147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6"/>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7"/>
      <c r="AV26" s="1478">
        <f t="shared" si="11"/>
        <v>0</v>
      </c>
      <c r="AW26" s="1478">
        <f t="shared" si="12"/>
        <v>0</v>
      </c>
      <c r="AX26" s="147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6"/>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7"/>
      <c r="AV27" s="1478">
        <f t="shared" si="11"/>
        <v>0</v>
      </c>
      <c r="AW27" s="1478">
        <f t="shared" si="12"/>
        <v>0</v>
      </c>
      <c r="AX27" s="147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6"/>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7"/>
      <c r="AV28" s="1478">
        <f t="shared" si="11"/>
        <v>0</v>
      </c>
      <c r="AW28" s="1478">
        <f t="shared" si="12"/>
        <v>0</v>
      </c>
      <c r="AX28" s="147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6"/>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7"/>
      <c r="AV29" s="1478">
        <f t="shared" si="11"/>
        <v>0</v>
      </c>
      <c r="AW29" s="1478">
        <f t="shared" si="12"/>
        <v>0</v>
      </c>
      <c r="AX29" s="147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6"/>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7"/>
      <c r="AV30" s="1478">
        <f t="shared" si="11"/>
        <v>0</v>
      </c>
      <c r="AW30" s="1478">
        <f t="shared" si="12"/>
        <v>0</v>
      </c>
      <c r="AX30" s="147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6"/>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7"/>
      <c r="AV31" s="1478">
        <f t="shared" si="11"/>
        <v>0</v>
      </c>
      <c r="AW31" s="1478">
        <f t="shared" si="12"/>
        <v>0</v>
      </c>
      <c r="AX31" s="147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6"/>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7"/>
      <c r="AV32" s="1478">
        <f t="shared" si="11"/>
        <v>0</v>
      </c>
      <c r="AW32" s="1478">
        <f t="shared" si="12"/>
        <v>0</v>
      </c>
      <c r="AX32" s="147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6"/>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7"/>
      <c r="AV33" s="1478">
        <f t="shared" si="11"/>
        <v>0</v>
      </c>
      <c r="AW33" s="1478">
        <f t="shared" si="12"/>
        <v>0</v>
      </c>
      <c r="AX33" s="147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6"/>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7"/>
      <c r="AV34" s="1478">
        <f t="shared" si="11"/>
        <v>0</v>
      </c>
      <c r="AW34" s="1478">
        <f t="shared" si="12"/>
        <v>0</v>
      </c>
      <c r="AX34" s="147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6"/>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7"/>
      <c r="AV35" s="1478">
        <f t="shared" si="11"/>
        <v>0</v>
      </c>
      <c r="AW35" s="1478">
        <f t="shared" si="12"/>
        <v>0</v>
      </c>
      <c r="AX35" s="147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6"/>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7"/>
      <c r="AV36" s="1478">
        <f t="shared" si="11"/>
        <v>0</v>
      </c>
      <c r="AW36" s="1478">
        <f t="shared" si="12"/>
        <v>0</v>
      </c>
      <c r="AX36" s="147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6"/>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7"/>
      <c r="AV37" s="1478">
        <f t="shared" si="11"/>
        <v>0</v>
      </c>
      <c r="AW37" s="1478">
        <f t="shared" si="12"/>
        <v>0</v>
      </c>
      <c r="AX37" s="147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6"/>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7"/>
      <c r="AV38" s="1478">
        <f t="shared" si="11"/>
        <v>0</v>
      </c>
      <c r="AW38" s="1478">
        <f t="shared" si="12"/>
        <v>0</v>
      </c>
      <c r="AX38" s="147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6"/>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7"/>
      <c r="AV39" s="1478">
        <f t="shared" si="11"/>
        <v>0</v>
      </c>
      <c r="AW39" s="1478">
        <f t="shared" si="12"/>
        <v>0</v>
      </c>
      <c r="AX39" s="147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6"/>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7"/>
      <c r="AV40" s="1478">
        <f t="shared" si="11"/>
        <v>0</v>
      </c>
      <c r="AW40" s="1478">
        <f t="shared" si="12"/>
        <v>0</v>
      </c>
      <c r="AX40" s="147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6"/>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7"/>
      <c r="AV41" s="1478">
        <f t="shared" si="11"/>
        <v>0</v>
      </c>
      <c r="AW41" s="1478">
        <f t="shared" si="12"/>
        <v>0</v>
      </c>
      <c r="AX41" s="147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6"/>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7"/>
      <c r="AV42" s="1478">
        <f t="shared" si="11"/>
        <v>0</v>
      </c>
      <c r="AW42" s="1478">
        <f t="shared" si="12"/>
        <v>0</v>
      </c>
      <c r="AX42" s="147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6"/>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7"/>
      <c r="AV43" s="1478">
        <f t="shared" si="11"/>
        <v>0</v>
      </c>
      <c r="AW43" s="1478">
        <f t="shared" si="12"/>
        <v>0</v>
      </c>
      <c r="AX43" s="147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6"/>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7"/>
      <c r="AV44" s="1478">
        <f t="shared" si="11"/>
        <v>0</v>
      </c>
      <c r="AW44" s="1478">
        <f t="shared" si="12"/>
        <v>0</v>
      </c>
      <c r="AX44" s="147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6"/>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7"/>
      <c r="AV45" s="1478">
        <f t="shared" si="11"/>
        <v>0</v>
      </c>
      <c r="AW45" s="1478">
        <f t="shared" si="12"/>
        <v>0</v>
      </c>
      <c r="AX45" s="147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6"/>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7"/>
      <c r="AV46" s="1478">
        <f t="shared" si="11"/>
        <v>0</v>
      </c>
      <c r="AW46" s="1478">
        <f t="shared" si="12"/>
        <v>0</v>
      </c>
      <c r="AX46" s="147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6"/>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7"/>
      <c r="AV47" s="1478">
        <f t="shared" si="11"/>
        <v>0</v>
      </c>
      <c r="AW47" s="1478">
        <f t="shared" si="12"/>
        <v>0</v>
      </c>
      <c r="AX47" s="147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6"/>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7"/>
      <c r="AV48" s="1478">
        <f t="shared" si="11"/>
        <v>0</v>
      </c>
      <c r="AW48" s="1478">
        <f t="shared" si="12"/>
        <v>0</v>
      </c>
      <c r="AX48" s="147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6"/>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7"/>
      <c r="AV49" s="1478">
        <f t="shared" si="11"/>
        <v>0</v>
      </c>
      <c r="AW49" s="1478">
        <f t="shared" si="12"/>
        <v>0</v>
      </c>
      <c r="AX49" s="147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6"/>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7"/>
      <c r="AV50" s="1478">
        <f t="shared" si="11"/>
        <v>0</v>
      </c>
      <c r="AW50" s="1478">
        <f t="shared" si="12"/>
        <v>0</v>
      </c>
      <c r="AX50" s="147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7"/>
      <c r="AV51" s="1478">
        <f t="shared" si="11"/>
        <v>0</v>
      </c>
      <c r="AW51" s="1478">
        <f t="shared" si="12"/>
        <v>0</v>
      </c>
      <c r="AX51" s="147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7"/>
      <c r="AV52" s="1478">
        <f t="shared" si="11"/>
        <v>0</v>
      </c>
      <c r="AW52" s="1478">
        <f t="shared" si="12"/>
        <v>0</v>
      </c>
      <c r="AX52" s="147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7"/>
      <c r="AV53" s="1478">
        <f t="shared" si="11"/>
        <v>0</v>
      </c>
      <c r="AW53" s="1478">
        <f t="shared" si="12"/>
        <v>0</v>
      </c>
      <c r="AX53" s="147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7"/>
      <c r="AV54" s="1478">
        <f t="shared" si="11"/>
        <v>0</v>
      </c>
      <c r="AW54" s="1478">
        <f t="shared" si="12"/>
        <v>0</v>
      </c>
      <c r="AX54" s="147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7"/>
      <c r="AV55" s="1478">
        <f t="shared" si="11"/>
        <v>0</v>
      </c>
      <c r="AW55" s="1478">
        <f t="shared" si="12"/>
        <v>0</v>
      </c>
      <c r="AX55" s="147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7"/>
      <c r="AV56" s="1478">
        <f t="shared" si="11"/>
        <v>0</v>
      </c>
      <c r="AW56" s="1478">
        <f t="shared" si="12"/>
        <v>0</v>
      </c>
      <c r="AX56" s="147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7"/>
      <c r="AV57" s="1478">
        <f t="shared" si="11"/>
        <v>0</v>
      </c>
      <c r="AW57" s="1478">
        <f t="shared" si="12"/>
        <v>0</v>
      </c>
      <c r="AX57" s="147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7"/>
      <c r="AV58" s="1478">
        <f t="shared" si="11"/>
        <v>0</v>
      </c>
      <c r="AW58" s="1478">
        <f t="shared" si="12"/>
        <v>0</v>
      </c>
      <c r="AX58" s="147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7"/>
      <c r="AV59" s="1478">
        <f t="shared" si="11"/>
        <v>0</v>
      </c>
      <c r="AW59" s="1478">
        <f t="shared" si="12"/>
        <v>0</v>
      </c>
      <c r="AX59" s="147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7"/>
      <c r="AV60" s="1478">
        <f t="shared" si="11"/>
        <v>0</v>
      </c>
      <c r="AW60" s="1478">
        <f t="shared" si="12"/>
        <v>0</v>
      </c>
      <c r="AX60" s="147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7"/>
      <c r="AV61" s="1478">
        <f t="shared" si="11"/>
        <v>0</v>
      </c>
      <c r="AW61" s="1478">
        <f t="shared" si="12"/>
        <v>0</v>
      </c>
      <c r="AX61" s="147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7"/>
      <c r="AV62" s="1478">
        <f t="shared" si="11"/>
        <v>0</v>
      </c>
      <c r="AW62" s="1478">
        <f t="shared" si="12"/>
        <v>0</v>
      </c>
      <c r="AX62" s="147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7"/>
      <c r="AV63" s="1478">
        <f t="shared" si="11"/>
        <v>0</v>
      </c>
      <c r="AW63" s="1478">
        <f t="shared" si="12"/>
        <v>0</v>
      </c>
      <c r="AX63" s="147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7"/>
      <c r="AV64" s="1478">
        <f t="shared" si="11"/>
        <v>0</v>
      </c>
      <c r="AW64" s="1478">
        <f t="shared" si="12"/>
        <v>0</v>
      </c>
      <c r="AX64" s="147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7"/>
      <c r="AV65" s="1478">
        <f t="shared" si="11"/>
        <v>0</v>
      </c>
      <c r="AW65" s="1478">
        <f t="shared" si="12"/>
        <v>0</v>
      </c>
      <c r="AX65" s="147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7"/>
      <c r="AV66" s="1478">
        <f t="shared" si="11"/>
        <v>0</v>
      </c>
      <c r="AW66" s="1478">
        <f t="shared" si="12"/>
        <v>0</v>
      </c>
      <c r="AX66" s="147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7"/>
      <c r="AV67" s="1478">
        <f t="shared" si="11"/>
        <v>0</v>
      </c>
      <c r="AW67" s="1478">
        <f t="shared" si="12"/>
        <v>0</v>
      </c>
      <c r="AX67" s="147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7"/>
      <c r="AV68" s="1478">
        <f t="shared" si="11"/>
        <v>0</v>
      </c>
      <c r="AW68" s="1478">
        <f t="shared" si="12"/>
        <v>0</v>
      </c>
      <c r="AX68" s="147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7"/>
      <c r="AV69" s="1478">
        <f t="shared" si="11"/>
        <v>0</v>
      </c>
      <c r="AW69" s="1478">
        <f t="shared" si="12"/>
        <v>0</v>
      </c>
      <c r="AX69" s="147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7"/>
      <c r="AV70" s="1478">
        <f t="shared" si="11"/>
        <v>0</v>
      </c>
      <c r="AW70" s="1478">
        <f t="shared" si="12"/>
        <v>0</v>
      </c>
      <c r="AX70" s="147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7"/>
      <c r="AV71" s="1478">
        <f t="shared" si="11"/>
        <v>0</v>
      </c>
      <c r="AW71" s="1478">
        <f t="shared" si="12"/>
        <v>0</v>
      </c>
      <c r="AX71" s="147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7"/>
      <c r="AV72" s="1478">
        <f t="shared" si="11"/>
        <v>0</v>
      </c>
      <c r="AW72" s="1478">
        <f t="shared" si="12"/>
        <v>0</v>
      </c>
      <c r="AX72" s="147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7"/>
      <c r="AV73" s="1478">
        <f t="shared" si="11"/>
        <v>0</v>
      </c>
      <c r="AW73" s="1478">
        <f t="shared" si="12"/>
        <v>0</v>
      </c>
      <c r="AX73" s="147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7"/>
      <c r="AV74" s="1478">
        <f t="shared" si="11"/>
        <v>0</v>
      </c>
      <c r="AW74" s="1478">
        <f t="shared" si="12"/>
        <v>0</v>
      </c>
      <c r="AX74" s="147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7"/>
      <c r="AV75" s="1478">
        <f t="shared" si="11"/>
        <v>0</v>
      </c>
      <c r="AW75" s="1478">
        <f t="shared" si="12"/>
        <v>0</v>
      </c>
      <c r="AX75" s="147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7"/>
      <c r="AV76" s="1478">
        <f t="shared" si="11"/>
        <v>0</v>
      </c>
      <c r="AW76" s="1478">
        <f t="shared" si="12"/>
        <v>0</v>
      </c>
      <c r="AX76" s="147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7"/>
      <c r="AV77" s="1478">
        <f t="shared" si="11"/>
        <v>0</v>
      </c>
      <c r="AW77" s="1478">
        <f t="shared" si="12"/>
        <v>0</v>
      </c>
      <c r="AX77" s="147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7"/>
      <c r="AV78" s="1478">
        <f t="shared" si="11"/>
        <v>0</v>
      </c>
      <c r="AW78" s="1478">
        <f t="shared" si="12"/>
        <v>0</v>
      </c>
      <c r="AX78" s="147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7"/>
      <c r="AV79" s="1478">
        <f t="shared" si="11"/>
        <v>0</v>
      </c>
      <c r="AW79" s="1478">
        <f t="shared" si="12"/>
        <v>0</v>
      </c>
      <c r="AX79" s="147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7"/>
      <c r="AV80" s="1478">
        <f t="shared" si="11"/>
        <v>0</v>
      </c>
      <c r="AW80" s="1478">
        <f t="shared" si="12"/>
        <v>0</v>
      </c>
      <c r="AX80" s="147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7"/>
      <c r="AV81" s="1478">
        <f t="shared" si="11"/>
        <v>0</v>
      </c>
      <c r="AW81" s="1478">
        <f t="shared" si="12"/>
        <v>0</v>
      </c>
      <c r="AX81" s="147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7"/>
      <c r="AV82" s="1478">
        <f t="shared" si="11"/>
        <v>0</v>
      </c>
      <c r="AW82" s="1478">
        <f t="shared" si="12"/>
        <v>0</v>
      </c>
      <c r="AX82" s="147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7"/>
      <c r="AV83" s="1478">
        <f t="shared" si="11"/>
        <v>0</v>
      </c>
      <c r="AW83" s="1478">
        <f t="shared" si="12"/>
        <v>0</v>
      </c>
      <c r="AX83" s="147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7"/>
      <c r="AV84" s="1478">
        <f t="shared" si="11"/>
        <v>0</v>
      </c>
      <c r="AW84" s="1478">
        <f t="shared" si="12"/>
        <v>0</v>
      </c>
      <c r="AX84" s="147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7"/>
      <c r="AV85" s="1478">
        <f t="shared" si="11"/>
        <v>0</v>
      </c>
      <c r="AW85" s="1478">
        <f t="shared" si="12"/>
        <v>0</v>
      </c>
      <c r="AX85" s="147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7"/>
      <c r="AV86" s="1478">
        <f t="shared" si="11"/>
        <v>0</v>
      </c>
      <c r="AW86" s="1478">
        <f t="shared" si="12"/>
        <v>0</v>
      </c>
      <c r="AX86" s="147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7"/>
      <c r="AV87" s="1478">
        <f t="shared" si="11"/>
        <v>0</v>
      </c>
      <c r="AW87" s="1478">
        <f t="shared" si="12"/>
        <v>0</v>
      </c>
      <c r="AX87" s="147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7"/>
      <c r="AV88" s="1478">
        <f t="shared" si="11"/>
        <v>0</v>
      </c>
      <c r="AW88" s="1478">
        <f t="shared" si="12"/>
        <v>0</v>
      </c>
      <c r="AX88" s="147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7"/>
      <c r="AV89" s="1478">
        <f t="shared" si="11"/>
        <v>0</v>
      </c>
      <c r="AW89" s="1478">
        <f t="shared" si="12"/>
        <v>0</v>
      </c>
      <c r="AX89" s="147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7"/>
      <c r="AV90" s="1478">
        <f t="shared" si="11"/>
        <v>0</v>
      </c>
      <c r="AW90" s="1478">
        <f t="shared" si="12"/>
        <v>0</v>
      </c>
      <c r="AX90" s="147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7"/>
      <c r="AV91" s="1478">
        <f t="shared" si="11"/>
        <v>0</v>
      </c>
      <c r="AW91" s="1478">
        <f t="shared" si="12"/>
        <v>0</v>
      </c>
      <c r="AX91" s="147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7"/>
      <c r="AV92" s="1478">
        <f t="shared" si="11"/>
        <v>0</v>
      </c>
      <c r="AW92" s="1478">
        <f t="shared" si="12"/>
        <v>0</v>
      </c>
      <c r="AX92" s="147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7"/>
      <c r="AV93" s="1478">
        <f t="shared" si="11"/>
        <v>0</v>
      </c>
      <c r="AW93" s="1478">
        <f t="shared" si="12"/>
        <v>0</v>
      </c>
      <c r="AX93" s="147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7"/>
      <c r="AV94" s="1478">
        <f t="shared" si="11"/>
        <v>0</v>
      </c>
      <c r="AW94" s="1478">
        <f t="shared" si="12"/>
        <v>0</v>
      </c>
      <c r="AX94" s="147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7"/>
      <c r="AV95" s="1478">
        <f t="shared" si="11"/>
        <v>0</v>
      </c>
      <c r="AW95" s="1478">
        <f t="shared" si="12"/>
        <v>0</v>
      </c>
      <c r="AX95" s="147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7"/>
      <c r="AV96" s="1478">
        <f t="shared" si="11"/>
        <v>0</v>
      </c>
      <c r="AW96" s="1478">
        <f t="shared" si="12"/>
        <v>0</v>
      </c>
      <c r="AX96" s="147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7"/>
      <c r="AV97" s="1478">
        <f t="shared" si="11"/>
        <v>0</v>
      </c>
      <c r="AW97" s="1478">
        <f t="shared" si="12"/>
        <v>0</v>
      </c>
      <c r="AX97" s="147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7"/>
      <c r="AV98" s="1478">
        <f t="shared" si="11"/>
        <v>0</v>
      </c>
      <c r="AW98" s="1478">
        <f t="shared" si="12"/>
        <v>0</v>
      </c>
      <c r="AX98" s="147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7"/>
      <c r="AV99" s="1478">
        <f t="shared" si="11"/>
        <v>0</v>
      </c>
      <c r="AW99" s="1478">
        <f t="shared" si="12"/>
        <v>0</v>
      </c>
      <c r="AX99" s="147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7"/>
      <c r="AV100" s="1478">
        <f t="shared" si="11"/>
        <v>0</v>
      </c>
      <c r="AW100" s="1478">
        <f t="shared" si="12"/>
        <v>0</v>
      </c>
      <c r="AX100" s="147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7"/>
      <c r="AV101" s="1478">
        <f t="shared" si="11"/>
        <v>0</v>
      </c>
      <c r="AW101" s="1478">
        <f t="shared" si="12"/>
        <v>0</v>
      </c>
      <c r="AX101" s="147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7"/>
      <c r="AV102" s="1478">
        <f t="shared" si="11"/>
        <v>0</v>
      </c>
      <c r="AW102" s="1478">
        <f t="shared" si="12"/>
        <v>0</v>
      </c>
      <c r="AX102" s="147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7"/>
      <c r="AV103" s="1478">
        <f t="shared" si="11"/>
        <v>0</v>
      </c>
      <c r="AW103" s="1478">
        <f t="shared" si="12"/>
        <v>0</v>
      </c>
      <c r="AX103" s="147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7"/>
      <c r="AV104" s="1478">
        <f t="shared" si="11"/>
        <v>0</v>
      </c>
      <c r="AW104" s="1478">
        <f t="shared" si="12"/>
        <v>0</v>
      </c>
      <c r="AX104" s="147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7"/>
      <c r="AV105" s="1478">
        <f t="shared" si="11"/>
        <v>0</v>
      </c>
      <c r="AW105" s="1478">
        <f t="shared" si="12"/>
        <v>0</v>
      </c>
      <c r="AX105" s="147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7"/>
      <c r="AV106" s="1478">
        <f t="shared" si="11"/>
        <v>0</v>
      </c>
      <c r="AW106" s="1478">
        <f t="shared" si="12"/>
        <v>0</v>
      </c>
      <c r="AX106" s="147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7"/>
      <c r="AV107" s="1478">
        <f t="shared" si="11"/>
        <v>0</v>
      </c>
      <c r="AW107" s="1478">
        <f t="shared" si="12"/>
        <v>0</v>
      </c>
      <c r="AX107" s="147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7"/>
      <c r="AV108" s="1478">
        <f t="shared" si="11"/>
        <v>0</v>
      </c>
      <c r="AW108" s="1478">
        <f t="shared" si="12"/>
        <v>0</v>
      </c>
      <c r="AX108" s="147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7"/>
      <c r="AV109" s="1478">
        <f t="shared" si="11"/>
        <v>0</v>
      </c>
      <c r="AW109" s="1478">
        <f t="shared" si="12"/>
        <v>0</v>
      </c>
      <c r="AX109" s="147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7"/>
      <c r="AV110" s="1478">
        <f t="shared" si="11"/>
        <v>0</v>
      </c>
      <c r="AW110" s="1478">
        <f t="shared" si="12"/>
        <v>0</v>
      </c>
      <c r="AX110" s="147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7"/>
      <c r="AV111" s="1478">
        <f t="shared" si="11"/>
        <v>0</v>
      </c>
      <c r="AW111" s="1478">
        <f t="shared" si="12"/>
        <v>0</v>
      </c>
      <c r="AX111" s="147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7"/>
      <c r="AV112" s="1478">
        <f t="shared" si="11"/>
        <v>0</v>
      </c>
      <c r="AW112" s="1478">
        <f t="shared" si="12"/>
        <v>0</v>
      </c>
      <c r="AX112" s="147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7"/>
      <c r="AV113" s="1478">
        <f t="shared" ref="AV113:AV144" si="62">A113</f>
        <v>0</v>
      </c>
      <c r="AW113" s="1478">
        <f t="shared" ref="AW113:AW144" si="63">B113</f>
        <v>0</v>
      </c>
      <c r="AX113" s="147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7"/>
      <c r="AV114" s="1478">
        <f t="shared" si="62"/>
        <v>0</v>
      </c>
      <c r="AW114" s="1478">
        <f t="shared" si="63"/>
        <v>0</v>
      </c>
      <c r="AX114" s="147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7"/>
      <c r="AV115" s="1478">
        <f t="shared" si="62"/>
        <v>0</v>
      </c>
      <c r="AW115" s="1478">
        <f t="shared" si="63"/>
        <v>0</v>
      </c>
      <c r="AX115" s="147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7"/>
      <c r="AV116" s="1478">
        <f t="shared" si="62"/>
        <v>0</v>
      </c>
      <c r="AW116" s="1478">
        <f t="shared" si="63"/>
        <v>0</v>
      </c>
      <c r="AX116" s="147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7"/>
      <c r="AV117" s="1478">
        <f t="shared" si="62"/>
        <v>0</v>
      </c>
      <c r="AW117" s="1478">
        <f t="shared" si="63"/>
        <v>0</v>
      </c>
      <c r="AX117" s="147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7"/>
      <c r="AV118" s="1478">
        <f t="shared" si="62"/>
        <v>0</v>
      </c>
      <c r="AW118" s="1478">
        <f t="shared" si="63"/>
        <v>0</v>
      </c>
      <c r="AX118" s="147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7"/>
      <c r="AV119" s="1478">
        <f t="shared" si="62"/>
        <v>0</v>
      </c>
      <c r="AW119" s="1478">
        <f t="shared" si="63"/>
        <v>0</v>
      </c>
      <c r="AX119" s="147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7"/>
      <c r="AV120" s="1478">
        <f t="shared" si="62"/>
        <v>0</v>
      </c>
      <c r="AW120" s="1478">
        <f t="shared" si="63"/>
        <v>0</v>
      </c>
      <c r="AX120" s="147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7"/>
      <c r="AV121" s="1478">
        <f t="shared" si="62"/>
        <v>0</v>
      </c>
      <c r="AW121" s="1478">
        <f t="shared" si="63"/>
        <v>0</v>
      </c>
      <c r="AX121" s="147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7"/>
      <c r="AV122" s="1478">
        <f t="shared" si="62"/>
        <v>0</v>
      </c>
      <c r="AW122" s="1478">
        <f t="shared" si="63"/>
        <v>0</v>
      </c>
      <c r="AX122" s="147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7"/>
      <c r="AV123" s="1478">
        <f t="shared" si="62"/>
        <v>0</v>
      </c>
      <c r="AW123" s="1478">
        <f t="shared" si="63"/>
        <v>0</v>
      </c>
      <c r="AX123" s="147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7"/>
      <c r="AV124" s="1478">
        <f t="shared" si="62"/>
        <v>0</v>
      </c>
      <c r="AW124" s="1478">
        <f t="shared" si="63"/>
        <v>0</v>
      </c>
      <c r="AX124" s="147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7"/>
      <c r="AV125" s="1478">
        <f t="shared" si="62"/>
        <v>0</v>
      </c>
      <c r="AW125" s="1478">
        <f t="shared" si="63"/>
        <v>0</v>
      </c>
      <c r="AX125" s="147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7"/>
      <c r="AV126" s="1478">
        <f t="shared" si="62"/>
        <v>0</v>
      </c>
      <c r="AW126" s="1478">
        <f t="shared" si="63"/>
        <v>0</v>
      </c>
      <c r="AX126" s="147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7"/>
      <c r="AV127" s="1478">
        <f t="shared" si="62"/>
        <v>0</v>
      </c>
      <c r="AW127" s="1478">
        <f t="shared" si="63"/>
        <v>0</v>
      </c>
      <c r="AX127" s="147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7"/>
      <c r="AV128" s="1478">
        <f t="shared" si="62"/>
        <v>0</v>
      </c>
      <c r="AW128" s="1478">
        <f t="shared" si="63"/>
        <v>0</v>
      </c>
      <c r="AX128" s="147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7"/>
      <c r="AV129" s="1478">
        <f t="shared" si="62"/>
        <v>0</v>
      </c>
      <c r="AW129" s="1478">
        <f t="shared" si="63"/>
        <v>0</v>
      </c>
      <c r="AX129" s="147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7"/>
      <c r="AV130" s="1478">
        <f t="shared" si="62"/>
        <v>0</v>
      </c>
      <c r="AW130" s="1478">
        <f t="shared" si="63"/>
        <v>0</v>
      </c>
      <c r="AX130" s="147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7"/>
      <c r="AV131" s="1478">
        <f t="shared" si="62"/>
        <v>0</v>
      </c>
      <c r="AW131" s="1478">
        <f t="shared" si="63"/>
        <v>0</v>
      </c>
      <c r="AX131" s="147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7"/>
      <c r="AV132" s="1478">
        <f t="shared" si="62"/>
        <v>0</v>
      </c>
      <c r="AW132" s="1478">
        <f t="shared" si="63"/>
        <v>0</v>
      </c>
      <c r="AX132" s="147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7"/>
      <c r="AV133" s="1478">
        <f t="shared" si="62"/>
        <v>0</v>
      </c>
      <c r="AW133" s="1478">
        <f t="shared" si="63"/>
        <v>0</v>
      </c>
      <c r="AX133" s="147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7"/>
      <c r="AV134" s="1478">
        <f t="shared" si="62"/>
        <v>0</v>
      </c>
      <c r="AW134" s="1478">
        <f t="shared" si="63"/>
        <v>0</v>
      </c>
      <c r="AX134" s="147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7"/>
      <c r="AV135" s="1478">
        <f t="shared" si="62"/>
        <v>0</v>
      </c>
      <c r="AW135" s="1478">
        <f t="shared" si="63"/>
        <v>0</v>
      </c>
      <c r="AX135" s="147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7"/>
      <c r="AV136" s="1478">
        <f t="shared" si="62"/>
        <v>0</v>
      </c>
      <c r="AW136" s="1478">
        <f t="shared" si="63"/>
        <v>0</v>
      </c>
      <c r="AX136" s="147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7"/>
      <c r="AV137" s="1478">
        <f t="shared" si="62"/>
        <v>0</v>
      </c>
      <c r="AW137" s="1478">
        <f t="shared" si="63"/>
        <v>0</v>
      </c>
      <c r="AX137" s="147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7"/>
      <c r="AV138" s="1478">
        <f t="shared" si="62"/>
        <v>0</v>
      </c>
      <c r="AW138" s="1478">
        <f t="shared" si="63"/>
        <v>0</v>
      </c>
      <c r="AX138" s="147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7"/>
      <c r="AV139" s="1478">
        <f t="shared" si="62"/>
        <v>0</v>
      </c>
      <c r="AW139" s="1478">
        <f t="shared" si="63"/>
        <v>0</v>
      </c>
      <c r="AX139" s="147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7"/>
      <c r="AV140" s="1478">
        <f t="shared" si="62"/>
        <v>0</v>
      </c>
      <c r="AW140" s="1478">
        <f t="shared" si="63"/>
        <v>0</v>
      </c>
      <c r="AX140" s="147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7"/>
      <c r="AV141" s="1478">
        <f t="shared" si="62"/>
        <v>0</v>
      </c>
      <c r="AW141" s="1478">
        <f t="shared" si="63"/>
        <v>0</v>
      </c>
      <c r="AX141" s="147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7"/>
      <c r="AV142" s="1478">
        <f t="shared" si="62"/>
        <v>0</v>
      </c>
      <c r="AW142" s="1478">
        <f t="shared" si="63"/>
        <v>0</v>
      </c>
      <c r="AX142" s="147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7"/>
      <c r="AV143" s="1478">
        <f t="shared" si="62"/>
        <v>0</v>
      </c>
      <c r="AW143" s="1478">
        <f t="shared" si="63"/>
        <v>0</v>
      </c>
      <c r="AX143" s="147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7"/>
      <c r="AV144" s="1478">
        <f t="shared" si="62"/>
        <v>0</v>
      </c>
      <c r="AW144" s="1478">
        <f t="shared" si="63"/>
        <v>0</v>
      </c>
      <c r="AX144" s="147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7"/>
      <c r="AV145" s="1478">
        <f t="shared" ref="AV145:AV176" si="91">A145</f>
        <v>0</v>
      </c>
      <c r="AW145" s="1478">
        <f t="shared" ref="AW145:AW176" si="92">B145</f>
        <v>0</v>
      </c>
      <c r="AX145" s="147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7"/>
      <c r="AV146" s="1478">
        <f t="shared" si="91"/>
        <v>0</v>
      </c>
      <c r="AW146" s="1478">
        <f t="shared" si="92"/>
        <v>0</v>
      </c>
      <c r="AX146" s="147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7"/>
      <c r="AV147" s="1478">
        <f t="shared" si="91"/>
        <v>0</v>
      </c>
      <c r="AW147" s="1478">
        <f t="shared" si="92"/>
        <v>0</v>
      </c>
      <c r="AX147" s="147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7"/>
      <c r="AV148" s="1478">
        <f t="shared" si="91"/>
        <v>0</v>
      </c>
      <c r="AW148" s="1478">
        <f t="shared" si="92"/>
        <v>0</v>
      </c>
      <c r="AX148" s="147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7"/>
      <c r="AV149" s="1478">
        <f t="shared" si="91"/>
        <v>0</v>
      </c>
      <c r="AW149" s="1478">
        <f t="shared" si="92"/>
        <v>0</v>
      </c>
      <c r="AX149" s="147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7"/>
      <c r="AV150" s="1478">
        <f t="shared" si="91"/>
        <v>0</v>
      </c>
      <c r="AW150" s="1478">
        <f t="shared" si="92"/>
        <v>0</v>
      </c>
      <c r="AX150" s="147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7"/>
      <c r="AV151" s="1478">
        <f t="shared" si="91"/>
        <v>0</v>
      </c>
      <c r="AW151" s="1478">
        <f t="shared" si="92"/>
        <v>0</v>
      </c>
      <c r="AX151" s="147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7"/>
      <c r="AV152" s="1478">
        <f t="shared" si="91"/>
        <v>0</v>
      </c>
      <c r="AW152" s="1478">
        <f t="shared" si="92"/>
        <v>0</v>
      </c>
      <c r="AX152" s="147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7"/>
      <c r="AV153" s="1478">
        <f t="shared" si="91"/>
        <v>0</v>
      </c>
      <c r="AW153" s="1478">
        <f t="shared" si="92"/>
        <v>0</v>
      </c>
      <c r="AX153" s="147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7"/>
      <c r="AV154" s="1478">
        <f t="shared" si="91"/>
        <v>0</v>
      </c>
      <c r="AW154" s="1478">
        <f t="shared" si="92"/>
        <v>0</v>
      </c>
      <c r="AX154" s="147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7"/>
      <c r="AV155" s="1478">
        <f t="shared" si="91"/>
        <v>0</v>
      </c>
      <c r="AW155" s="1478">
        <f t="shared" si="92"/>
        <v>0</v>
      </c>
      <c r="AX155" s="147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7"/>
      <c r="AV156" s="1478">
        <f t="shared" si="91"/>
        <v>0</v>
      </c>
      <c r="AW156" s="1478">
        <f t="shared" si="92"/>
        <v>0</v>
      </c>
      <c r="AX156" s="147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7"/>
      <c r="AV157" s="1478">
        <f t="shared" si="91"/>
        <v>0</v>
      </c>
      <c r="AW157" s="1478">
        <f t="shared" si="92"/>
        <v>0</v>
      </c>
      <c r="AX157" s="147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7"/>
      <c r="AV158" s="1478">
        <f t="shared" si="91"/>
        <v>0</v>
      </c>
      <c r="AW158" s="1478">
        <f t="shared" si="92"/>
        <v>0</v>
      </c>
      <c r="AX158" s="147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7"/>
      <c r="AV159" s="1478">
        <f t="shared" si="91"/>
        <v>0</v>
      </c>
      <c r="AW159" s="1478">
        <f t="shared" si="92"/>
        <v>0</v>
      </c>
      <c r="AX159" s="147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7"/>
      <c r="AV160" s="1478">
        <f t="shared" si="91"/>
        <v>0</v>
      </c>
      <c r="AW160" s="1478">
        <f t="shared" si="92"/>
        <v>0</v>
      </c>
      <c r="AX160" s="147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7"/>
      <c r="AV161" s="1478">
        <f t="shared" si="91"/>
        <v>0</v>
      </c>
      <c r="AW161" s="1478">
        <f t="shared" si="92"/>
        <v>0</v>
      </c>
      <c r="AX161" s="147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7"/>
      <c r="AV162" s="1478">
        <f t="shared" si="91"/>
        <v>0</v>
      </c>
      <c r="AW162" s="1478">
        <f t="shared" si="92"/>
        <v>0</v>
      </c>
      <c r="AX162" s="147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7"/>
      <c r="AV163" s="1478">
        <f t="shared" si="91"/>
        <v>0</v>
      </c>
      <c r="AW163" s="1478">
        <f t="shared" si="92"/>
        <v>0</v>
      </c>
      <c r="AX163" s="147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7"/>
      <c r="AV164" s="1478">
        <f t="shared" si="91"/>
        <v>0</v>
      </c>
      <c r="AW164" s="1478">
        <f t="shared" si="92"/>
        <v>0</v>
      </c>
      <c r="AX164" s="147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7"/>
      <c r="AV165" s="1478">
        <f t="shared" si="91"/>
        <v>0</v>
      </c>
      <c r="AW165" s="1478">
        <f t="shared" si="92"/>
        <v>0</v>
      </c>
      <c r="AX165" s="147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7"/>
      <c r="AV166" s="1478">
        <f t="shared" si="91"/>
        <v>0</v>
      </c>
      <c r="AW166" s="1478">
        <f t="shared" si="92"/>
        <v>0</v>
      </c>
      <c r="AX166" s="147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7"/>
      <c r="AV167" s="1478">
        <f t="shared" si="91"/>
        <v>0</v>
      </c>
      <c r="AW167" s="1478">
        <f t="shared" si="92"/>
        <v>0</v>
      </c>
      <c r="AX167" s="147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7"/>
      <c r="AV168" s="1478">
        <f t="shared" si="91"/>
        <v>0</v>
      </c>
      <c r="AW168" s="1478">
        <f t="shared" si="92"/>
        <v>0</v>
      </c>
      <c r="AX168" s="147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7"/>
      <c r="AV169" s="1478">
        <f t="shared" si="91"/>
        <v>0</v>
      </c>
      <c r="AW169" s="1478">
        <f t="shared" si="92"/>
        <v>0</v>
      </c>
      <c r="AX169" s="147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7"/>
      <c r="AV170" s="1478">
        <f t="shared" si="91"/>
        <v>0</v>
      </c>
      <c r="AW170" s="1478">
        <f t="shared" si="92"/>
        <v>0</v>
      </c>
      <c r="AX170" s="147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7"/>
      <c r="AV171" s="1478">
        <f t="shared" si="91"/>
        <v>0</v>
      </c>
      <c r="AW171" s="1478">
        <f t="shared" si="92"/>
        <v>0</v>
      </c>
      <c r="AX171" s="147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7"/>
      <c r="AV172" s="1478">
        <f t="shared" si="91"/>
        <v>0</v>
      </c>
      <c r="AW172" s="1478">
        <f t="shared" si="92"/>
        <v>0</v>
      </c>
      <c r="AX172" s="147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7"/>
      <c r="AV173" s="1478">
        <f t="shared" si="91"/>
        <v>0</v>
      </c>
      <c r="AW173" s="1478">
        <f t="shared" si="92"/>
        <v>0</v>
      </c>
      <c r="AX173" s="147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7"/>
      <c r="AV174" s="1478">
        <f t="shared" si="91"/>
        <v>0</v>
      </c>
      <c r="AW174" s="1478">
        <f t="shared" si="92"/>
        <v>0</v>
      </c>
      <c r="AX174" s="147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7"/>
      <c r="AV175" s="1478">
        <f t="shared" si="91"/>
        <v>0</v>
      </c>
      <c r="AW175" s="1478">
        <f t="shared" si="92"/>
        <v>0</v>
      </c>
      <c r="AX175" s="147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7"/>
      <c r="AV176" s="1478">
        <f t="shared" si="91"/>
        <v>0</v>
      </c>
      <c r="AW176" s="1478">
        <f t="shared" si="92"/>
        <v>0</v>
      </c>
      <c r="AX176" s="147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7"/>
      <c r="AV177" s="1478">
        <f t="shared" ref="AV177:AV207" si="120">A177</f>
        <v>0</v>
      </c>
      <c r="AW177" s="1478">
        <f t="shared" ref="AW177:AW207" si="121">B177</f>
        <v>0</v>
      </c>
      <c r="AX177" s="147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7"/>
      <c r="AV178" s="1478">
        <f t="shared" si="120"/>
        <v>0</v>
      </c>
      <c r="AW178" s="1478">
        <f t="shared" si="121"/>
        <v>0</v>
      </c>
      <c r="AX178" s="147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7"/>
      <c r="AV179" s="1478">
        <f t="shared" si="120"/>
        <v>0</v>
      </c>
      <c r="AW179" s="1478">
        <f t="shared" si="121"/>
        <v>0</v>
      </c>
      <c r="AX179" s="147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7"/>
      <c r="AV180" s="1478">
        <f t="shared" si="120"/>
        <v>0</v>
      </c>
      <c r="AW180" s="1478">
        <f t="shared" si="121"/>
        <v>0</v>
      </c>
      <c r="AX180" s="147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7"/>
      <c r="AV181" s="1478">
        <f t="shared" si="120"/>
        <v>0</v>
      </c>
      <c r="AW181" s="1478">
        <f t="shared" si="121"/>
        <v>0</v>
      </c>
      <c r="AX181" s="147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7"/>
      <c r="AV182" s="1478">
        <f t="shared" si="120"/>
        <v>0</v>
      </c>
      <c r="AW182" s="1478">
        <f t="shared" si="121"/>
        <v>0</v>
      </c>
      <c r="AX182" s="147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7"/>
      <c r="AV183" s="1478">
        <f t="shared" si="120"/>
        <v>0</v>
      </c>
      <c r="AW183" s="1478">
        <f t="shared" si="121"/>
        <v>0</v>
      </c>
      <c r="AX183" s="147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7"/>
      <c r="AV184" s="1478">
        <f t="shared" si="120"/>
        <v>0</v>
      </c>
      <c r="AW184" s="1478">
        <f t="shared" si="121"/>
        <v>0</v>
      </c>
      <c r="AX184" s="147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7"/>
      <c r="AV185" s="1478">
        <f t="shared" si="120"/>
        <v>0</v>
      </c>
      <c r="AW185" s="1478">
        <f t="shared" si="121"/>
        <v>0</v>
      </c>
      <c r="AX185" s="147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7"/>
      <c r="AV186" s="1478">
        <f t="shared" si="120"/>
        <v>0</v>
      </c>
      <c r="AW186" s="1478">
        <f t="shared" si="121"/>
        <v>0</v>
      </c>
      <c r="AX186" s="147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7"/>
      <c r="AV187" s="1478">
        <f t="shared" si="120"/>
        <v>0</v>
      </c>
      <c r="AW187" s="1478">
        <f t="shared" si="121"/>
        <v>0</v>
      </c>
      <c r="AX187" s="147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7"/>
      <c r="AV188" s="1478">
        <f t="shared" si="120"/>
        <v>0</v>
      </c>
      <c r="AW188" s="1478">
        <f t="shared" si="121"/>
        <v>0</v>
      </c>
      <c r="AX188" s="147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7"/>
      <c r="AV189" s="1478">
        <f t="shared" si="120"/>
        <v>0</v>
      </c>
      <c r="AW189" s="1478">
        <f t="shared" si="121"/>
        <v>0</v>
      </c>
      <c r="AX189" s="147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7"/>
      <c r="AV190" s="1478">
        <f t="shared" si="120"/>
        <v>0</v>
      </c>
      <c r="AW190" s="1478">
        <f t="shared" si="121"/>
        <v>0</v>
      </c>
      <c r="AX190" s="147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7"/>
      <c r="AV191" s="1478">
        <f t="shared" si="120"/>
        <v>0</v>
      </c>
      <c r="AW191" s="1478">
        <f t="shared" si="121"/>
        <v>0</v>
      </c>
      <c r="AX191" s="147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7"/>
      <c r="AV192" s="1478">
        <f t="shared" si="120"/>
        <v>0</v>
      </c>
      <c r="AW192" s="1478">
        <f t="shared" si="121"/>
        <v>0</v>
      </c>
      <c r="AX192" s="147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7"/>
      <c r="AV193" s="1478">
        <f t="shared" si="120"/>
        <v>0</v>
      </c>
      <c r="AW193" s="1478">
        <f t="shared" si="121"/>
        <v>0</v>
      </c>
      <c r="AX193" s="147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7"/>
      <c r="AV194" s="1478">
        <f t="shared" si="120"/>
        <v>0</v>
      </c>
      <c r="AW194" s="1478">
        <f t="shared" si="121"/>
        <v>0</v>
      </c>
      <c r="AX194" s="147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7"/>
      <c r="AV195" s="1478">
        <f t="shared" si="120"/>
        <v>0</v>
      </c>
      <c r="AW195" s="1478">
        <f t="shared" si="121"/>
        <v>0</v>
      </c>
      <c r="AX195" s="147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7"/>
      <c r="AV196" s="1478">
        <f t="shared" si="120"/>
        <v>0</v>
      </c>
      <c r="AW196" s="1478">
        <f t="shared" si="121"/>
        <v>0</v>
      </c>
      <c r="AX196" s="147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7"/>
      <c r="AV197" s="1478">
        <f t="shared" si="120"/>
        <v>0</v>
      </c>
      <c r="AW197" s="1478">
        <f t="shared" si="121"/>
        <v>0</v>
      </c>
      <c r="AX197" s="147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7"/>
      <c r="AV198" s="1478">
        <f t="shared" si="120"/>
        <v>0</v>
      </c>
      <c r="AW198" s="1478">
        <f t="shared" si="121"/>
        <v>0</v>
      </c>
      <c r="AX198" s="147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7"/>
      <c r="AV199" s="1478">
        <f t="shared" si="120"/>
        <v>0</v>
      </c>
      <c r="AW199" s="1478">
        <f t="shared" si="121"/>
        <v>0</v>
      </c>
      <c r="AX199" s="147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7"/>
      <c r="AV200" s="1478">
        <f t="shared" si="120"/>
        <v>0</v>
      </c>
      <c r="AW200" s="1478">
        <f t="shared" si="121"/>
        <v>0</v>
      </c>
      <c r="AX200" s="147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7"/>
      <c r="AV201" s="1478">
        <f t="shared" si="120"/>
        <v>0</v>
      </c>
      <c r="AW201" s="1478">
        <f t="shared" si="121"/>
        <v>0</v>
      </c>
      <c r="AX201" s="147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7"/>
      <c r="AV202" s="1478">
        <f t="shared" si="120"/>
        <v>0</v>
      </c>
      <c r="AW202" s="1478">
        <f t="shared" si="121"/>
        <v>0</v>
      </c>
      <c r="AX202" s="147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7"/>
      <c r="AV203" s="1478">
        <f t="shared" si="120"/>
        <v>0</v>
      </c>
      <c r="AW203" s="1478">
        <f t="shared" si="121"/>
        <v>0</v>
      </c>
      <c r="AX203" s="147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7"/>
      <c r="AV204" s="1478">
        <f t="shared" si="120"/>
        <v>0</v>
      </c>
      <c r="AW204" s="1478">
        <f t="shared" si="121"/>
        <v>0</v>
      </c>
      <c r="AX204" s="147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7"/>
      <c r="AV205" s="1478">
        <f t="shared" si="120"/>
        <v>0</v>
      </c>
      <c r="AW205" s="1478">
        <f t="shared" si="121"/>
        <v>0</v>
      </c>
      <c r="AX205" s="147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7"/>
      <c r="AV206" s="1478">
        <f t="shared" si="120"/>
        <v>0</v>
      </c>
      <c r="AW206" s="1478">
        <f t="shared" si="121"/>
        <v>0</v>
      </c>
      <c r="AX206" s="147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7"/>
      <c r="AV207" s="1478">
        <f t="shared" si="120"/>
        <v>0</v>
      </c>
      <c r="AW207" s="1478">
        <f t="shared" si="121"/>
        <v>0</v>
      </c>
      <c r="AX207" s="147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7"/>
      <c r="AV208" s="1478">
        <f t="shared" ref="AV208:AV302" si="127">A208</f>
        <v>0</v>
      </c>
      <c r="AW208" s="1478">
        <f t="shared" ref="AW208:AW302" si="128">B208</f>
        <v>0</v>
      </c>
      <c r="AX208" s="147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7"/>
      <c r="AV209" s="1478">
        <f t="shared" si="127"/>
        <v>0</v>
      </c>
      <c r="AW209" s="1478">
        <f t="shared" si="128"/>
        <v>0</v>
      </c>
      <c r="AX209" s="147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7"/>
      <c r="AV210" s="1478">
        <f t="shared" si="127"/>
        <v>0</v>
      </c>
      <c r="AW210" s="1478">
        <f t="shared" si="128"/>
        <v>0</v>
      </c>
      <c r="AX210" s="147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7"/>
      <c r="AV211" s="1478">
        <f t="shared" si="127"/>
        <v>0</v>
      </c>
      <c r="AW211" s="1478">
        <f t="shared" si="128"/>
        <v>0</v>
      </c>
      <c r="AX211" s="147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7"/>
      <c r="AV212" s="1478">
        <f t="shared" si="127"/>
        <v>0</v>
      </c>
      <c r="AW212" s="1478">
        <f t="shared" si="128"/>
        <v>0</v>
      </c>
      <c r="AX212" s="147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7"/>
      <c r="AV213" s="1478">
        <f t="shared" si="127"/>
        <v>0</v>
      </c>
      <c r="AW213" s="1478">
        <f t="shared" si="128"/>
        <v>0</v>
      </c>
      <c r="AX213" s="147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7"/>
      <c r="AV214" s="1478">
        <f t="shared" si="127"/>
        <v>0</v>
      </c>
      <c r="AW214" s="1478">
        <f t="shared" si="128"/>
        <v>0</v>
      </c>
      <c r="AX214" s="147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7"/>
      <c r="AV215" s="1478">
        <f t="shared" si="127"/>
        <v>0</v>
      </c>
      <c r="AW215" s="1478">
        <f t="shared" si="128"/>
        <v>0</v>
      </c>
      <c r="AX215" s="147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7"/>
      <c r="AV216" s="1478">
        <f t="shared" si="127"/>
        <v>0</v>
      </c>
      <c r="AW216" s="1478">
        <f t="shared" si="128"/>
        <v>0</v>
      </c>
      <c r="AX216" s="147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7"/>
      <c r="AV217" s="1478">
        <f t="shared" si="127"/>
        <v>0</v>
      </c>
      <c r="AW217" s="1478">
        <f t="shared" si="128"/>
        <v>0</v>
      </c>
      <c r="AX217" s="147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7"/>
      <c r="AV218" s="1478">
        <f t="shared" si="127"/>
        <v>0</v>
      </c>
      <c r="AW218" s="1478">
        <f t="shared" si="128"/>
        <v>0</v>
      </c>
      <c r="AX218" s="147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7"/>
      <c r="AV219" s="1478">
        <f t="shared" si="127"/>
        <v>0</v>
      </c>
      <c r="AW219" s="1478">
        <f t="shared" si="128"/>
        <v>0</v>
      </c>
      <c r="AX219" s="147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7"/>
      <c r="AV220" s="1478">
        <f t="shared" si="127"/>
        <v>0</v>
      </c>
      <c r="AW220" s="1478">
        <f t="shared" si="128"/>
        <v>0</v>
      </c>
      <c r="AX220" s="147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7"/>
      <c r="AV221" s="1478">
        <f t="shared" si="127"/>
        <v>0</v>
      </c>
      <c r="AW221" s="1478">
        <f t="shared" si="128"/>
        <v>0</v>
      </c>
      <c r="AX221" s="147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7"/>
      <c r="AV222" s="1478">
        <f t="shared" si="127"/>
        <v>0</v>
      </c>
      <c r="AW222" s="1478">
        <f t="shared" si="128"/>
        <v>0</v>
      </c>
      <c r="AX222" s="147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7"/>
      <c r="AV223" s="1478">
        <f t="shared" si="127"/>
        <v>0</v>
      </c>
      <c r="AW223" s="1478">
        <f t="shared" si="128"/>
        <v>0</v>
      </c>
      <c r="AX223" s="147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7"/>
      <c r="AV224" s="1478">
        <f t="shared" si="127"/>
        <v>0</v>
      </c>
      <c r="AW224" s="1478">
        <f t="shared" si="128"/>
        <v>0</v>
      </c>
      <c r="AX224" s="147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7"/>
      <c r="AV225" s="1478">
        <f t="shared" si="127"/>
        <v>0</v>
      </c>
      <c r="AW225" s="1478">
        <f t="shared" si="128"/>
        <v>0</v>
      </c>
      <c r="AX225" s="147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7"/>
      <c r="AV226" s="1478">
        <f t="shared" si="127"/>
        <v>0</v>
      </c>
      <c r="AW226" s="1478">
        <f t="shared" si="128"/>
        <v>0</v>
      </c>
      <c r="AX226" s="147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7"/>
      <c r="AV227" s="1478">
        <f t="shared" si="127"/>
        <v>0</v>
      </c>
      <c r="AW227" s="1478">
        <f t="shared" si="128"/>
        <v>0</v>
      </c>
      <c r="AX227" s="147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7"/>
      <c r="AV228" s="1478">
        <f t="shared" si="127"/>
        <v>0</v>
      </c>
      <c r="AW228" s="1478">
        <f t="shared" si="128"/>
        <v>0</v>
      </c>
      <c r="AX228" s="147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7"/>
      <c r="AV229" s="1478">
        <f t="shared" si="127"/>
        <v>0</v>
      </c>
      <c r="AW229" s="1478">
        <f t="shared" si="128"/>
        <v>0</v>
      </c>
      <c r="AX229" s="147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7"/>
      <c r="AV230" s="1478">
        <f t="shared" si="127"/>
        <v>0</v>
      </c>
      <c r="AW230" s="1478">
        <f t="shared" si="128"/>
        <v>0</v>
      </c>
      <c r="AX230" s="147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7"/>
      <c r="AV231" s="1478">
        <f t="shared" si="127"/>
        <v>0</v>
      </c>
      <c r="AW231" s="1478">
        <f t="shared" si="128"/>
        <v>0</v>
      </c>
      <c r="AX231" s="147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7"/>
      <c r="AV232" s="1478">
        <f t="shared" si="127"/>
        <v>0</v>
      </c>
      <c r="AW232" s="1478">
        <f t="shared" si="128"/>
        <v>0</v>
      </c>
      <c r="AX232" s="147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7"/>
      <c r="AV233" s="1478">
        <f t="shared" si="127"/>
        <v>0</v>
      </c>
      <c r="AW233" s="1478">
        <f t="shared" si="128"/>
        <v>0</v>
      </c>
      <c r="AX233" s="147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7"/>
      <c r="AV234" s="1478">
        <f t="shared" si="127"/>
        <v>0</v>
      </c>
      <c r="AW234" s="1478">
        <f t="shared" si="128"/>
        <v>0</v>
      </c>
      <c r="AX234" s="147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7"/>
      <c r="AV235" s="1478">
        <f t="shared" si="127"/>
        <v>0</v>
      </c>
      <c r="AW235" s="1478">
        <f t="shared" si="128"/>
        <v>0</v>
      </c>
      <c r="AX235" s="147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7"/>
      <c r="AV236" s="1478">
        <f t="shared" si="127"/>
        <v>0</v>
      </c>
      <c r="AW236" s="1478">
        <f t="shared" si="128"/>
        <v>0</v>
      </c>
      <c r="AX236" s="147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7"/>
      <c r="AV237" s="1478">
        <f t="shared" si="127"/>
        <v>0</v>
      </c>
      <c r="AW237" s="1478">
        <f t="shared" si="128"/>
        <v>0</v>
      </c>
      <c r="AX237" s="147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7"/>
      <c r="AV238" s="1478">
        <f t="shared" si="127"/>
        <v>0</v>
      </c>
      <c r="AW238" s="1478">
        <f t="shared" si="128"/>
        <v>0</v>
      </c>
      <c r="AX238" s="147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7"/>
      <c r="AV239" s="1478">
        <f t="shared" si="127"/>
        <v>0</v>
      </c>
      <c r="AW239" s="1478">
        <f t="shared" si="128"/>
        <v>0</v>
      </c>
      <c r="AX239" s="147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7"/>
      <c r="AV240" s="1478">
        <f t="shared" si="127"/>
        <v>0</v>
      </c>
      <c r="AW240" s="1478">
        <f t="shared" si="128"/>
        <v>0</v>
      </c>
      <c r="AX240" s="147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7"/>
      <c r="AV241" s="1478">
        <f t="shared" si="127"/>
        <v>0</v>
      </c>
      <c r="AW241" s="1478">
        <f t="shared" si="128"/>
        <v>0</v>
      </c>
      <c r="AX241" s="147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7"/>
      <c r="AV242" s="1478">
        <f t="shared" si="127"/>
        <v>0</v>
      </c>
      <c r="AW242" s="1478">
        <f t="shared" si="128"/>
        <v>0</v>
      </c>
      <c r="AX242" s="147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7"/>
      <c r="AV243" s="1478">
        <f t="shared" si="127"/>
        <v>0</v>
      </c>
      <c r="AW243" s="1478">
        <f t="shared" si="128"/>
        <v>0</v>
      </c>
      <c r="AX243" s="147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7"/>
      <c r="AV244" s="1478">
        <f t="shared" si="127"/>
        <v>0</v>
      </c>
      <c r="AW244" s="1478">
        <f t="shared" si="128"/>
        <v>0</v>
      </c>
      <c r="AX244" s="147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7"/>
      <c r="AV245" s="1478">
        <f t="shared" si="127"/>
        <v>0</v>
      </c>
      <c r="AW245" s="1478">
        <f t="shared" si="128"/>
        <v>0</v>
      </c>
      <c r="AX245" s="147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7"/>
      <c r="AV246" s="1478">
        <f t="shared" si="127"/>
        <v>0</v>
      </c>
      <c r="AW246" s="1478">
        <f t="shared" si="128"/>
        <v>0</v>
      </c>
      <c r="AX246" s="147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7"/>
      <c r="AV247" s="1478">
        <f t="shared" si="127"/>
        <v>0</v>
      </c>
      <c r="AW247" s="1478">
        <f t="shared" si="128"/>
        <v>0</v>
      </c>
      <c r="AX247" s="147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7"/>
      <c r="AV248" s="1478">
        <f t="shared" si="127"/>
        <v>0</v>
      </c>
      <c r="AW248" s="1478">
        <f t="shared" si="128"/>
        <v>0</v>
      </c>
      <c r="AX248" s="147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7"/>
      <c r="AV249" s="1478">
        <f t="shared" si="127"/>
        <v>0</v>
      </c>
      <c r="AW249" s="1478">
        <f t="shared" si="128"/>
        <v>0</v>
      </c>
      <c r="AX249" s="147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7"/>
      <c r="AV250" s="1478">
        <f t="shared" si="127"/>
        <v>0</v>
      </c>
      <c r="AW250" s="1478">
        <f t="shared" si="128"/>
        <v>0</v>
      </c>
      <c r="AX250" s="147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7"/>
      <c r="AV251" s="1478">
        <f t="shared" si="127"/>
        <v>0</v>
      </c>
      <c r="AW251" s="1478">
        <f t="shared" si="128"/>
        <v>0</v>
      </c>
      <c r="AX251" s="147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7"/>
      <c r="AV252" s="1478">
        <f t="shared" si="127"/>
        <v>0</v>
      </c>
      <c r="AW252" s="1478">
        <f t="shared" si="128"/>
        <v>0</v>
      </c>
      <c r="AX252" s="147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7"/>
      <c r="AV253" s="1478">
        <f t="shared" si="127"/>
        <v>0</v>
      </c>
      <c r="AW253" s="1478">
        <f t="shared" si="128"/>
        <v>0</v>
      </c>
      <c r="AX253" s="147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7"/>
      <c r="AV254" s="1478">
        <f t="shared" si="127"/>
        <v>0</v>
      </c>
      <c r="AW254" s="1478">
        <f t="shared" si="128"/>
        <v>0</v>
      </c>
      <c r="AX254" s="147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7"/>
      <c r="AV255" s="1478">
        <f t="shared" si="127"/>
        <v>0</v>
      </c>
      <c r="AW255" s="1478">
        <f t="shared" si="128"/>
        <v>0</v>
      </c>
      <c r="AX255" s="147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7"/>
      <c r="AV256" s="1478">
        <f t="shared" si="127"/>
        <v>0</v>
      </c>
      <c r="AW256" s="1478">
        <f t="shared" si="128"/>
        <v>0</v>
      </c>
      <c r="AX256" s="147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7"/>
      <c r="AV257" s="1478">
        <f t="shared" si="127"/>
        <v>0</v>
      </c>
      <c r="AW257" s="1478">
        <f t="shared" si="128"/>
        <v>0</v>
      </c>
      <c r="AX257" s="147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7"/>
      <c r="AV258" s="1478">
        <f t="shared" si="127"/>
        <v>0</v>
      </c>
      <c r="AW258" s="1478">
        <f t="shared" si="128"/>
        <v>0</v>
      </c>
      <c r="AX258" s="147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7"/>
      <c r="AV259" s="1478">
        <f t="shared" si="127"/>
        <v>0</v>
      </c>
      <c r="AW259" s="1478">
        <f t="shared" si="128"/>
        <v>0</v>
      </c>
      <c r="AX259" s="147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7"/>
      <c r="AV260" s="1478">
        <f t="shared" si="127"/>
        <v>0</v>
      </c>
      <c r="AW260" s="1478">
        <f t="shared" si="128"/>
        <v>0</v>
      </c>
      <c r="AX260" s="147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7"/>
      <c r="AV261" s="1478">
        <f t="shared" si="127"/>
        <v>0</v>
      </c>
      <c r="AW261" s="1478">
        <f t="shared" si="128"/>
        <v>0</v>
      </c>
      <c r="AX261" s="147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7"/>
      <c r="AV262" s="1478">
        <f t="shared" si="127"/>
        <v>0</v>
      </c>
      <c r="AW262" s="1478">
        <f t="shared" si="128"/>
        <v>0</v>
      </c>
      <c r="AX262" s="147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7"/>
      <c r="AV263" s="1478">
        <f t="shared" si="127"/>
        <v>0</v>
      </c>
      <c r="AW263" s="1478">
        <f t="shared" si="128"/>
        <v>0</v>
      </c>
      <c r="AX263" s="147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7"/>
      <c r="AV264" s="1478">
        <f t="shared" si="127"/>
        <v>0</v>
      </c>
      <c r="AW264" s="1478">
        <f t="shared" si="128"/>
        <v>0</v>
      </c>
      <c r="AX264" s="147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7"/>
      <c r="AV265" s="1478">
        <f t="shared" si="127"/>
        <v>0</v>
      </c>
      <c r="AW265" s="1478">
        <f t="shared" si="128"/>
        <v>0</v>
      </c>
      <c r="AX265" s="147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7"/>
      <c r="AV266" s="1478">
        <f t="shared" si="127"/>
        <v>0</v>
      </c>
      <c r="AW266" s="1478">
        <f t="shared" si="128"/>
        <v>0</v>
      </c>
      <c r="AX266" s="147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7"/>
      <c r="AV267" s="1478">
        <f t="shared" si="127"/>
        <v>0</v>
      </c>
      <c r="AW267" s="1478">
        <f t="shared" si="128"/>
        <v>0</v>
      </c>
      <c r="AX267" s="147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7"/>
      <c r="AV268" s="1478">
        <f t="shared" si="127"/>
        <v>0</v>
      </c>
      <c r="AW268" s="1478">
        <f t="shared" si="128"/>
        <v>0</v>
      </c>
      <c r="AX268" s="147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7"/>
      <c r="AV269" s="1478">
        <f t="shared" si="127"/>
        <v>0</v>
      </c>
      <c r="AW269" s="1478">
        <f t="shared" si="128"/>
        <v>0</v>
      </c>
      <c r="AX269" s="147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7"/>
      <c r="AV270" s="1478">
        <f t="shared" si="127"/>
        <v>0</v>
      </c>
      <c r="AW270" s="1478">
        <f t="shared" si="128"/>
        <v>0</v>
      </c>
      <c r="AX270" s="147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7"/>
      <c r="AV271" s="1478">
        <f t="shared" si="127"/>
        <v>0</v>
      </c>
      <c r="AW271" s="1478">
        <f t="shared" si="128"/>
        <v>0</v>
      </c>
      <c r="AX271" s="147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7"/>
      <c r="AV272" s="1478">
        <f t="shared" si="127"/>
        <v>0</v>
      </c>
      <c r="AW272" s="1478">
        <f t="shared" si="128"/>
        <v>0</v>
      </c>
      <c r="AX272" s="147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7"/>
      <c r="AV273" s="1478">
        <f t="shared" si="127"/>
        <v>0</v>
      </c>
      <c r="AW273" s="1478">
        <f t="shared" si="128"/>
        <v>0</v>
      </c>
      <c r="AX273" s="147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7"/>
      <c r="AV274" s="1478">
        <f t="shared" si="127"/>
        <v>0</v>
      </c>
      <c r="AW274" s="1478">
        <f t="shared" si="128"/>
        <v>0</v>
      </c>
      <c r="AX274" s="147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7"/>
      <c r="AV275" s="1478">
        <f t="shared" si="127"/>
        <v>0</v>
      </c>
      <c r="AW275" s="1478">
        <f t="shared" si="128"/>
        <v>0</v>
      </c>
      <c r="AX275" s="147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7"/>
      <c r="AV276" s="1478">
        <f t="shared" si="127"/>
        <v>0</v>
      </c>
      <c r="AW276" s="1478">
        <f t="shared" si="128"/>
        <v>0</v>
      </c>
      <c r="AX276" s="147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7"/>
      <c r="AV277" s="1478">
        <f t="shared" si="127"/>
        <v>0</v>
      </c>
      <c r="AW277" s="1478">
        <f t="shared" si="128"/>
        <v>0</v>
      </c>
      <c r="AX277" s="147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7"/>
      <c r="AV278" s="1478">
        <f t="shared" si="127"/>
        <v>0</v>
      </c>
      <c r="AW278" s="1478">
        <f t="shared" si="128"/>
        <v>0</v>
      </c>
      <c r="AX278" s="147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7"/>
      <c r="AV279" s="1478">
        <f t="shared" si="127"/>
        <v>0</v>
      </c>
      <c r="AW279" s="1478">
        <f t="shared" si="128"/>
        <v>0</v>
      </c>
      <c r="AX279" s="147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7"/>
      <c r="AV280" s="1478">
        <f t="shared" si="127"/>
        <v>0</v>
      </c>
      <c r="AW280" s="1478">
        <f t="shared" si="128"/>
        <v>0</v>
      </c>
      <c r="AX280" s="147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7"/>
      <c r="AV281" s="1478">
        <f t="shared" si="127"/>
        <v>0</v>
      </c>
      <c r="AW281" s="1478">
        <f t="shared" si="128"/>
        <v>0</v>
      </c>
      <c r="AX281" s="147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7"/>
      <c r="AV282" s="1478">
        <f t="shared" si="127"/>
        <v>0</v>
      </c>
      <c r="AW282" s="1478">
        <f t="shared" si="128"/>
        <v>0</v>
      </c>
      <c r="AX282" s="147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7"/>
      <c r="AV283" s="1478">
        <f t="shared" si="127"/>
        <v>0</v>
      </c>
      <c r="AW283" s="1478">
        <f t="shared" si="128"/>
        <v>0</v>
      </c>
      <c r="AX283" s="147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7"/>
      <c r="AV284" s="1478">
        <f t="shared" si="127"/>
        <v>0</v>
      </c>
      <c r="AW284" s="1478">
        <f t="shared" si="128"/>
        <v>0</v>
      </c>
      <c r="AX284" s="147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7"/>
      <c r="AV285" s="1478">
        <f t="shared" si="127"/>
        <v>0</v>
      </c>
      <c r="AW285" s="1478">
        <f t="shared" si="128"/>
        <v>0</v>
      </c>
      <c r="AX285" s="147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7"/>
      <c r="AV286" s="1478">
        <f t="shared" si="127"/>
        <v>0</v>
      </c>
      <c r="AW286" s="1478">
        <f t="shared" si="128"/>
        <v>0</v>
      </c>
      <c r="AX286" s="147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7"/>
      <c r="AV287" s="1478">
        <f t="shared" si="127"/>
        <v>0</v>
      </c>
      <c r="AW287" s="1478">
        <f t="shared" si="128"/>
        <v>0</v>
      </c>
      <c r="AX287" s="147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7"/>
      <c r="AV288" s="1478">
        <f t="shared" si="127"/>
        <v>0</v>
      </c>
      <c r="AW288" s="1478">
        <f t="shared" si="128"/>
        <v>0</v>
      </c>
      <c r="AX288" s="147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7"/>
      <c r="AV289" s="1478">
        <f t="shared" si="127"/>
        <v>0</v>
      </c>
      <c r="AW289" s="1478">
        <f t="shared" si="128"/>
        <v>0</v>
      </c>
      <c r="AX289" s="147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7"/>
      <c r="AV290" s="1478">
        <f t="shared" si="127"/>
        <v>0</v>
      </c>
      <c r="AW290" s="1478">
        <f t="shared" si="128"/>
        <v>0</v>
      </c>
      <c r="AX290" s="147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7"/>
      <c r="AV291" s="1478">
        <f t="shared" si="127"/>
        <v>0</v>
      </c>
      <c r="AW291" s="1478">
        <f t="shared" si="128"/>
        <v>0</v>
      </c>
      <c r="AX291" s="147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7"/>
      <c r="AV292" s="1478">
        <f t="shared" si="127"/>
        <v>0</v>
      </c>
      <c r="AW292" s="1478">
        <f t="shared" si="128"/>
        <v>0</v>
      </c>
      <c r="AX292" s="147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7"/>
      <c r="AV293" s="1478">
        <f t="shared" si="127"/>
        <v>0</v>
      </c>
      <c r="AW293" s="1478">
        <f t="shared" si="128"/>
        <v>0</v>
      </c>
      <c r="AX293" s="147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7"/>
      <c r="AV294" s="1478">
        <f t="shared" si="127"/>
        <v>0</v>
      </c>
      <c r="AW294" s="1478">
        <f t="shared" si="128"/>
        <v>0</v>
      </c>
      <c r="AX294" s="147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7"/>
      <c r="AV295" s="1478">
        <f t="shared" si="127"/>
        <v>0</v>
      </c>
      <c r="AW295" s="1478">
        <f t="shared" si="128"/>
        <v>0</v>
      </c>
      <c r="AX295" s="147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7"/>
      <c r="AV296" s="1478">
        <f t="shared" si="127"/>
        <v>0</v>
      </c>
      <c r="AW296" s="1478">
        <f t="shared" si="128"/>
        <v>0</v>
      </c>
      <c r="AX296" s="147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7"/>
      <c r="AV297" s="1478">
        <f t="shared" si="127"/>
        <v>0</v>
      </c>
      <c r="AW297" s="1478">
        <f t="shared" si="128"/>
        <v>0</v>
      </c>
      <c r="AX297" s="147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7"/>
      <c r="AV298" s="1478">
        <f t="shared" si="127"/>
        <v>0</v>
      </c>
      <c r="AW298" s="1478">
        <f t="shared" si="128"/>
        <v>0</v>
      </c>
      <c r="AX298" s="147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7"/>
      <c r="AV299" s="1478">
        <f t="shared" si="127"/>
        <v>0</v>
      </c>
      <c r="AW299" s="1478">
        <f t="shared" si="128"/>
        <v>0</v>
      </c>
      <c r="AX299" s="147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7"/>
      <c r="AV300" s="1478">
        <f t="shared" si="127"/>
        <v>0</v>
      </c>
      <c r="AW300" s="1478">
        <f t="shared" si="128"/>
        <v>0</v>
      </c>
      <c r="AX300" s="147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7"/>
      <c r="AV301" s="1478">
        <f t="shared" si="127"/>
        <v>0</v>
      </c>
      <c r="AW301" s="1478">
        <f t="shared" si="128"/>
        <v>0</v>
      </c>
      <c r="AX301" s="147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7"/>
      <c r="AV302" s="1478">
        <f t="shared" si="127"/>
        <v>0</v>
      </c>
      <c r="AW302" s="1478">
        <f t="shared" si="128"/>
        <v>0</v>
      </c>
      <c r="AX302" s="147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7"/>
      <c r="AV303" s="1478">
        <f t="shared" ref="AV303:AV334" si="178">A303</f>
        <v>0</v>
      </c>
      <c r="AW303" s="1478">
        <f t="shared" ref="AW303:AW334" si="179">B303</f>
        <v>0</v>
      </c>
      <c r="AX303" s="147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7"/>
      <c r="AV304" s="1478">
        <f t="shared" si="178"/>
        <v>0</v>
      </c>
      <c r="AW304" s="1478">
        <f t="shared" si="179"/>
        <v>0</v>
      </c>
      <c r="AX304" s="147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7"/>
      <c r="AV305" s="1478">
        <f t="shared" si="178"/>
        <v>0</v>
      </c>
      <c r="AW305" s="1478">
        <f t="shared" si="179"/>
        <v>0</v>
      </c>
      <c r="AX305" s="147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7"/>
      <c r="AV306" s="1478">
        <f t="shared" si="178"/>
        <v>0</v>
      </c>
      <c r="AW306" s="1478">
        <f t="shared" si="179"/>
        <v>0</v>
      </c>
      <c r="AX306" s="147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7"/>
      <c r="AV307" s="1478">
        <f t="shared" si="178"/>
        <v>0</v>
      </c>
      <c r="AW307" s="1478">
        <f t="shared" si="179"/>
        <v>0</v>
      </c>
      <c r="AX307" s="147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7"/>
      <c r="AV308" s="1478">
        <f t="shared" si="178"/>
        <v>0</v>
      </c>
      <c r="AW308" s="1478">
        <f t="shared" si="179"/>
        <v>0</v>
      </c>
      <c r="AX308" s="147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7"/>
      <c r="AV309" s="1478">
        <f t="shared" si="178"/>
        <v>0</v>
      </c>
      <c r="AW309" s="1478">
        <f t="shared" si="179"/>
        <v>0</v>
      </c>
      <c r="AX309" s="147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7"/>
      <c r="AV310" s="1478">
        <f t="shared" si="178"/>
        <v>0</v>
      </c>
      <c r="AW310" s="1478">
        <f t="shared" si="179"/>
        <v>0</v>
      </c>
      <c r="AX310" s="147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7"/>
      <c r="AV311" s="1478">
        <f t="shared" si="178"/>
        <v>0</v>
      </c>
      <c r="AW311" s="1478">
        <f t="shared" si="179"/>
        <v>0</v>
      </c>
      <c r="AX311" s="147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7"/>
      <c r="AV312" s="1478">
        <f t="shared" si="178"/>
        <v>0</v>
      </c>
      <c r="AW312" s="1478">
        <f t="shared" si="179"/>
        <v>0</v>
      </c>
      <c r="AX312" s="147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7"/>
      <c r="AV313" s="1478">
        <f t="shared" si="178"/>
        <v>0</v>
      </c>
      <c r="AW313" s="1478">
        <f t="shared" si="179"/>
        <v>0</v>
      </c>
      <c r="AX313" s="147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7"/>
      <c r="AV314" s="1478">
        <f t="shared" si="178"/>
        <v>0</v>
      </c>
      <c r="AW314" s="1478">
        <f t="shared" si="179"/>
        <v>0</v>
      </c>
      <c r="AX314" s="147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7"/>
      <c r="AV315" s="1478">
        <f t="shared" si="178"/>
        <v>0</v>
      </c>
      <c r="AW315" s="1478">
        <f t="shared" si="179"/>
        <v>0</v>
      </c>
      <c r="AX315" s="147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7"/>
      <c r="AV316" s="1478">
        <f t="shared" si="178"/>
        <v>0</v>
      </c>
      <c r="AW316" s="1478">
        <f t="shared" si="179"/>
        <v>0</v>
      </c>
      <c r="AX316" s="147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7"/>
      <c r="AV317" s="1478">
        <f t="shared" si="178"/>
        <v>0</v>
      </c>
      <c r="AW317" s="1478">
        <f t="shared" si="179"/>
        <v>0</v>
      </c>
      <c r="AX317" s="147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7"/>
      <c r="AV318" s="1478">
        <f t="shared" si="178"/>
        <v>0</v>
      </c>
      <c r="AW318" s="1478">
        <f t="shared" si="179"/>
        <v>0</v>
      </c>
      <c r="AX318" s="147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7"/>
      <c r="AV319" s="1478">
        <f t="shared" si="178"/>
        <v>0</v>
      </c>
      <c r="AW319" s="1478">
        <f t="shared" si="179"/>
        <v>0</v>
      </c>
      <c r="AX319" s="147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7"/>
      <c r="AV320" s="1478">
        <f t="shared" si="178"/>
        <v>0</v>
      </c>
      <c r="AW320" s="1478">
        <f t="shared" si="179"/>
        <v>0</v>
      </c>
      <c r="AX320" s="147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7"/>
      <c r="AV321" s="1478">
        <f t="shared" si="178"/>
        <v>0</v>
      </c>
      <c r="AW321" s="1478">
        <f t="shared" si="179"/>
        <v>0</v>
      </c>
      <c r="AX321" s="147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7"/>
      <c r="AV322" s="1478">
        <f t="shared" si="178"/>
        <v>0</v>
      </c>
      <c r="AW322" s="1478">
        <f t="shared" si="179"/>
        <v>0</v>
      </c>
      <c r="AX322" s="147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7"/>
      <c r="AV323" s="1478">
        <f t="shared" si="178"/>
        <v>0</v>
      </c>
      <c r="AW323" s="1478">
        <f t="shared" si="179"/>
        <v>0</v>
      </c>
      <c r="AX323" s="147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7"/>
      <c r="AV324" s="1478">
        <f t="shared" si="178"/>
        <v>0</v>
      </c>
      <c r="AW324" s="1478">
        <f t="shared" si="179"/>
        <v>0</v>
      </c>
      <c r="AX324" s="147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7"/>
      <c r="AV325" s="1478">
        <f t="shared" si="178"/>
        <v>0</v>
      </c>
      <c r="AW325" s="1478">
        <f t="shared" si="179"/>
        <v>0</v>
      </c>
      <c r="AX325" s="147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7"/>
      <c r="AV326" s="1478">
        <f t="shared" si="178"/>
        <v>0</v>
      </c>
      <c r="AW326" s="1478">
        <f t="shared" si="179"/>
        <v>0</v>
      </c>
      <c r="AX326" s="147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7"/>
      <c r="AV327" s="1478">
        <f t="shared" si="178"/>
        <v>0</v>
      </c>
      <c r="AW327" s="1478">
        <f t="shared" si="179"/>
        <v>0</v>
      </c>
      <c r="AX327" s="147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7"/>
      <c r="AV328" s="1478">
        <f t="shared" si="178"/>
        <v>0</v>
      </c>
      <c r="AW328" s="1478">
        <f t="shared" si="179"/>
        <v>0</v>
      </c>
      <c r="AX328" s="147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7"/>
      <c r="AV329" s="1478">
        <f t="shared" si="178"/>
        <v>0</v>
      </c>
      <c r="AW329" s="1478">
        <f t="shared" si="179"/>
        <v>0</v>
      </c>
      <c r="AX329" s="147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7"/>
      <c r="AV330" s="1478">
        <f t="shared" si="178"/>
        <v>0</v>
      </c>
      <c r="AW330" s="1478">
        <f t="shared" si="179"/>
        <v>0</v>
      </c>
      <c r="AX330" s="147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7"/>
      <c r="AV331" s="1478">
        <f t="shared" si="178"/>
        <v>0</v>
      </c>
      <c r="AW331" s="1478">
        <f t="shared" si="179"/>
        <v>0</v>
      </c>
      <c r="AX331" s="147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7"/>
      <c r="AV332" s="1478">
        <f t="shared" si="178"/>
        <v>0</v>
      </c>
      <c r="AW332" s="1478">
        <f t="shared" si="179"/>
        <v>0</v>
      </c>
      <c r="AX332" s="147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7"/>
      <c r="AV333" s="1478">
        <f t="shared" si="178"/>
        <v>0</v>
      </c>
      <c r="AW333" s="1478">
        <f t="shared" si="179"/>
        <v>0</v>
      </c>
      <c r="AX333" s="147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7"/>
      <c r="AV334" s="1478">
        <f t="shared" si="178"/>
        <v>0</v>
      </c>
      <c r="AW334" s="1478">
        <f t="shared" si="179"/>
        <v>0</v>
      </c>
      <c r="AX334" s="147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7"/>
      <c r="AV335" s="1478">
        <f t="shared" ref="AV335:AV366" si="207">A335</f>
        <v>0</v>
      </c>
      <c r="AW335" s="1478">
        <f t="shared" ref="AW335:AW366" si="208">B335</f>
        <v>0</v>
      </c>
      <c r="AX335" s="147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7"/>
      <c r="AV336" s="1478">
        <f t="shared" si="207"/>
        <v>0</v>
      </c>
      <c r="AW336" s="1478">
        <f t="shared" si="208"/>
        <v>0</v>
      </c>
      <c r="AX336" s="147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7"/>
      <c r="AV337" s="1478">
        <f t="shared" si="207"/>
        <v>0</v>
      </c>
      <c r="AW337" s="1478">
        <f t="shared" si="208"/>
        <v>0</v>
      </c>
      <c r="AX337" s="147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7"/>
      <c r="AV338" s="1478">
        <f t="shared" si="207"/>
        <v>0</v>
      </c>
      <c r="AW338" s="1478">
        <f t="shared" si="208"/>
        <v>0</v>
      </c>
      <c r="AX338" s="147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7"/>
      <c r="AV339" s="1478">
        <f t="shared" si="207"/>
        <v>0</v>
      </c>
      <c r="AW339" s="1478">
        <f t="shared" si="208"/>
        <v>0</v>
      </c>
      <c r="AX339" s="147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7"/>
      <c r="AV340" s="1478">
        <f t="shared" si="207"/>
        <v>0</v>
      </c>
      <c r="AW340" s="1478">
        <f t="shared" si="208"/>
        <v>0</v>
      </c>
      <c r="AX340" s="147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7"/>
      <c r="AV341" s="1478">
        <f t="shared" si="207"/>
        <v>0</v>
      </c>
      <c r="AW341" s="1478">
        <f t="shared" si="208"/>
        <v>0</v>
      </c>
      <c r="AX341" s="147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7"/>
      <c r="AV342" s="1478">
        <f t="shared" si="207"/>
        <v>0</v>
      </c>
      <c r="AW342" s="1478">
        <f t="shared" si="208"/>
        <v>0</v>
      </c>
      <c r="AX342" s="147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7"/>
      <c r="AV343" s="1478">
        <f t="shared" si="207"/>
        <v>0</v>
      </c>
      <c r="AW343" s="1478">
        <f t="shared" si="208"/>
        <v>0</v>
      </c>
      <c r="AX343" s="147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7"/>
      <c r="AV344" s="1478">
        <f t="shared" si="207"/>
        <v>0</v>
      </c>
      <c r="AW344" s="1478">
        <f t="shared" si="208"/>
        <v>0</v>
      </c>
      <c r="AX344" s="147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7"/>
      <c r="AV345" s="1478">
        <f t="shared" si="207"/>
        <v>0</v>
      </c>
      <c r="AW345" s="1478">
        <f t="shared" si="208"/>
        <v>0</v>
      </c>
      <c r="AX345" s="147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7"/>
      <c r="AV346" s="1478">
        <f t="shared" si="207"/>
        <v>0</v>
      </c>
      <c r="AW346" s="1478">
        <f t="shared" si="208"/>
        <v>0</v>
      </c>
      <c r="AX346" s="147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7"/>
      <c r="AV347" s="1478">
        <f t="shared" si="207"/>
        <v>0</v>
      </c>
      <c r="AW347" s="1478">
        <f t="shared" si="208"/>
        <v>0</v>
      </c>
      <c r="AX347" s="147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7"/>
      <c r="AV348" s="1478">
        <f t="shared" si="207"/>
        <v>0</v>
      </c>
      <c r="AW348" s="1478">
        <f t="shared" si="208"/>
        <v>0</v>
      </c>
      <c r="AX348" s="147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7"/>
      <c r="AV349" s="1478">
        <f t="shared" si="207"/>
        <v>0</v>
      </c>
      <c r="AW349" s="1478">
        <f t="shared" si="208"/>
        <v>0</v>
      </c>
      <c r="AX349" s="147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7"/>
      <c r="AV350" s="1478">
        <f t="shared" si="207"/>
        <v>0</v>
      </c>
      <c r="AW350" s="1478">
        <f t="shared" si="208"/>
        <v>0</v>
      </c>
      <c r="AX350" s="147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7"/>
      <c r="AV351" s="1478">
        <f t="shared" si="207"/>
        <v>0</v>
      </c>
      <c r="AW351" s="1478">
        <f t="shared" si="208"/>
        <v>0</v>
      </c>
      <c r="AX351" s="147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7"/>
      <c r="AV352" s="1478">
        <f t="shared" si="207"/>
        <v>0</v>
      </c>
      <c r="AW352" s="1478">
        <f t="shared" si="208"/>
        <v>0</v>
      </c>
      <c r="AX352" s="147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7"/>
      <c r="AV353" s="1478">
        <f t="shared" si="207"/>
        <v>0</v>
      </c>
      <c r="AW353" s="1478">
        <f t="shared" si="208"/>
        <v>0</v>
      </c>
      <c r="AX353" s="147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7"/>
      <c r="AV354" s="1478">
        <f t="shared" si="207"/>
        <v>0</v>
      </c>
      <c r="AW354" s="1478">
        <f t="shared" si="208"/>
        <v>0</v>
      </c>
      <c r="AX354" s="147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7"/>
      <c r="AV355" s="1478">
        <f t="shared" si="207"/>
        <v>0</v>
      </c>
      <c r="AW355" s="1478">
        <f t="shared" si="208"/>
        <v>0</v>
      </c>
      <c r="AX355" s="147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7"/>
      <c r="AV356" s="1478">
        <f t="shared" si="207"/>
        <v>0</v>
      </c>
      <c r="AW356" s="1478">
        <f t="shared" si="208"/>
        <v>0</v>
      </c>
      <c r="AX356" s="147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7"/>
      <c r="AV357" s="1478">
        <f t="shared" si="207"/>
        <v>0</v>
      </c>
      <c r="AW357" s="1478">
        <f t="shared" si="208"/>
        <v>0</v>
      </c>
      <c r="AX357" s="147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7"/>
      <c r="AV358" s="1478">
        <f t="shared" si="207"/>
        <v>0</v>
      </c>
      <c r="AW358" s="1478">
        <f t="shared" si="208"/>
        <v>0</v>
      </c>
      <c r="AX358" s="147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7"/>
      <c r="AV359" s="1478">
        <f t="shared" si="207"/>
        <v>0</v>
      </c>
      <c r="AW359" s="1478">
        <f t="shared" si="208"/>
        <v>0</v>
      </c>
      <c r="AX359" s="147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7"/>
      <c r="AV360" s="1478">
        <f t="shared" si="207"/>
        <v>0</v>
      </c>
      <c r="AW360" s="1478">
        <f t="shared" si="208"/>
        <v>0</v>
      </c>
      <c r="AX360" s="147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7"/>
      <c r="AV361" s="1478">
        <f t="shared" si="207"/>
        <v>0</v>
      </c>
      <c r="AW361" s="1478">
        <f t="shared" si="208"/>
        <v>0</v>
      </c>
      <c r="AX361" s="147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7"/>
      <c r="AV362" s="1478">
        <f t="shared" si="207"/>
        <v>0</v>
      </c>
      <c r="AW362" s="1478">
        <f t="shared" si="208"/>
        <v>0</v>
      </c>
      <c r="AX362" s="147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7"/>
      <c r="AV363" s="1478">
        <f t="shared" si="207"/>
        <v>0</v>
      </c>
      <c r="AW363" s="1478">
        <f t="shared" si="208"/>
        <v>0</v>
      </c>
      <c r="AX363" s="147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7"/>
      <c r="AV364" s="1478">
        <f t="shared" si="207"/>
        <v>0</v>
      </c>
      <c r="AW364" s="1478">
        <f t="shared" si="208"/>
        <v>0</v>
      </c>
      <c r="AX364" s="147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7"/>
      <c r="AV365" s="1478">
        <f t="shared" si="207"/>
        <v>0</v>
      </c>
      <c r="AW365" s="1478">
        <f t="shared" si="208"/>
        <v>0</v>
      </c>
      <c r="AX365" s="147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7"/>
      <c r="AV366" s="1478">
        <f t="shared" si="207"/>
        <v>0</v>
      </c>
      <c r="AW366" s="1478">
        <f t="shared" si="208"/>
        <v>0</v>
      </c>
      <c r="AX366" s="147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7"/>
      <c r="AV367" s="1478">
        <f t="shared" ref="AV367:AV397" si="236">A367</f>
        <v>0</v>
      </c>
      <c r="AW367" s="1478">
        <f t="shared" ref="AW367:AW397" si="237">B367</f>
        <v>0</v>
      </c>
      <c r="AX367" s="147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7"/>
      <c r="AV368" s="1478">
        <f t="shared" si="236"/>
        <v>0</v>
      </c>
      <c r="AW368" s="1478">
        <f t="shared" si="237"/>
        <v>0</v>
      </c>
      <c r="AX368" s="147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7"/>
      <c r="AV369" s="1478">
        <f t="shared" si="236"/>
        <v>0</v>
      </c>
      <c r="AW369" s="1478">
        <f t="shared" si="237"/>
        <v>0</v>
      </c>
      <c r="AX369" s="147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7"/>
      <c r="AV370" s="1478">
        <f t="shared" si="236"/>
        <v>0</v>
      </c>
      <c r="AW370" s="1478">
        <f t="shared" si="237"/>
        <v>0</v>
      </c>
      <c r="AX370" s="147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7"/>
      <c r="AV371" s="1478">
        <f t="shared" si="236"/>
        <v>0</v>
      </c>
      <c r="AW371" s="1478">
        <f t="shared" si="237"/>
        <v>0</v>
      </c>
      <c r="AX371" s="147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7"/>
      <c r="AV372" s="1478">
        <f t="shared" si="236"/>
        <v>0</v>
      </c>
      <c r="AW372" s="1478">
        <f t="shared" si="237"/>
        <v>0</v>
      </c>
      <c r="AX372" s="147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7"/>
      <c r="AV373" s="1478">
        <f t="shared" si="236"/>
        <v>0</v>
      </c>
      <c r="AW373" s="1478">
        <f t="shared" si="237"/>
        <v>0</v>
      </c>
      <c r="AX373" s="147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7"/>
      <c r="AV374" s="1478">
        <f t="shared" si="236"/>
        <v>0</v>
      </c>
      <c r="AW374" s="1478">
        <f t="shared" si="237"/>
        <v>0</v>
      </c>
      <c r="AX374" s="147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7"/>
      <c r="AV375" s="1478">
        <f t="shared" si="236"/>
        <v>0</v>
      </c>
      <c r="AW375" s="1478">
        <f t="shared" si="237"/>
        <v>0</v>
      </c>
      <c r="AX375" s="147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7"/>
      <c r="AV376" s="1478">
        <f t="shared" si="236"/>
        <v>0</v>
      </c>
      <c r="AW376" s="1478">
        <f t="shared" si="237"/>
        <v>0</v>
      </c>
      <c r="AX376" s="147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7"/>
      <c r="AV377" s="1478">
        <f t="shared" si="236"/>
        <v>0</v>
      </c>
      <c r="AW377" s="1478">
        <f t="shared" si="237"/>
        <v>0</v>
      </c>
      <c r="AX377" s="147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7"/>
      <c r="AV378" s="1478">
        <f t="shared" si="236"/>
        <v>0</v>
      </c>
      <c r="AW378" s="1478">
        <f t="shared" si="237"/>
        <v>0</v>
      </c>
      <c r="AX378" s="147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7"/>
      <c r="AV379" s="1478">
        <f t="shared" si="236"/>
        <v>0</v>
      </c>
      <c r="AW379" s="1478">
        <f t="shared" si="237"/>
        <v>0</v>
      </c>
      <c r="AX379" s="147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7"/>
      <c r="AV380" s="1478">
        <f t="shared" si="236"/>
        <v>0</v>
      </c>
      <c r="AW380" s="1478">
        <f t="shared" si="237"/>
        <v>0</v>
      </c>
      <c r="AX380" s="147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7"/>
      <c r="AV381" s="1478">
        <f t="shared" si="236"/>
        <v>0</v>
      </c>
      <c r="AW381" s="1478">
        <f t="shared" si="237"/>
        <v>0</v>
      </c>
      <c r="AX381" s="147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7"/>
      <c r="AV382" s="1478">
        <f t="shared" si="236"/>
        <v>0</v>
      </c>
      <c r="AW382" s="1478">
        <f t="shared" si="237"/>
        <v>0</v>
      </c>
      <c r="AX382" s="147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7"/>
      <c r="AV383" s="1478">
        <f t="shared" si="236"/>
        <v>0</v>
      </c>
      <c r="AW383" s="1478">
        <f t="shared" si="237"/>
        <v>0</v>
      </c>
      <c r="AX383" s="147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7"/>
      <c r="AV384" s="1478">
        <f t="shared" si="236"/>
        <v>0</v>
      </c>
      <c r="AW384" s="1478">
        <f t="shared" si="237"/>
        <v>0</v>
      </c>
      <c r="AX384" s="147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7"/>
      <c r="AV385" s="1478">
        <f t="shared" si="236"/>
        <v>0</v>
      </c>
      <c r="AW385" s="1478">
        <f t="shared" si="237"/>
        <v>0</v>
      </c>
      <c r="AX385" s="147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7"/>
      <c r="AV386" s="1478">
        <f t="shared" si="236"/>
        <v>0</v>
      </c>
      <c r="AW386" s="1478">
        <f t="shared" si="237"/>
        <v>0</v>
      </c>
      <c r="AX386" s="147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7"/>
      <c r="AV387" s="1478">
        <f t="shared" si="236"/>
        <v>0</v>
      </c>
      <c r="AW387" s="1478">
        <f t="shared" si="237"/>
        <v>0</v>
      </c>
      <c r="AX387" s="147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7"/>
      <c r="AV388" s="1478">
        <f t="shared" si="236"/>
        <v>0</v>
      </c>
      <c r="AW388" s="1478">
        <f t="shared" si="237"/>
        <v>0</v>
      </c>
      <c r="AX388" s="147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7"/>
      <c r="AV389" s="1478">
        <f t="shared" si="236"/>
        <v>0</v>
      </c>
      <c r="AW389" s="1478">
        <f t="shared" si="237"/>
        <v>0</v>
      </c>
      <c r="AX389" s="147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7"/>
      <c r="AV390" s="1478">
        <f t="shared" si="236"/>
        <v>0</v>
      </c>
      <c r="AW390" s="1478">
        <f t="shared" si="237"/>
        <v>0</v>
      </c>
      <c r="AX390" s="147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7"/>
      <c r="AV391" s="1478">
        <f t="shared" si="236"/>
        <v>0</v>
      </c>
      <c r="AW391" s="1478">
        <f t="shared" si="237"/>
        <v>0</v>
      </c>
      <c r="AX391" s="147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7"/>
      <c r="AV392" s="1478">
        <f t="shared" si="236"/>
        <v>0</v>
      </c>
      <c r="AW392" s="1478">
        <f t="shared" si="237"/>
        <v>0</v>
      </c>
      <c r="AX392" s="147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7"/>
      <c r="AV393" s="1478">
        <f t="shared" si="236"/>
        <v>0</v>
      </c>
      <c r="AW393" s="1478">
        <f t="shared" si="237"/>
        <v>0</v>
      </c>
      <c r="AX393" s="147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7"/>
      <c r="AV394" s="1478">
        <f t="shared" si="236"/>
        <v>0</v>
      </c>
      <c r="AW394" s="1478">
        <f t="shared" si="237"/>
        <v>0</v>
      </c>
      <c r="AX394" s="147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7"/>
      <c r="AV395" s="1478">
        <f t="shared" si="236"/>
        <v>0</v>
      </c>
      <c r="AW395" s="1478">
        <f t="shared" si="237"/>
        <v>0</v>
      </c>
      <c r="AX395" s="147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7"/>
      <c r="AV396" s="1478">
        <f t="shared" si="236"/>
        <v>0</v>
      </c>
      <c r="AW396" s="1478">
        <f t="shared" si="237"/>
        <v>0</v>
      </c>
      <c r="AX396" s="147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7"/>
      <c r="AV397" s="1478">
        <f t="shared" si="236"/>
        <v>0</v>
      </c>
      <c r="AW397" s="1478">
        <f t="shared" si="237"/>
        <v>0</v>
      </c>
      <c r="AX397" s="147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7"/>
      <c r="AV398" s="1478">
        <f t="shared" ref="AV398:AV492" si="243">A398</f>
        <v>0</v>
      </c>
      <c r="AW398" s="1478">
        <f t="shared" ref="AW398:AW492" si="244">B398</f>
        <v>0</v>
      </c>
      <c r="AX398" s="147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7"/>
      <c r="AV399" s="1478">
        <f t="shared" si="243"/>
        <v>0</v>
      </c>
      <c r="AW399" s="1478">
        <f t="shared" si="244"/>
        <v>0</v>
      </c>
      <c r="AX399" s="147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7"/>
      <c r="AV400" s="1478">
        <f t="shared" si="243"/>
        <v>0</v>
      </c>
      <c r="AW400" s="1478">
        <f t="shared" si="244"/>
        <v>0</v>
      </c>
      <c r="AX400" s="147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7"/>
      <c r="AV401" s="1478">
        <f t="shared" si="243"/>
        <v>0</v>
      </c>
      <c r="AW401" s="1478">
        <f t="shared" si="244"/>
        <v>0</v>
      </c>
      <c r="AX401" s="147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7"/>
      <c r="AV402" s="1478">
        <f t="shared" si="243"/>
        <v>0</v>
      </c>
      <c r="AW402" s="1478">
        <f t="shared" si="244"/>
        <v>0</v>
      </c>
      <c r="AX402" s="147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7"/>
      <c r="AV403" s="1478">
        <f t="shared" si="243"/>
        <v>0</v>
      </c>
      <c r="AW403" s="1478">
        <f t="shared" si="244"/>
        <v>0</v>
      </c>
      <c r="AX403" s="147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7"/>
      <c r="AV404" s="1478">
        <f t="shared" si="243"/>
        <v>0</v>
      </c>
      <c r="AW404" s="1478">
        <f t="shared" si="244"/>
        <v>0</v>
      </c>
      <c r="AX404" s="147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7"/>
      <c r="AV405" s="1478">
        <f t="shared" si="243"/>
        <v>0</v>
      </c>
      <c r="AW405" s="1478">
        <f t="shared" si="244"/>
        <v>0</v>
      </c>
      <c r="AX405" s="147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7"/>
      <c r="AV406" s="1478">
        <f t="shared" si="243"/>
        <v>0</v>
      </c>
      <c r="AW406" s="1478">
        <f t="shared" si="244"/>
        <v>0</v>
      </c>
      <c r="AX406" s="147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7"/>
      <c r="AV407" s="1478">
        <f t="shared" si="243"/>
        <v>0</v>
      </c>
      <c r="AW407" s="1478">
        <f t="shared" si="244"/>
        <v>0</v>
      </c>
      <c r="AX407" s="147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7"/>
      <c r="AV408" s="1478">
        <f t="shared" si="243"/>
        <v>0</v>
      </c>
      <c r="AW408" s="1478">
        <f t="shared" si="244"/>
        <v>0</v>
      </c>
      <c r="AX408" s="147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7"/>
      <c r="AV409" s="1478">
        <f t="shared" si="243"/>
        <v>0</v>
      </c>
      <c r="AW409" s="1478">
        <f t="shared" si="244"/>
        <v>0</v>
      </c>
      <c r="AX409" s="147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7"/>
      <c r="AV410" s="1478">
        <f t="shared" si="243"/>
        <v>0</v>
      </c>
      <c r="AW410" s="1478">
        <f t="shared" si="244"/>
        <v>0</v>
      </c>
      <c r="AX410" s="147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7"/>
      <c r="AV411" s="1478">
        <f t="shared" si="243"/>
        <v>0</v>
      </c>
      <c r="AW411" s="1478">
        <f t="shared" si="244"/>
        <v>0</v>
      </c>
      <c r="AX411" s="147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7"/>
      <c r="AV412" s="1478">
        <f t="shared" si="243"/>
        <v>0</v>
      </c>
      <c r="AW412" s="1478">
        <f t="shared" si="244"/>
        <v>0</v>
      </c>
      <c r="AX412" s="147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7"/>
      <c r="AV413" s="1478">
        <f t="shared" si="243"/>
        <v>0</v>
      </c>
      <c r="AW413" s="1478">
        <f t="shared" si="244"/>
        <v>0</v>
      </c>
      <c r="AX413" s="147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7"/>
      <c r="AV414" s="1478">
        <f t="shared" si="243"/>
        <v>0</v>
      </c>
      <c r="AW414" s="1478">
        <f t="shared" si="244"/>
        <v>0</v>
      </c>
      <c r="AX414" s="147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7"/>
      <c r="AV415" s="1478">
        <f t="shared" si="243"/>
        <v>0</v>
      </c>
      <c r="AW415" s="1478">
        <f t="shared" si="244"/>
        <v>0</v>
      </c>
      <c r="AX415" s="147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7"/>
      <c r="AV416" s="1478">
        <f t="shared" si="243"/>
        <v>0</v>
      </c>
      <c r="AW416" s="1478">
        <f t="shared" si="244"/>
        <v>0</v>
      </c>
      <c r="AX416" s="147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7"/>
      <c r="AV417" s="1478">
        <f t="shared" si="243"/>
        <v>0</v>
      </c>
      <c r="AW417" s="1478">
        <f t="shared" si="244"/>
        <v>0</v>
      </c>
      <c r="AX417" s="147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7"/>
      <c r="AV418" s="1478">
        <f t="shared" si="243"/>
        <v>0</v>
      </c>
      <c r="AW418" s="1478">
        <f t="shared" si="244"/>
        <v>0</v>
      </c>
      <c r="AX418" s="147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7"/>
      <c r="AV419" s="1478">
        <f t="shared" si="243"/>
        <v>0</v>
      </c>
      <c r="AW419" s="1478">
        <f t="shared" si="244"/>
        <v>0</v>
      </c>
      <c r="AX419" s="147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7"/>
      <c r="AV420" s="1478">
        <f t="shared" si="243"/>
        <v>0</v>
      </c>
      <c r="AW420" s="1478">
        <f t="shared" si="244"/>
        <v>0</v>
      </c>
      <c r="AX420" s="147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7"/>
      <c r="AV421" s="1478">
        <f t="shared" si="243"/>
        <v>0</v>
      </c>
      <c r="AW421" s="1478">
        <f t="shared" si="244"/>
        <v>0</v>
      </c>
      <c r="AX421" s="147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7"/>
      <c r="AV422" s="1478">
        <f t="shared" si="243"/>
        <v>0</v>
      </c>
      <c r="AW422" s="1478">
        <f t="shared" si="244"/>
        <v>0</v>
      </c>
      <c r="AX422" s="147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7"/>
      <c r="AV423" s="1478">
        <f t="shared" si="243"/>
        <v>0</v>
      </c>
      <c r="AW423" s="1478">
        <f t="shared" si="244"/>
        <v>0</v>
      </c>
      <c r="AX423" s="147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7"/>
      <c r="AV424" s="1478">
        <f t="shared" si="243"/>
        <v>0</v>
      </c>
      <c r="AW424" s="1478">
        <f t="shared" si="244"/>
        <v>0</v>
      </c>
      <c r="AX424" s="147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7"/>
      <c r="AV425" s="1478">
        <f t="shared" si="243"/>
        <v>0</v>
      </c>
      <c r="AW425" s="1478">
        <f t="shared" si="244"/>
        <v>0</v>
      </c>
      <c r="AX425" s="147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7"/>
      <c r="AV426" s="1478">
        <f t="shared" si="243"/>
        <v>0</v>
      </c>
      <c r="AW426" s="1478">
        <f t="shared" si="244"/>
        <v>0</v>
      </c>
      <c r="AX426" s="147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7"/>
      <c r="AV427" s="1478">
        <f t="shared" si="243"/>
        <v>0</v>
      </c>
      <c r="AW427" s="1478">
        <f t="shared" si="244"/>
        <v>0</v>
      </c>
      <c r="AX427" s="147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7"/>
      <c r="AV428" s="1478">
        <f t="shared" si="243"/>
        <v>0</v>
      </c>
      <c r="AW428" s="1478">
        <f t="shared" si="244"/>
        <v>0</v>
      </c>
      <c r="AX428" s="147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7"/>
      <c r="AV429" s="1478">
        <f t="shared" si="243"/>
        <v>0</v>
      </c>
      <c r="AW429" s="1478">
        <f t="shared" si="244"/>
        <v>0</v>
      </c>
      <c r="AX429" s="147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7"/>
      <c r="AV430" s="1478">
        <f t="shared" si="243"/>
        <v>0</v>
      </c>
      <c r="AW430" s="1478">
        <f t="shared" si="244"/>
        <v>0</v>
      </c>
      <c r="AX430" s="147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7"/>
      <c r="AV431" s="1478">
        <f t="shared" si="243"/>
        <v>0</v>
      </c>
      <c r="AW431" s="1478">
        <f t="shared" si="244"/>
        <v>0</v>
      </c>
      <c r="AX431" s="147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7"/>
      <c r="AV432" s="1478">
        <f t="shared" si="243"/>
        <v>0</v>
      </c>
      <c r="AW432" s="1478">
        <f t="shared" si="244"/>
        <v>0</v>
      </c>
      <c r="AX432" s="147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7"/>
      <c r="AV433" s="1478">
        <f t="shared" si="243"/>
        <v>0</v>
      </c>
      <c r="AW433" s="1478">
        <f t="shared" si="244"/>
        <v>0</v>
      </c>
      <c r="AX433" s="147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7"/>
      <c r="AV434" s="1478">
        <f t="shared" si="243"/>
        <v>0</v>
      </c>
      <c r="AW434" s="1478">
        <f t="shared" si="244"/>
        <v>0</v>
      </c>
      <c r="AX434" s="147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7"/>
      <c r="AV435" s="1478">
        <f t="shared" si="243"/>
        <v>0</v>
      </c>
      <c r="AW435" s="1478">
        <f t="shared" si="244"/>
        <v>0</v>
      </c>
      <c r="AX435" s="147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7"/>
      <c r="AV436" s="1478">
        <f t="shared" si="243"/>
        <v>0</v>
      </c>
      <c r="AW436" s="1478">
        <f t="shared" si="244"/>
        <v>0</v>
      </c>
      <c r="AX436" s="147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7"/>
      <c r="AV437" s="1478">
        <f t="shared" si="243"/>
        <v>0</v>
      </c>
      <c r="AW437" s="1478">
        <f t="shared" si="244"/>
        <v>0</v>
      </c>
      <c r="AX437" s="147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7"/>
      <c r="AV438" s="1478">
        <f t="shared" si="243"/>
        <v>0</v>
      </c>
      <c r="AW438" s="1478">
        <f t="shared" si="244"/>
        <v>0</v>
      </c>
      <c r="AX438" s="147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7"/>
      <c r="AV439" s="1478">
        <f t="shared" si="243"/>
        <v>0</v>
      </c>
      <c r="AW439" s="1478">
        <f t="shared" si="244"/>
        <v>0</v>
      </c>
      <c r="AX439" s="147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7"/>
      <c r="AV440" s="1478">
        <f t="shared" si="243"/>
        <v>0</v>
      </c>
      <c r="AW440" s="1478">
        <f t="shared" si="244"/>
        <v>0</v>
      </c>
      <c r="AX440" s="147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7"/>
      <c r="AV441" s="1478">
        <f t="shared" si="243"/>
        <v>0</v>
      </c>
      <c r="AW441" s="1478">
        <f t="shared" si="244"/>
        <v>0</v>
      </c>
      <c r="AX441" s="147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7"/>
      <c r="AV442" s="1478">
        <f t="shared" si="243"/>
        <v>0</v>
      </c>
      <c r="AW442" s="1478">
        <f t="shared" si="244"/>
        <v>0</v>
      </c>
      <c r="AX442" s="147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7"/>
      <c r="AV443" s="1478">
        <f t="shared" si="243"/>
        <v>0</v>
      </c>
      <c r="AW443" s="1478">
        <f t="shared" si="244"/>
        <v>0</v>
      </c>
      <c r="AX443" s="147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7"/>
      <c r="AV444" s="1478">
        <f t="shared" si="243"/>
        <v>0</v>
      </c>
      <c r="AW444" s="1478">
        <f t="shared" si="244"/>
        <v>0</v>
      </c>
      <c r="AX444" s="147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7"/>
      <c r="AV445" s="1478">
        <f t="shared" si="243"/>
        <v>0</v>
      </c>
      <c r="AW445" s="1478">
        <f t="shared" si="244"/>
        <v>0</v>
      </c>
      <c r="AX445" s="147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7"/>
      <c r="AV446" s="1478">
        <f t="shared" si="243"/>
        <v>0</v>
      </c>
      <c r="AW446" s="1478">
        <f t="shared" si="244"/>
        <v>0</v>
      </c>
      <c r="AX446" s="147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7"/>
      <c r="AV447" s="1478">
        <f t="shared" si="243"/>
        <v>0</v>
      </c>
      <c r="AW447" s="1478">
        <f t="shared" si="244"/>
        <v>0</v>
      </c>
      <c r="AX447" s="147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7"/>
      <c r="AV448" s="1478">
        <f t="shared" si="243"/>
        <v>0</v>
      </c>
      <c r="AW448" s="1478">
        <f t="shared" si="244"/>
        <v>0</v>
      </c>
      <c r="AX448" s="147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7"/>
      <c r="AV449" s="1478">
        <f t="shared" si="243"/>
        <v>0</v>
      </c>
      <c r="AW449" s="1478">
        <f t="shared" si="244"/>
        <v>0</v>
      </c>
      <c r="AX449" s="147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7"/>
      <c r="AV450" s="1478">
        <f t="shared" si="243"/>
        <v>0</v>
      </c>
      <c r="AW450" s="1478">
        <f t="shared" si="244"/>
        <v>0</v>
      </c>
      <c r="AX450" s="147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7"/>
      <c r="AV451" s="1478">
        <f t="shared" si="243"/>
        <v>0</v>
      </c>
      <c r="AW451" s="1478">
        <f t="shared" si="244"/>
        <v>0</v>
      </c>
      <c r="AX451" s="147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7"/>
      <c r="AV452" s="1478">
        <f t="shared" si="243"/>
        <v>0</v>
      </c>
      <c r="AW452" s="1478">
        <f t="shared" si="244"/>
        <v>0</v>
      </c>
      <c r="AX452" s="147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7"/>
      <c r="AV453" s="1478">
        <f t="shared" si="243"/>
        <v>0</v>
      </c>
      <c r="AW453" s="1478">
        <f t="shared" si="244"/>
        <v>0</v>
      </c>
      <c r="AX453" s="147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7"/>
      <c r="AV454" s="1478">
        <f t="shared" si="243"/>
        <v>0</v>
      </c>
      <c r="AW454" s="1478">
        <f t="shared" si="244"/>
        <v>0</v>
      </c>
      <c r="AX454" s="147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7"/>
      <c r="AV455" s="1478">
        <f t="shared" si="243"/>
        <v>0</v>
      </c>
      <c r="AW455" s="1478">
        <f t="shared" si="244"/>
        <v>0</v>
      </c>
      <c r="AX455" s="147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7"/>
      <c r="AV456" s="1478">
        <f t="shared" si="243"/>
        <v>0</v>
      </c>
      <c r="AW456" s="1478">
        <f t="shared" si="244"/>
        <v>0</v>
      </c>
      <c r="AX456" s="147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7"/>
      <c r="AV457" s="1478">
        <f t="shared" si="243"/>
        <v>0</v>
      </c>
      <c r="AW457" s="1478">
        <f t="shared" si="244"/>
        <v>0</v>
      </c>
      <c r="AX457" s="147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7"/>
      <c r="AV458" s="1478">
        <f t="shared" si="243"/>
        <v>0</v>
      </c>
      <c r="AW458" s="1478">
        <f t="shared" si="244"/>
        <v>0</v>
      </c>
      <c r="AX458" s="147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7"/>
      <c r="AV459" s="1478">
        <f t="shared" si="243"/>
        <v>0</v>
      </c>
      <c r="AW459" s="1478">
        <f t="shared" si="244"/>
        <v>0</v>
      </c>
      <c r="AX459" s="147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7"/>
      <c r="AV460" s="1478">
        <f t="shared" si="243"/>
        <v>0</v>
      </c>
      <c r="AW460" s="1478">
        <f t="shared" si="244"/>
        <v>0</v>
      </c>
      <c r="AX460" s="147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7"/>
      <c r="AV461" s="1478">
        <f t="shared" si="243"/>
        <v>0</v>
      </c>
      <c r="AW461" s="1478">
        <f t="shared" si="244"/>
        <v>0</v>
      </c>
      <c r="AX461" s="147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7"/>
      <c r="AV462" s="1478">
        <f t="shared" si="243"/>
        <v>0</v>
      </c>
      <c r="AW462" s="1478">
        <f t="shared" si="244"/>
        <v>0</v>
      </c>
      <c r="AX462" s="147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7"/>
      <c r="AV463" s="1478">
        <f t="shared" si="243"/>
        <v>0</v>
      </c>
      <c r="AW463" s="1478">
        <f t="shared" si="244"/>
        <v>0</v>
      </c>
      <c r="AX463" s="147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7"/>
      <c r="AV464" s="1478">
        <f t="shared" si="243"/>
        <v>0</v>
      </c>
      <c r="AW464" s="1478">
        <f t="shared" si="244"/>
        <v>0</v>
      </c>
      <c r="AX464" s="147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7"/>
      <c r="AV465" s="1478">
        <f t="shared" si="243"/>
        <v>0</v>
      </c>
      <c r="AW465" s="1478">
        <f t="shared" si="244"/>
        <v>0</v>
      </c>
      <c r="AX465" s="147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7"/>
      <c r="AV466" s="1478">
        <f t="shared" si="243"/>
        <v>0</v>
      </c>
      <c r="AW466" s="1478">
        <f t="shared" si="244"/>
        <v>0</v>
      </c>
      <c r="AX466" s="147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7"/>
      <c r="AV467" s="1478">
        <f t="shared" si="243"/>
        <v>0</v>
      </c>
      <c r="AW467" s="1478">
        <f t="shared" si="244"/>
        <v>0</v>
      </c>
      <c r="AX467" s="147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7"/>
      <c r="AV468" s="1478">
        <f t="shared" si="243"/>
        <v>0</v>
      </c>
      <c r="AW468" s="1478">
        <f t="shared" si="244"/>
        <v>0</v>
      </c>
      <c r="AX468" s="147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7"/>
      <c r="AV469" s="1478">
        <f t="shared" si="243"/>
        <v>0</v>
      </c>
      <c r="AW469" s="1478">
        <f t="shared" si="244"/>
        <v>0</v>
      </c>
      <c r="AX469" s="147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7"/>
      <c r="AV470" s="1478">
        <f t="shared" si="243"/>
        <v>0</v>
      </c>
      <c r="AW470" s="1478">
        <f t="shared" si="244"/>
        <v>0</v>
      </c>
      <c r="AX470" s="147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7"/>
      <c r="AV471" s="1478">
        <f t="shared" si="243"/>
        <v>0</v>
      </c>
      <c r="AW471" s="1478">
        <f t="shared" si="244"/>
        <v>0</v>
      </c>
      <c r="AX471" s="147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7"/>
      <c r="AV472" s="1478">
        <f t="shared" si="243"/>
        <v>0</v>
      </c>
      <c r="AW472" s="1478">
        <f t="shared" si="244"/>
        <v>0</v>
      </c>
      <c r="AX472" s="147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7"/>
      <c r="AV473" s="1478">
        <f t="shared" si="243"/>
        <v>0</v>
      </c>
      <c r="AW473" s="1478">
        <f t="shared" si="244"/>
        <v>0</v>
      </c>
      <c r="AX473" s="147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7"/>
      <c r="AV474" s="1478">
        <f t="shared" si="243"/>
        <v>0</v>
      </c>
      <c r="AW474" s="1478">
        <f t="shared" si="244"/>
        <v>0</v>
      </c>
      <c r="AX474" s="147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7"/>
      <c r="AV475" s="1478">
        <f t="shared" si="243"/>
        <v>0</v>
      </c>
      <c r="AW475" s="1478">
        <f t="shared" si="244"/>
        <v>0</v>
      </c>
      <c r="AX475" s="147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7"/>
      <c r="AV476" s="1478">
        <f t="shared" si="243"/>
        <v>0</v>
      </c>
      <c r="AW476" s="1478">
        <f t="shared" si="244"/>
        <v>0</v>
      </c>
      <c r="AX476" s="147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7"/>
      <c r="AV477" s="1478">
        <f t="shared" si="243"/>
        <v>0</v>
      </c>
      <c r="AW477" s="1478">
        <f t="shared" si="244"/>
        <v>0</v>
      </c>
      <c r="AX477" s="147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7"/>
      <c r="AV478" s="1478">
        <f t="shared" si="243"/>
        <v>0</v>
      </c>
      <c r="AW478" s="1478">
        <f t="shared" si="244"/>
        <v>0</v>
      </c>
      <c r="AX478" s="147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7"/>
      <c r="AV479" s="1478">
        <f t="shared" si="243"/>
        <v>0</v>
      </c>
      <c r="AW479" s="1478">
        <f t="shared" si="244"/>
        <v>0</v>
      </c>
      <c r="AX479" s="147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7"/>
      <c r="AV480" s="1478">
        <f t="shared" si="243"/>
        <v>0</v>
      </c>
      <c r="AW480" s="1478">
        <f t="shared" si="244"/>
        <v>0</v>
      </c>
      <c r="AX480" s="147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7"/>
      <c r="AV481" s="1478">
        <f t="shared" si="243"/>
        <v>0</v>
      </c>
      <c r="AW481" s="1478">
        <f t="shared" si="244"/>
        <v>0</v>
      </c>
      <c r="AX481" s="147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7"/>
      <c r="AV482" s="1478">
        <f t="shared" si="243"/>
        <v>0</v>
      </c>
      <c r="AW482" s="1478">
        <f t="shared" si="244"/>
        <v>0</v>
      </c>
      <c r="AX482" s="147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7"/>
      <c r="AV483" s="1478">
        <f t="shared" si="243"/>
        <v>0</v>
      </c>
      <c r="AW483" s="1478">
        <f t="shared" si="244"/>
        <v>0</v>
      </c>
      <c r="AX483" s="147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7"/>
      <c r="AV484" s="1478">
        <f t="shared" si="243"/>
        <v>0</v>
      </c>
      <c r="AW484" s="1478">
        <f t="shared" si="244"/>
        <v>0</v>
      </c>
      <c r="AX484" s="147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7"/>
      <c r="AV485" s="1478">
        <f t="shared" si="243"/>
        <v>0</v>
      </c>
      <c r="AW485" s="1478">
        <f t="shared" si="244"/>
        <v>0</v>
      </c>
      <c r="AX485" s="147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7"/>
      <c r="AV486" s="1478">
        <f t="shared" si="243"/>
        <v>0</v>
      </c>
      <c r="AW486" s="1478">
        <f t="shared" si="244"/>
        <v>0</v>
      </c>
      <c r="AX486" s="147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7"/>
      <c r="AV487" s="1478">
        <f t="shared" si="243"/>
        <v>0</v>
      </c>
      <c r="AW487" s="1478">
        <f t="shared" si="244"/>
        <v>0</v>
      </c>
      <c r="AX487" s="147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7"/>
      <c r="AV488" s="1478">
        <f t="shared" si="243"/>
        <v>0</v>
      </c>
      <c r="AW488" s="1478">
        <f t="shared" si="244"/>
        <v>0</v>
      </c>
      <c r="AX488" s="147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7"/>
      <c r="AV489" s="1478">
        <f t="shared" si="243"/>
        <v>0</v>
      </c>
      <c r="AW489" s="1478">
        <f t="shared" si="244"/>
        <v>0</v>
      </c>
      <c r="AX489" s="147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7"/>
      <c r="AV490" s="1478">
        <f t="shared" si="243"/>
        <v>0</v>
      </c>
      <c r="AW490" s="1478">
        <f t="shared" si="244"/>
        <v>0</v>
      </c>
      <c r="AX490" s="147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7"/>
      <c r="AV491" s="1478">
        <f t="shared" si="243"/>
        <v>0</v>
      </c>
      <c r="AW491" s="1478">
        <f t="shared" si="244"/>
        <v>0</v>
      </c>
      <c r="AX491" s="147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7"/>
      <c r="AV492" s="1478">
        <f t="shared" si="243"/>
        <v>0</v>
      </c>
      <c r="AW492" s="1478">
        <f t="shared" si="244"/>
        <v>0</v>
      </c>
      <c r="AX492" s="147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7"/>
      <c r="AV493" s="1478">
        <f t="shared" ref="AV493:AV520" si="294">A493</f>
        <v>0</v>
      </c>
      <c r="AW493" s="1478">
        <f t="shared" ref="AW493:AW520" si="295">B493</f>
        <v>0</v>
      </c>
      <c r="AX493" s="147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7"/>
      <c r="AV494" s="1478">
        <f t="shared" si="294"/>
        <v>0</v>
      </c>
      <c r="AW494" s="1478">
        <f t="shared" si="295"/>
        <v>0</v>
      </c>
      <c r="AX494" s="147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7"/>
      <c r="AV495" s="1478">
        <f t="shared" si="294"/>
        <v>0</v>
      </c>
      <c r="AW495" s="1478">
        <f t="shared" si="295"/>
        <v>0</v>
      </c>
      <c r="AX495" s="147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7"/>
      <c r="AV496" s="1478">
        <f t="shared" si="294"/>
        <v>0</v>
      </c>
      <c r="AW496" s="1478">
        <f t="shared" si="295"/>
        <v>0</v>
      </c>
      <c r="AX496" s="147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7"/>
      <c r="AV497" s="1478">
        <f t="shared" si="294"/>
        <v>0</v>
      </c>
      <c r="AW497" s="1478">
        <f t="shared" si="295"/>
        <v>0</v>
      </c>
      <c r="AX497" s="147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7"/>
      <c r="AV498" s="1478">
        <f t="shared" si="294"/>
        <v>0</v>
      </c>
      <c r="AW498" s="1478">
        <f t="shared" si="295"/>
        <v>0</v>
      </c>
      <c r="AX498" s="147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7"/>
      <c r="AV499" s="1478">
        <f t="shared" si="294"/>
        <v>0</v>
      </c>
      <c r="AW499" s="1478">
        <f t="shared" si="295"/>
        <v>0</v>
      </c>
      <c r="AX499" s="147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7"/>
      <c r="AV500" s="1478">
        <f t="shared" si="294"/>
        <v>0</v>
      </c>
      <c r="AW500" s="1478">
        <f t="shared" si="295"/>
        <v>0</v>
      </c>
      <c r="AX500" s="147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7"/>
      <c r="AV501" s="1478">
        <f t="shared" si="294"/>
        <v>0</v>
      </c>
      <c r="AW501" s="1478">
        <f t="shared" si="295"/>
        <v>0</v>
      </c>
      <c r="AX501" s="147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7"/>
      <c r="AV502" s="1478">
        <f t="shared" si="294"/>
        <v>0</v>
      </c>
      <c r="AW502" s="1478">
        <f t="shared" si="295"/>
        <v>0</v>
      </c>
      <c r="AX502" s="147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7"/>
      <c r="AV503" s="1478">
        <f t="shared" si="294"/>
        <v>0</v>
      </c>
      <c r="AW503" s="1478">
        <f t="shared" si="295"/>
        <v>0</v>
      </c>
      <c r="AX503" s="147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7"/>
      <c r="AV504" s="1478">
        <f t="shared" si="294"/>
        <v>0</v>
      </c>
      <c r="AW504" s="1478">
        <f t="shared" si="295"/>
        <v>0</v>
      </c>
      <c r="AX504" s="147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7"/>
      <c r="AV505" s="1478">
        <f t="shared" si="294"/>
        <v>0</v>
      </c>
      <c r="AW505" s="1478">
        <f t="shared" si="295"/>
        <v>0</v>
      </c>
      <c r="AX505" s="147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7"/>
      <c r="AV506" s="1478">
        <f t="shared" si="294"/>
        <v>0</v>
      </c>
      <c r="AW506" s="1478">
        <f t="shared" si="295"/>
        <v>0</v>
      </c>
      <c r="AX506" s="147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7"/>
      <c r="AV507" s="1478">
        <f t="shared" si="294"/>
        <v>0</v>
      </c>
      <c r="AW507" s="1478">
        <f t="shared" si="295"/>
        <v>0</v>
      </c>
      <c r="AX507" s="147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7"/>
      <c r="AV508" s="1478">
        <f t="shared" si="294"/>
        <v>0</v>
      </c>
      <c r="AW508" s="1478">
        <f t="shared" si="295"/>
        <v>0</v>
      </c>
      <c r="AX508" s="147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7"/>
      <c r="AV509" s="1478">
        <f t="shared" si="294"/>
        <v>0</v>
      </c>
      <c r="AW509" s="1478">
        <f t="shared" si="295"/>
        <v>0</v>
      </c>
      <c r="AX509" s="147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7"/>
      <c r="AV510" s="1478">
        <f t="shared" si="294"/>
        <v>0</v>
      </c>
      <c r="AW510" s="1478">
        <f t="shared" si="295"/>
        <v>0</v>
      </c>
      <c r="AX510" s="147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7"/>
      <c r="AV511" s="1478">
        <f t="shared" si="294"/>
        <v>0</v>
      </c>
      <c r="AW511" s="1478">
        <f t="shared" si="295"/>
        <v>0</v>
      </c>
      <c r="AX511" s="147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7"/>
      <c r="AV512" s="1478">
        <f t="shared" si="294"/>
        <v>0</v>
      </c>
      <c r="AW512" s="1478">
        <f t="shared" si="295"/>
        <v>0</v>
      </c>
      <c r="AX512" s="147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7"/>
      <c r="AV513" s="1478">
        <f t="shared" si="294"/>
        <v>0</v>
      </c>
      <c r="AW513" s="1478">
        <f t="shared" si="295"/>
        <v>0</v>
      </c>
      <c r="AX513" s="147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7"/>
      <c r="AV514" s="1478">
        <f t="shared" si="294"/>
        <v>0</v>
      </c>
      <c r="AW514" s="1478">
        <f t="shared" si="295"/>
        <v>0</v>
      </c>
      <c r="AX514" s="147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7"/>
      <c r="AV515" s="1478">
        <f t="shared" si="294"/>
        <v>0</v>
      </c>
      <c r="AW515" s="1478">
        <f t="shared" si="295"/>
        <v>0</v>
      </c>
      <c r="AX515" s="147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7"/>
      <c r="AV516" s="1478">
        <f t="shared" si="294"/>
        <v>0</v>
      </c>
      <c r="AW516" s="1478">
        <f t="shared" si="295"/>
        <v>0</v>
      </c>
      <c r="AX516" s="147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7"/>
      <c r="AV517" s="1478">
        <f t="shared" si="294"/>
        <v>0</v>
      </c>
      <c r="AW517" s="1478">
        <f t="shared" si="295"/>
        <v>0</v>
      </c>
      <c r="AX517" s="147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7"/>
      <c r="AV518" s="1478">
        <f t="shared" si="294"/>
        <v>0</v>
      </c>
      <c r="AW518" s="1478">
        <f t="shared" si="295"/>
        <v>0</v>
      </c>
      <c r="AX518" s="147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7"/>
      <c r="AV519" s="1478">
        <f t="shared" si="294"/>
        <v>0</v>
      </c>
      <c r="AW519" s="1478">
        <f t="shared" si="295"/>
        <v>0</v>
      </c>
      <c r="AX519" s="147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7"/>
      <c r="AV520" s="1478">
        <f t="shared" si="294"/>
        <v>0</v>
      </c>
      <c r="AW520" s="1478">
        <f t="shared" si="295"/>
        <v>0</v>
      </c>
      <c r="AX520" s="147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7"/>
      <c r="AV521" s="1478">
        <f t="shared" ref="AV521:AV552" si="298">A521</f>
        <v>0</v>
      </c>
      <c r="AW521" s="1478">
        <f t="shared" ref="AW521:AW552" si="299">B521</f>
        <v>0</v>
      </c>
      <c r="AX521" s="147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7"/>
      <c r="AV522" s="1478">
        <f t="shared" si="298"/>
        <v>0</v>
      </c>
      <c r="AW522" s="1478">
        <f t="shared" si="299"/>
        <v>0</v>
      </c>
      <c r="AX522" s="147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7"/>
      <c r="AV523" s="1478">
        <f t="shared" si="298"/>
        <v>0</v>
      </c>
      <c r="AW523" s="1478">
        <f t="shared" si="299"/>
        <v>0</v>
      </c>
      <c r="AX523" s="147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7"/>
      <c r="AV524" s="1478">
        <f t="shared" si="298"/>
        <v>0</v>
      </c>
      <c r="AW524" s="1478">
        <f t="shared" si="299"/>
        <v>0</v>
      </c>
      <c r="AX524" s="147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7"/>
      <c r="AV525" s="1478">
        <f t="shared" si="298"/>
        <v>0</v>
      </c>
      <c r="AW525" s="1478">
        <f t="shared" si="299"/>
        <v>0</v>
      </c>
      <c r="AX525" s="147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7"/>
      <c r="AV526" s="1478">
        <f t="shared" si="298"/>
        <v>0</v>
      </c>
      <c r="AW526" s="1478">
        <f t="shared" si="299"/>
        <v>0</v>
      </c>
      <c r="AX526" s="147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7"/>
      <c r="AV527" s="1478">
        <f t="shared" si="298"/>
        <v>0</v>
      </c>
      <c r="AW527" s="1478">
        <f t="shared" si="299"/>
        <v>0</v>
      </c>
      <c r="AX527" s="147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7"/>
      <c r="AV528" s="1478">
        <f t="shared" si="298"/>
        <v>0</v>
      </c>
      <c r="AW528" s="1478">
        <f t="shared" si="299"/>
        <v>0</v>
      </c>
      <c r="AX528" s="147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7"/>
      <c r="AV529" s="1478">
        <f t="shared" si="298"/>
        <v>0</v>
      </c>
      <c r="AW529" s="1478">
        <f t="shared" si="299"/>
        <v>0</v>
      </c>
      <c r="AX529" s="147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7"/>
      <c r="AV530" s="1478">
        <f t="shared" si="298"/>
        <v>0</v>
      </c>
      <c r="AW530" s="1478">
        <f t="shared" si="299"/>
        <v>0</v>
      </c>
      <c r="AX530" s="147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7"/>
      <c r="AV531" s="1478">
        <f t="shared" si="298"/>
        <v>0</v>
      </c>
      <c r="AW531" s="1478">
        <f t="shared" si="299"/>
        <v>0</v>
      </c>
      <c r="AX531" s="147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7"/>
      <c r="AV532" s="1478">
        <f t="shared" si="298"/>
        <v>0</v>
      </c>
      <c r="AW532" s="1478">
        <f t="shared" si="299"/>
        <v>0</v>
      </c>
      <c r="AX532" s="147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7"/>
      <c r="AV533" s="1478">
        <f t="shared" si="298"/>
        <v>0</v>
      </c>
      <c r="AW533" s="1478">
        <f t="shared" si="299"/>
        <v>0</v>
      </c>
      <c r="AX533" s="147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7"/>
      <c r="AV534" s="1478">
        <f t="shared" si="298"/>
        <v>0</v>
      </c>
      <c r="AW534" s="1478">
        <f t="shared" si="299"/>
        <v>0</v>
      </c>
      <c r="AX534" s="147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7"/>
      <c r="AV535" s="1478">
        <f t="shared" si="298"/>
        <v>0</v>
      </c>
      <c r="AW535" s="1478">
        <f t="shared" si="299"/>
        <v>0</v>
      </c>
      <c r="AX535" s="147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7"/>
      <c r="AV536" s="1478">
        <f t="shared" si="298"/>
        <v>0</v>
      </c>
      <c r="AW536" s="1478">
        <f t="shared" si="299"/>
        <v>0</v>
      </c>
      <c r="AX536" s="147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7"/>
      <c r="AV537" s="1478">
        <f t="shared" si="298"/>
        <v>0</v>
      </c>
      <c r="AW537" s="1478">
        <f t="shared" si="299"/>
        <v>0</v>
      </c>
      <c r="AX537" s="147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7"/>
      <c r="AV538" s="1478">
        <f t="shared" si="298"/>
        <v>0</v>
      </c>
      <c r="AW538" s="1478">
        <f t="shared" si="299"/>
        <v>0</v>
      </c>
      <c r="AX538" s="147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7"/>
      <c r="AV539" s="1478">
        <f t="shared" si="298"/>
        <v>0</v>
      </c>
      <c r="AW539" s="1478">
        <f t="shared" si="299"/>
        <v>0</v>
      </c>
      <c r="AX539" s="147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7"/>
      <c r="AV540" s="1478">
        <f t="shared" si="298"/>
        <v>0</v>
      </c>
      <c r="AW540" s="1478">
        <f t="shared" si="299"/>
        <v>0</v>
      </c>
      <c r="AX540" s="147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7"/>
      <c r="AV541" s="1478">
        <f t="shared" si="298"/>
        <v>0</v>
      </c>
      <c r="AW541" s="1478">
        <f t="shared" si="299"/>
        <v>0</v>
      </c>
      <c r="AX541" s="147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7"/>
      <c r="AV542" s="1478">
        <f t="shared" si="298"/>
        <v>0</v>
      </c>
      <c r="AW542" s="1478">
        <f t="shared" si="299"/>
        <v>0</v>
      </c>
      <c r="AX542" s="147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7"/>
      <c r="AV543" s="1478">
        <f t="shared" si="298"/>
        <v>0</v>
      </c>
      <c r="AW543" s="1478">
        <f t="shared" si="299"/>
        <v>0</v>
      </c>
      <c r="AX543" s="147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7"/>
      <c r="AV544" s="1478">
        <f t="shared" si="298"/>
        <v>0</v>
      </c>
      <c r="AW544" s="1478">
        <f t="shared" si="299"/>
        <v>0</v>
      </c>
      <c r="AX544" s="147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7"/>
      <c r="AV545" s="1478">
        <f t="shared" si="298"/>
        <v>0</v>
      </c>
      <c r="AW545" s="1478">
        <f t="shared" si="299"/>
        <v>0</v>
      </c>
      <c r="AX545" s="147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7"/>
      <c r="AV546" s="1478">
        <f t="shared" si="298"/>
        <v>0</v>
      </c>
      <c r="AW546" s="1478">
        <f t="shared" si="299"/>
        <v>0</v>
      </c>
      <c r="AX546" s="147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7"/>
      <c r="AV547" s="1478">
        <f t="shared" si="298"/>
        <v>0</v>
      </c>
      <c r="AW547" s="1478">
        <f t="shared" si="299"/>
        <v>0</v>
      </c>
      <c r="AX547" s="147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7"/>
      <c r="AV548" s="1478">
        <f t="shared" si="298"/>
        <v>0</v>
      </c>
      <c r="AW548" s="1478">
        <f t="shared" si="299"/>
        <v>0</v>
      </c>
      <c r="AX548" s="147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7"/>
      <c r="AV549" s="1478">
        <f t="shared" si="298"/>
        <v>0</v>
      </c>
      <c r="AW549" s="1478">
        <f t="shared" si="299"/>
        <v>0</v>
      </c>
      <c r="AX549" s="147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7"/>
      <c r="AV550" s="1478">
        <f t="shared" si="298"/>
        <v>0</v>
      </c>
      <c r="AW550" s="1478">
        <f t="shared" si="299"/>
        <v>0</v>
      </c>
      <c r="AX550" s="147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7"/>
      <c r="AV551" s="1478">
        <f t="shared" si="298"/>
        <v>0</v>
      </c>
      <c r="AW551" s="1478">
        <f t="shared" si="299"/>
        <v>0</v>
      </c>
      <c r="AX551" s="147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7"/>
      <c r="AV552" s="1478">
        <f t="shared" si="298"/>
        <v>0</v>
      </c>
      <c r="AW552" s="1478">
        <f t="shared" si="299"/>
        <v>0</v>
      </c>
      <c r="AX552" s="147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7"/>
      <c r="AV553" s="1478">
        <f t="shared" ref="AV553:AV587" si="330">A553</f>
        <v>0</v>
      </c>
      <c r="AW553" s="1478">
        <f t="shared" ref="AW553:AW587" si="331">B553</f>
        <v>0</v>
      </c>
      <c r="AX553" s="147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7"/>
      <c r="AV554" s="1478">
        <f t="shared" si="330"/>
        <v>0</v>
      </c>
      <c r="AW554" s="1478">
        <f t="shared" si="331"/>
        <v>0</v>
      </c>
      <c r="AX554" s="147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7"/>
      <c r="AV555" s="1478">
        <f t="shared" si="330"/>
        <v>0</v>
      </c>
      <c r="AW555" s="1478">
        <f t="shared" si="331"/>
        <v>0</v>
      </c>
      <c r="AX555" s="147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7"/>
      <c r="AV556" s="1478">
        <f t="shared" si="330"/>
        <v>0</v>
      </c>
      <c r="AW556" s="1478">
        <f t="shared" si="331"/>
        <v>0</v>
      </c>
      <c r="AX556" s="147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7"/>
      <c r="AV557" s="1478">
        <f t="shared" si="330"/>
        <v>0</v>
      </c>
      <c r="AW557" s="1478">
        <f t="shared" si="331"/>
        <v>0</v>
      </c>
      <c r="AX557" s="147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7"/>
      <c r="AV558" s="1478">
        <f t="shared" si="330"/>
        <v>0</v>
      </c>
      <c r="AW558" s="1478">
        <f t="shared" si="331"/>
        <v>0</v>
      </c>
      <c r="AX558" s="147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7"/>
      <c r="AV559" s="1478">
        <f t="shared" si="330"/>
        <v>0</v>
      </c>
      <c r="AW559" s="1478">
        <f t="shared" si="331"/>
        <v>0</v>
      </c>
      <c r="AX559" s="147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7"/>
      <c r="AV560" s="1478">
        <f t="shared" si="330"/>
        <v>0</v>
      </c>
      <c r="AW560" s="1478">
        <f t="shared" si="331"/>
        <v>0</v>
      </c>
      <c r="AX560" s="147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7"/>
      <c r="AV561" s="1478">
        <f t="shared" si="330"/>
        <v>0</v>
      </c>
      <c r="AW561" s="1478">
        <f t="shared" si="331"/>
        <v>0</v>
      </c>
      <c r="AX561" s="147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7"/>
      <c r="AV562" s="1478">
        <f t="shared" si="330"/>
        <v>0</v>
      </c>
      <c r="AW562" s="1478">
        <f t="shared" si="331"/>
        <v>0</v>
      </c>
      <c r="AX562" s="147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7"/>
      <c r="AV563" s="1478">
        <f t="shared" si="330"/>
        <v>0</v>
      </c>
      <c r="AW563" s="1478">
        <f t="shared" si="331"/>
        <v>0</v>
      </c>
      <c r="AX563" s="147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7"/>
      <c r="AV564" s="1478">
        <f t="shared" si="330"/>
        <v>0</v>
      </c>
      <c r="AW564" s="1478">
        <f t="shared" si="331"/>
        <v>0</v>
      </c>
      <c r="AX564" s="147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7"/>
      <c r="AV565" s="1478">
        <f t="shared" si="330"/>
        <v>0</v>
      </c>
      <c r="AW565" s="1478">
        <f t="shared" si="331"/>
        <v>0</v>
      </c>
      <c r="AX565" s="147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7"/>
      <c r="AV566" s="1478">
        <f t="shared" si="330"/>
        <v>0</v>
      </c>
      <c r="AW566" s="1478">
        <f t="shared" si="331"/>
        <v>0</v>
      </c>
      <c r="AX566" s="147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7"/>
      <c r="AV567" s="1478">
        <f t="shared" si="330"/>
        <v>0</v>
      </c>
      <c r="AW567" s="1478">
        <f t="shared" si="331"/>
        <v>0</v>
      </c>
      <c r="AX567" s="147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7"/>
      <c r="AV568" s="1478">
        <f t="shared" si="330"/>
        <v>0</v>
      </c>
      <c r="AW568" s="1478">
        <f t="shared" si="331"/>
        <v>0</v>
      </c>
      <c r="AX568" s="147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7"/>
      <c r="AV569" s="1478">
        <f t="shared" si="330"/>
        <v>0</v>
      </c>
      <c r="AW569" s="1478">
        <f t="shared" si="331"/>
        <v>0</v>
      </c>
      <c r="AX569" s="147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7"/>
      <c r="AV570" s="1478">
        <f t="shared" si="330"/>
        <v>0</v>
      </c>
      <c r="AW570" s="1478">
        <f t="shared" si="331"/>
        <v>0</v>
      </c>
      <c r="AX570" s="147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7"/>
      <c r="AV571" s="1478">
        <f t="shared" si="330"/>
        <v>0</v>
      </c>
      <c r="AW571" s="1478">
        <f t="shared" si="331"/>
        <v>0</v>
      </c>
      <c r="AX571" s="147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7"/>
      <c r="AV572" s="1478">
        <f t="shared" si="330"/>
        <v>0</v>
      </c>
      <c r="AW572" s="1478">
        <f t="shared" si="331"/>
        <v>0</v>
      </c>
      <c r="AX572" s="147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7"/>
      <c r="AV573" s="1478">
        <f t="shared" si="330"/>
        <v>0</v>
      </c>
      <c r="AW573" s="1478">
        <f t="shared" si="331"/>
        <v>0</v>
      </c>
      <c r="AX573" s="147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7"/>
      <c r="AV574" s="1478">
        <f t="shared" si="330"/>
        <v>0</v>
      </c>
      <c r="AW574" s="1478">
        <f t="shared" si="331"/>
        <v>0</v>
      </c>
      <c r="AX574" s="147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7"/>
      <c r="AV575" s="1478">
        <f t="shared" si="330"/>
        <v>0</v>
      </c>
      <c r="AW575" s="1478">
        <f t="shared" si="331"/>
        <v>0</v>
      </c>
      <c r="AX575" s="147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7"/>
      <c r="AV576" s="1478">
        <f t="shared" si="330"/>
        <v>0</v>
      </c>
      <c r="AW576" s="1478">
        <f t="shared" si="331"/>
        <v>0</v>
      </c>
      <c r="AX576" s="147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7"/>
      <c r="AV577" s="1478">
        <f t="shared" si="330"/>
        <v>0</v>
      </c>
      <c r="AW577" s="1478">
        <f t="shared" si="331"/>
        <v>0</v>
      </c>
      <c r="AX577" s="147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7"/>
      <c r="AV578" s="1478">
        <f t="shared" si="330"/>
        <v>0</v>
      </c>
      <c r="AW578" s="1478">
        <f t="shared" si="331"/>
        <v>0</v>
      </c>
      <c r="AX578" s="147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7"/>
      <c r="AV579" s="1478">
        <f t="shared" si="330"/>
        <v>0</v>
      </c>
      <c r="AW579" s="1478">
        <f t="shared" si="331"/>
        <v>0</v>
      </c>
      <c r="AX579" s="147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7"/>
      <c r="AV580" s="1478">
        <f t="shared" si="330"/>
        <v>0</v>
      </c>
      <c r="AW580" s="1478">
        <f t="shared" si="331"/>
        <v>0</v>
      </c>
      <c r="AX580" s="147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7"/>
      <c r="AV581" s="1478">
        <f t="shared" si="330"/>
        <v>0</v>
      </c>
      <c r="AW581" s="1478">
        <f t="shared" si="331"/>
        <v>0</v>
      </c>
      <c r="AX581" s="147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7"/>
      <c r="AV582" s="1478">
        <f t="shared" si="330"/>
        <v>0</v>
      </c>
      <c r="AW582" s="1478">
        <f t="shared" si="331"/>
        <v>0</v>
      </c>
      <c r="AX582" s="147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7"/>
      <c r="AV583" s="1478">
        <f t="shared" si="330"/>
        <v>0</v>
      </c>
      <c r="AW583" s="1478">
        <f t="shared" si="331"/>
        <v>0</v>
      </c>
      <c r="AX583" s="147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7"/>
      <c r="AV584" s="1478">
        <f t="shared" si="330"/>
        <v>0</v>
      </c>
      <c r="AW584" s="1478">
        <f t="shared" si="331"/>
        <v>0</v>
      </c>
      <c r="AX584" s="147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7"/>
      <c r="AV585" s="1478">
        <f t="shared" si="330"/>
        <v>0</v>
      </c>
      <c r="AW585" s="1478">
        <f t="shared" si="331"/>
        <v>0</v>
      </c>
      <c r="AX585" s="147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7"/>
      <c r="AV586" s="1478">
        <f t="shared" si="330"/>
        <v>0</v>
      </c>
      <c r="AW586" s="1478">
        <f t="shared" si="331"/>
        <v>0</v>
      </c>
      <c r="AX586" s="147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7"/>
      <c r="AV587" s="1478">
        <f t="shared" si="330"/>
        <v>0</v>
      </c>
      <c r="AW587" s="1478">
        <f t="shared" si="331"/>
        <v>0</v>
      </c>
      <c r="AX587" s="147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70" customFormat="1">
      <c r="A588" s="1768"/>
      <c r="B588" s="1768"/>
      <c r="C588" s="1768"/>
      <c r="D588" s="1768"/>
      <c r="E588" s="1769"/>
      <c r="F588" s="1769"/>
      <c r="G588" s="1768"/>
      <c r="H588" s="1769"/>
      <c r="I588" s="1769"/>
      <c r="J588" s="1769"/>
      <c r="K588" s="1769"/>
      <c r="L588" s="1769"/>
      <c r="M588" s="1769"/>
      <c r="N588" s="1769"/>
      <c r="O588" s="1769"/>
      <c r="P588" s="1769"/>
      <c r="Q588" s="1769"/>
      <c r="R588" s="1769"/>
      <c r="S588" s="1769"/>
      <c r="T588" s="1769"/>
      <c r="U588" s="1769"/>
      <c r="V588" s="1769"/>
      <c r="W588" s="1769"/>
      <c r="X588" s="1769"/>
      <c r="Y588" s="1769"/>
      <c r="Z588" s="1769"/>
      <c r="AA588" s="1769"/>
      <c r="AB588" s="1769"/>
      <c r="AC588" s="1769"/>
      <c r="AD588" s="1769"/>
      <c r="AE588" s="1769"/>
      <c r="AF588" s="1769"/>
      <c r="AG588" s="1769"/>
      <c r="AH588" s="1769"/>
      <c r="AI588" s="1769"/>
      <c r="AJ588" s="1769"/>
      <c r="AK588" s="1769"/>
      <c r="AL588" s="1769"/>
      <c r="AM588" s="1769"/>
      <c r="AN588" s="1769"/>
      <c r="AO588" s="1769"/>
      <c r="AP588" s="1769"/>
      <c r="AQ588" s="1769"/>
      <c r="AR588" s="1769"/>
      <c r="AS588" s="1769"/>
      <c r="AT588" s="1769"/>
      <c r="AU588" s="1768"/>
      <c r="AV588" s="1768"/>
      <c r="AW588" s="1768"/>
      <c r="AX588" s="1768"/>
    </row>
    <row r="589" spans="1:72" s="1771" customFormat="1">
      <c r="C589" s="1772"/>
      <c r="D589" s="1772"/>
    </row>
    <row r="590" spans="1:72" s="1771" customFormat="1">
      <c r="C590" s="1772"/>
      <c r="D590" s="1772"/>
    </row>
    <row r="593" spans="2:2">
      <c r="B593" s="177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7"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05" t="s">
        <v>0</v>
      </c>
      <c r="B1" s="3305" t="s">
        <v>4</v>
      </c>
      <c r="C1" s="3305" t="s">
        <v>5</v>
      </c>
      <c r="D1" s="3306" t="s">
        <v>53</v>
      </c>
      <c r="E1" s="3306" t="s">
        <v>54</v>
      </c>
      <c r="F1" s="3306"/>
      <c r="G1" s="3306"/>
      <c r="H1" s="3306"/>
      <c r="I1" s="3306"/>
      <c r="J1" s="3306"/>
      <c r="K1" s="3306"/>
      <c r="L1" s="3306"/>
      <c r="M1" s="3306"/>
    </row>
    <row r="2" spans="1:13" ht="27" customHeight="1">
      <c r="A2" s="3305"/>
      <c r="B2" s="3305"/>
      <c r="C2" s="3305"/>
      <c r="D2" s="3306"/>
      <c r="E2" s="3306" t="s">
        <v>37</v>
      </c>
      <c r="F2" s="3306" t="s">
        <v>38</v>
      </c>
      <c r="G2" s="3306"/>
      <c r="H2" s="3306"/>
      <c r="I2" s="3306"/>
      <c r="J2" s="3306" t="s">
        <v>39</v>
      </c>
      <c r="K2" s="3306"/>
      <c r="L2" s="3306"/>
      <c r="M2" s="3306"/>
    </row>
    <row r="3" spans="1:13" ht="28.5">
      <c r="A3" s="3305"/>
      <c r="B3" s="3305"/>
      <c r="C3" s="3305"/>
      <c r="D3" s="3306"/>
      <c r="E3" s="330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06" t="s">
        <v>55</v>
      </c>
      <c r="B9" s="3306"/>
      <c r="C9" s="330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57" sqref="G57"/>
    </sheetView>
  </sheetViews>
  <sheetFormatPr defaultColWidth="9.25" defaultRowHeight="14.25"/>
  <cols>
    <col min="1" max="1" width="12.125" style="1774" customWidth="1"/>
    <col min="2" max="2" width="10.25" style="1774" customWidth="1"/>
    <col min="3" max="3" width="18.5" style="1774" customWidth="1"/>
    <col min="4" max="4" width="11.625" style="1774" customWidth="1"/>
    <col min="5" max="5" width="13.375" style="1774" customWidth="1"/>
    <col min="6" max="8" width="11.5" style="1774" customWidth="1"/>
    <col min="9" max="9" width="11.125" style="1774" customWidth="1"/>
    <col min="10" max="10" width="3.125" style="2826" customWidth="1"/>
    <col min="11" max="16" width="10" style="1774" customWidth="1"/>
    <col min="17" max="17" width="2.625" style="1774" customWidth="1"/>
    <col min="18" max="18" width="9.375" style="1774" bestFit="1" customWidth="1"/>
    <col min="19" max="19" width="10.5" style="1774" bestFit="1" customWidth="1"/>
    <col min="20" max="16384" width="9.25" style="1774"/>
  </cols>
  <sheetData>
    <row r="1" spans="1:16" ht="19.5" thickBot="1">
      <c r="A1" s="1773" t="s">
        <v>1574</v>
      </c>
      <c r="B1" s="1254"/>
      <c r="C1" s="1254"/>
      <c r="D1" s="1254"/>
      <c r="E1" s="1254"/>
      <c r="F1" s="1254"/>
      <c r="G1" s="1254"/>
      <c r="H1" s="1254"/>
      <c r="I1" s="1254"/>
      <c r="J1" s="1254"/>
      <c r="K1" s="1254"/>
      <c r="L1" s="1254"/>
      <c r="M1" s="1254"/>
      <c r="N1" s="1254"/>
      <c r="O1" s="1254"/>
      <c r="P1" s="1254"/>
    </row>
    <row r="2" spans="1:16" ht="15">
      <c r="A2" s="3316" t="s">
        <v>1575</v>
      </c>
      <c r="B2" s="3316"/>
      <c r="C2" s="3316"/>
      <c r="D2" s="885" t="s">
        <v>1551</v>
      </c>
      <c r="E2" s="1775" t="s">
        <v>1552</v>
      </c>
      <c r="F2" s="2836"/>
      <c r="G2" s="2827"/>
      <c r="H2" s="2828"/>
      <c r="I2" s="2499" t="s">
        <v>1576</v>
      </c>
      <c r="J2" s="2836"/>
      <c r="K2" s="2836"/>
      <c r="L2" s="2836"/>
      <c r="M2" s="2836"/>
      <c r="N2" s="2838"/>
      <c r="O2" s="2836"/>
      <c r="P2" s="2836"/>
    </row>
    <row r="3" spans="1:16" ht="15.75" thickBot="1">
      <c r="A3" s="3317" t="s">
        <v>1549</v>
      </c>
      <c r="B3" s="3317"/>
      <c r="C3" s="3317"/>
      <c r="D3" s="46">
        <f>'数据-基础表'!AY6</f>
        <v>0</v>
      </c>
      <c r="E3" s="46">
        <f>'数据-基础表'!AZ5</f>
        <v>6531.86</v>
      </c>
      <c r="F3" s="2836"/>
      <c r="G3" s="1260"/>
      <c r="H3" s="1138" t="s">
        <v>1550</v>
      </c>
      <c r="I3" s="945" t="e">
        <f>ROUND('数据-基础表'!B3/'数据-基础表'!A3,2)</f>
        <v>#DIV/0!</v>
      </c>
      <c r="J3" s="2836"/>
      <c r="K3" s="2836"/>
      <c r="L3" s="2836"/>
      <c r="M3" s="2836"/>
      <c r="N3" s="2838"/>
      <c r="O3" s="2836"/>
      <c r="P3" s="2836"/>
    </row>
    <row r="4" spans="1:16" ht="15">
      <c r="A4" s="3318"/>
      <c r="B4" s="3319"/>
      <c r="C4" s="3320"/>
      <c r="D4" s="1777" t="s">
        <v>1551</v>
      </c>
      <c r="E4" s="1778" t="s">
        <v>1552</v>
      </c>
      <c r="F4" s="2836"/>
      <c r="G4" s="2829" t="s">
        <v>1577</v>
      </c>
      <c r="H4" s="1138" t="s">
        <v>1557</v>
      </c>
      <c r="I4" s="945" t="e">
        <f>ROUND(SUMIF('数据-基础表'!I9:AS9,"地上",'数据-基础表'!I5:AS5)/'数据-基础表'!A3,2)</f>
        <v>#DIV/0!</v>
      </c>
      <c r="J4" s="2836"/>
      <c r="K4" s="2836"/>
      <c r="L4" s="2836"/>
      <c r="M4" s="2836"/>
      <c r="N4" s="2838"/>
      <c r="O4" s="2836"/>
      <c r="P4" s="2836"/>
    </row>
    <row r="5" spans="1:16">
      <c r="A5" s="47" t="s">
        <v>1553</v>
      </c>
      <c r="B5" s="3321" t="s">
        <v>1554</v>
      </c>
      <c r="C5" s="3321"/>
      <c r="D5" s="48">
        <f>ROUND($D$3*E5/$E$3,2)</f>
        <v>0</v>
      </c>
      <c r="E5" s="49">
        <f>SUMIF('数据-基础表'!$11:$11,"住宅",'数据-基础表'!$5:$5)</f>
        <v>0</v>
      </c>
      <c r="F5" s="2836"/>
      <c r="G5" s="1260"/>
      <c r="H5" s="1138" t="s">
        <v>1550</v>
      </c>
      <c r="I5" s="945" t="e">
        <f>ROUND(E31/D31,2)</f>
        <v>#DIV/0!</v>
      </c>
      <c r="J5" s="2836"/>
      <c r="K5" s="2836"/>
      <c r="L5" s="2836"/>
      <c r="M5" s="2836"/>
      <c r="N5" s="2836"/>
      <c r="O5" s="2836"/>
      <c r="P5" s="2836"/>
    </row>
    <row r="6" spans="1:16" ht="15" thickBot="1">
      <c r="A6" s="1780"/>
      <c r="B6" s="3321" t="s">
        <v>1555</v>
      </c>
      <c r="C6" s="3321"/>
      <c r="D6" s="48">
        <f>ROUND($D$3*E6/$E$3,2)</f>
        <v>0</v>
      </c>
      <c r="E6" s="49">
        <f>E3-E5</f>
        <v>6531.86</v>
      </c>
      <c r="F6" s="2836"/>
      <c r="G6" s="2830" t="s">
        <v>1556</v>
      </c>
      <c r="H6" s="1261" t="s">
        <v>1557</v>
      </c>
      <c r="I6" s="2831" t="e">
        <f>ROUND(F31/D31,2)</f>
        <v>#DIV/0!</v>
      </c>
      <c r="J6" s="2836"/>
      <c r="K6" s="2836"/>
      <c r="L6" s="2836"/>
      <c r="M6" s="2836"/>
      <c r="N6" s="2836"/>
      <c r="O6" s="2836"/>
      <c r="P6" s="2836"/>
    </row>
    <row r="7" spans="1:16" ht="15.75" thickBot="1">
      <c r="A7" s="3313"/>
      <c r="B7" s="3314"/>
      <c r="C7" s="3315"/>
      <c r="D7" s="1777" t="s">
        <v>1551</v>
      </c>
      <c r="E7" s="1781" t="s">
        <v>1558</v>
      </c>
      <c r="F7" s="2836"/>
      <c r="G7" s="2832" t="s">
        <v>1559</v>
      </c>
      <c r="H7" s="2833"/>
      <c r="I7" s="2834"/>
      <c r="J7" s="2836"/>
      <c r="K7" s="2836"/>
      <c r="L7" s="2836"/>
      <c r="M7" s="2836"/>
      <c r="N7" s="2836"/>
      <c r="O7" s="2836"/>
      <c r="P7" s="2836"/>
    </row>
    <row r="8" spans="1:16">
      <c r="A8" s="47" t="s">
        <v>1560</v>
      </c>
      <c r="B8" s="50" t="s">
        <v>1561</v>
      </c>
      <c r="C8" s="48" t="s">
        <v>1562</v>
      </c>
      <c r="D8" s="48">
        <f t="shared" ref="D8:D15" si="0">ROUND($D$3*E8/$E$3,2)</f>
        <v>0</v>
      </c>
      <c r="E8" s="51">
        <f>SUMIF('数据-基础表'!BB10:BK10,"地上",'数据-基础表'!BB5:BK5)</f>
        <v>5413.53</v>
      </c>
      <c r="F8" s="2836"/>
      <c r="G8" s="2837"/>
      <c r="H8" s="2837"/>
      <c r="I8" s="2836"/>
      <c r="J8" s="2836"/>
      <c r="K8" s="2836"/>
      <c r="L8" s="2836"/>
      <c r="M8" s="2836"/>
      <c r="N8" s="2836"/>
      <c r="O8" s="2836"/>
      <c r="P8" s="2836"/>
    </row>
    <row r="9" spans="1:16">
      <c r="A9" s="1782"/>
      <c r="B9" s="1783"/>
      <c r="C9" s="48" t="s">
        <v>1563</v>
      </c>
      <c r="D9" s="48">
        <f t="shared" si="0"/>
        <v>0</v>
      </c>
      <c r="E9" s="52">
        <v>0</v>
      </c>
      <c r="F9" s="2836"/>
      <c r="G9" s="2837"/>
      <c r="H9" s="2837"/>
      <c r="I9" s="2836"/>
      <c r="J9" s="2836"/>
      <c r="K9" s="2836"/>
      <c r="L9" s="2836"/>
      <c r="M9" s="2836"/>
      <c r="N9" s="2836"/>
      <c r="O9" s="2836"/>
      <c r="P9" s="2836"/>
    </row>
    <row r="10" spans="1:16">
      <c r="A10" s="1782"/>
      <c r="B10" s="1783"/>
      <c r="C10" s="48" t="s">
        <v>1572</v>
      </c>
      <c r="D10" s="48">
        <f t="shared" si="0"/>
        <v>0</v>
      </c>
      <c r="E10" s="51">
        <f>SUMPRODUCT(('数据-基础表'!BB10:BK10="地下")*('数据-基础表'!BB11:BK11="商业")*('数据-基础表'!BB5:BK5))</f>
        <v>0</v>
      </c>
      <c r="F10" s="2836"/>
      <c r="G10" s="2837"/>
      <c r="H10" s="2837"/>
      <c r="I10" s="2836"/>
      <c r="J10" s="2836"/>
      <c r="K10" s="2836"/>
      <c r="L10" s="2836"/>
      <c r="M10" s="2836"/>
      <c r="N10" s="2836"/>
      <c r="O10" s="2836"/>
      <c r="P10" s="2836"/>
    </row>
    <row r="11" spans="1:16">
      <c r="A11" s="1782"/>
      <c r="B11" s="1783"/>
      <c r="C11" s="48" t="s">
        <v>1564</v>
      </c>
      <c r="D11" s="48">
        <f t="shared" si="0"/>
        <v>0</v>
      </c>
      <c r="E11" s="51">
        <f>SUMPRODUCT(('数据-基础表'!BB10:BK10="地下")*('数据-基础表'!BB11:BK11="办公")*('数据-基础表'!BB5:BK5))+'数据-基础表'!BP5</f>
        <v>0</v>
      </c>
      <c r="F11" s="2836"/>
      <c r="G11" s="2837"/>
      <c r="H11" s="2837"/>
      <c r="I11" s="2836"/>
      <c r="J11" s="2836"/>
      <c r="K11" s="2836"/>
      <c r="L11" s="2836"/>
      <c r="M11" s="2836"/>
      <c r="N11" s="2836"/>
      <c r="O11" s="2836"/>
      <c r="P11" s="2836"/>
    </row>
    <row r="12" spans="1:16">
      <c r="A12" s="1782"/>
      <c r="B12" s="1783"/>
      <c r="C12" s="48" t="s">
        <v>1565</v>
      </c>
      <c r="D12" s="48">
        <f t="shared" si="0"/>
        <v>0</v>
      </c>
      <c r="E12" s="51">
        <f>SUMPRODUCT(('数据-基础表'!BB10:BK10="地下")*('数据-基础表'!BB11:BK11="仓储")*('数据-基础表'!BB5:BK5))</f>
        <v>0</v>
      </c>
      <c r="F12" s="2836"/>
      <c r="G12" s="2837"/>
      <c r="H12" s="2837"/>
      <c r="I12" s="2836"/>
      <c r="J12" s="2836"/>
      <c r="K12" s="2836"/>
      <c r="L12" s="2836"/>
      <c r="M12" s="2836"/>
      <c r="N12" s="2836"/>
      <c r="O12" s="2836"/>
      <c r="P12" s="2836"/>
    </row>
    <row r="13" spans="1:16">
      <c r="A13" s="1782"/>
      <c r="B13" s="1783"/>
      <c r="C13" s="48" t="s">
        <v>1566</v>
      </c>
      <c r="D13" s="48">
        <f t="shared" si="0"/>
        <v>0</v>
      </c>
      <c r="E13" s="51">
        <f>SUMPRODUCT(('数据-基础表'!BB10:BK10="地下")*('数据-基础表'!BB11:BK11="车库")*('数据-基础表'!BB5:BK5))</f>
        <v>0</v>
      </c>
      <c r="F13" s="2836"/>
      <c r="G13" s="2837"/>
      <c r="H13" s="2837"/>
      <c r="I13" s="2836"/>
      <c r="J13" s="2836"/>
      <c r="K13" s="2836"/>
      <c r="L13" s="2836"/>
      <c r="M13" s="2836"/>
      <c r="N13" s="2836"/>
      <c r="O13" s="2836"/>
      <c r="P13" s="2836"/>
    </row>
    <row r="14" spans="1:16">
      <c r="A14" s="1782"/>
      <c r="B14" s="1783"/>
      <c r="C14" s="48" t="s">
        <v>1578</v>
      </c>
      <c r="D14" s="48">
        <f t="shared" si="0"/>
        <v>0</v>
      </c>
      <c r="E14" s="51">
        <f>SUMPRODUCT(('数据-基础表'!BB10:BK10="地下")*('数据-基础表'!BB11:BK11="车库—商业")*('数据-基础表'!BB5:BK5))</f>
        <v>0</v>
      </c>
      <c r="F14" s="2836"/>
      <c r="G14" s="2837"/>
      <c r="H14" s="2837"/>
      <c r="I14" s="2836"/>
      <c r="J14" s="2836"/>
      <c r="K14" s="2836"/>
      <c r="L14" s="2836"/>
      <c r="M14" s="2836"/>
      <c r="N14" s="2836"/>
      <c r="O14" s="2836"/>
      <c r="P14" s="2836"/>
    </row>
    <row r="15" spans="1:16" ht="15" thickBot="1">
      <c r="A15" s="1782"/>
      <c r="B15" s="1783"/>
      <c r="C15" s="48" t="s">
        <v>1573</v>
      </c>
      <c r="D15" s="48">
        <f t="shared" si="0"/>
        <v>0</v>
      </c>
      <c r="E15" s="51">
        <f>SUMPRODUCT(('数据-基础表'!BB10:BK10="地下")*('数据-基础表'!BB11:BK11="车库—办公")*('数据-基础表'!BB5:BK5))</f>
        <v>0</v>
      </c>
      <c r="F15" s="2836"/>
      <c r="G15" s="2837"/>
      <c r="H15" s="2837"/>
      <c r="I15" s="2836"/>
      <c r="J15" s="2836"/>
      <c r="K15" s="2836"/>
      <c r="L15" s="2836"/>
      <c r="M15" s="2836"/>
      <c r="N15" s="2836"/>
      <c r="O15" s="2836"/>
      <c r="P15" s="2836"/>
    </row>
    <row r="16" spans="1:16" ht="15.75" thickBot="1">
      <c r="A16" s="1780"/>
      <c r="B16" s="1783"/>
      <c r="C16" s="50" t="s">
        <v>1567</v>
      </c>
      <c r="D16" s="50">
        <f>SUM(D8:D15)</f>
        <v>0</v>
      </c>
      <c r="E16" s="53">
        <f>SUM(E8:E15)</f>
        <v>5413.53</v>
      </c>
      <c r="F16" s="2836"/>
      <c r="G16" s="2837"/>
      <c r="H16" s="1784" t="s">
        <v>1579</v>
      </c>
      <c r="I16" s="1785"/>
      <c r="J16" s="1254"/>
      <c r="K16" s="3310" t="s">
        <v>1579</v>
      </c>
      <c r="L16" s="3311"/>
      <c r="M16" s="3311"/>
      <c r="N16" s="3311"/>
      <c r="O16" s="3311"/>
      <c r="P16" s="3312"/>
    </row>
    <row r="17" spans="1:19" ht="15">
      <c r="A17" s="1786" t="s">
        <v>1580</v>
      </c>
      <c r="B17" s="1787" t="s">
        <v>1581</v>
      </c>
      <c r="C17" s="1788" t="s">
        <v>1582</v>
      </c>
      <c r="D17" s="1789" t="s">
        <v>1570</v>
      </c>
      <c r="E17" s="1790" t="s">
        <v>1571</v>
      </c>
      <c r="F17" s="1791"/>
      <c r="G17" s="1792"/>
      <c r="H17" s="1793" t="s">
        <v>1583</v>
      </c>
      <c r="I17" s="1794" t="s">
        <v>1568</v>
      </c>
      <c r="J17" s="1254"/>
      <c r="K17" s="3307" t="s">
        <v>1584</v>
      </c>
      <c r="L17" s="3308"/>
      <c r="M17" s="3309"/>
      <c r="N17" s="3307" t="s">
        <v>1585</v>
      </c>
      <c r="O17" s="3308"/>
      <c r="P17" s="3309"/>
      <c r="R17" s="1776" t="s">
        <v>1586</v>
      </c>
      <c r="S17" s="60"/>
    </row>
    <row r="18" spans="1:19" ht="15">
      <c r="A18" s="1782"/>
      <c r="B18" s="1795"/>
      <c r="C18" s="1796"/>
      <c r="D18" s="1797"/>
      <c r="E18" s="1798" t="s">
        <v>1587</v>
      </c>
      <c r="F18" s="1799" t="s">
        <v>1588</v>
      </c>
      <c r="G18" s="1800" t="s">
        <v>1589</v>
      </c>
      <c r="H18" s="1153" t="s">
        <v>1590</v>
      </c>
      <c r="I18" s="1801" t="s">
        <v>1591</v>
      </c>
      <c r="J18" s="1254"/>
      <c r="K18" s="1153" t="s">
        <v>1592</v>
      </c>
      <c r="L18" s="1802" t="s">
        <v>1593</v>
      </c>
      <c r="M18" s="945" t="s">
        <v>1594</v>
      </c>
      <c r="N18" s="1153" t="s">
        <v>1592</v>
      </c>
      <c r="O18" s="1802" t="s">
        <v>1593</v>
      </c>
      <c r="P18" s="945" t="s">
        <v>1594</v>
      </c>
      <c r="R18" s="1138" t="s">
        <v>1595</v>
      </c>
      <c r="S18" s="1138" t="s">
        <v>1596</v>
      </c>
    </row>
    <row r="19" spans="1:19">
      <c r="A19" s="1803"/>
      <c r="B19" s="50" t="s">
        <v>1569</v>
      </c>
      <c r="C19" s="3231" t="s">
        <v>3182</v>
      </c>
      <c r="D19" s="48">
        <f>ROUND($D$3*E19/$E$3,2)</f>
        <v>0</v>
      </c>
      <c r="E19" s="56">
        <f t="shared" ref="E19:E26" si="1">SUM(F19:G19)</f>
        <v>5413.53</v>
      </c>
      <c r="F19" s="2976">
        <f>'数据-基础表'!I13</f>
        <v>5413.53</v>
      </c>
      <c r="G19" s="2977"/>
      <c r="H19" s="679">
        <f>ROUND($D$3*I19/$E$3,2)</f>
        <v>0</v>
      </c>
      <c r="I19" s="51">
        <f t="shared" ref="I19:I26" si="2">IF($I$17="自定义",P19,M19)</f>
        <v>1118.33</v>
      </c>
      <c r="J19" s="1254"/>
      <c r="K19" s="1253">
        <f t="shared" ref="K19:K26" si="3">ROUND(E$28*E19/E$27,2)</f>
        <v>1118.33</v>
      </c>
      <c r="L19" s="1138">
        <f t="shared" ref="L19:L26" si="4">ROUND(IF(COUNTIF(C19,"*住宅*")&gt;0,E$29*E19/E$32,0),2)</f>
        <v>0</v>
      </c>
      <c r="M19" s="1265">
        <f>K19+L19</f>
        <v>1118.33</v>
      </c>
      <c r="N19" s="1805"/>
      <c r="O19" s="1806"/>
      <c r="P19" s="1265">
        <f>N19+O19</f>
        <v>0</v>
      </c>
      <c r="R19" s="1138">
        <f t="shared" ref="R19:S26" si="5">D19+H19</f>
        <v>0</v>
      </c>
      <c r="S19" s="1139">
        <f t="shared" si="5"/>
        <v>6531.86</v>
      </c>
    </row>
    <row r="20" spans="1:19">
      <c r="A20" s="1807"/>
      <c r="B20" s="50" t="s">
        <v>1597</v>
      </c>
      <c r="C20" s="1804"/>
      <c r="D20" s="48">
        <f t="shared" ref="D20:D26" si="6">ROUND($D$3*E20/$E$3,2)</f>
        <v>0</v>
      </c>
      <c r="E20" s="56">
        <f t="shared" si="1"/>
        <v>0</v>
      </c>
      <c r="F20" s="2976"/>
      <c r="G20" s="2977"/>
      <c r="H20" s="679">
        <f t="shared" ref="H20:H26" si="7">ROUND($D$3*I20/$E$3,2)</f>
        <v>0</v>
      </c>
      <c r="I20" s="51">
        <f t="shared" si="2"/>
        <v>0</v>
      </c>
      <c r="J20" s="1254"/>
      <c r="K20" s="1253">
        <f t="shared" si="3"/>
        <v>0</v>
      </c>
      <c r="L20" s="1138">
        <f t="shared" si="4"/>
        <v>0</v>
      </c>
      <c r="M20" s="1265">
        <f t="shared" ref="M20:M26" si="8">K20+L20</f>
        <v>0</v>
      </c>
      <c r="N20" s="1805"/>
      <c r="O20" s="1806"/>
      <c r="P20" s="1265">
        <f t="shared" ref="P20:P26" si="9">N20+O20</f>
        <v>0</v>
      </c>
      <c r="R20" s="1138">
        <f t="shared" si="5"/>
        <v>0</v>
      </c>
      <c r="S20" s="1139">
        <f t="shared" si="5"/>
        <v>0</v>
      </c>
    </row>
    <row r="21" spans="1:19">
      <c r="A21" s="1807"/>
      <c r="B21" s="50" t="s">
        <v>1597</v>
      </c>
      <c r="C21" s="1804"/>
      <c r="D21" s="48">
        <f t="shared" si="6"/>
        <v>0</v>
      </c>
      <c r="E21" s="56">
        <f t="shared" si="1"/>
        <v>0</v>
      </c>
      <c r="F21" s="2976"/>
      <c r="G21" s="2977"/>
      <c r="H21" s="679">
        <f t="shared" si="7"/>
        <v>0</v>
      </c>
      <c r="I21" s="51">
        <f t="shared" si="2"/>
        <v>0</v>
      </c>
      <c r="J21" s="1254"/>
      <c r="K21" s="1253">
        <f t="shared" si="3"/>
        <v>0</v>
      </c>
      <c r="L21" s="1138">
        <f t="shared" si="4"/>
        <v>0</v>
      </c>
      <c r="M21" s="1265">
        <f t="shared" si="8"/>
        <v>0</v>
      </c>
      <c r="N21" s="1805"/>
      <c r="O21" s="1806"/>
      <c r="P21" s="1265">
        <f t="shared" si="9"/>
        <v>0</v>
      </c>
      <c r="R21" s="1138">
        <f t="shared" si="5"/>
        <v>0</v>
      </c>
      <c r="S21" s="1139">
        <f t="shared" si="5"/>
        <v>0</v>
      </c>
    </row>
    <row r="22" spans="1:19">
      <c r="A22" s="1807"/>
      <c r="B22" s="50" t="s">
        <v>1597</v>
      </c>
      <c r="C22" s="58"/>
      <c r="D22" s="48">
        <f t="shared" si="6"/>
        <v>0</v>
      </c>
      <c r="E22" s="56">
        <f t="shared" si="1"/>
        <v>0</v>
      </c>
      <c r="F22" s="2978"/>
      <c r="G22" s="2979"/>
      <c r="H22" s="679">
        <f t="shared" si="7"/>
        <v>0</v>
      </c>
      <c r="I22" s="51">
        <f t="shared" si="2"/>
        <v>0</v>
      </c>
      <c r="J22" s="1254"/>
      <c r="K22" s="1253">
        <f t="shared" si="3"/>
        <v>0</v>
      </c>
      <c r="L22" s="1138">
        <f t="shared" si="4"/>
        <v>0</v>
      </c>
      <c r="M22" s="1265">
        <f t="shared" si="8"/>
        <v>0</v>
      </c>
      <c r="N22" s="1805"/>
      <c r="O22" s="1806"/>
      <c r="P22" s="1265">
        <f t="shared" si="9"/>
        <v>0</v>
      </c>
      <c r="R22" s="1138">
        <f t="shared" si="5"/>
        <v>0</v>
      </c>
      <c r="S22" s="1139">
        <f t="shared" si="5"/>
        <v>0</v>
      </c>
    </row>
    <row r="23" spans="1:19">
      <c r="A23" s="1807"/>
      <c r="B23" s="50" t="s">
        <v>1597</v>
      </c>
      <c r="C23" s="58"/>
      <c r="D23" s="48">
        <f>ROUND($D$3*E23/$E$3,2)</f>
        <v>0</v>
      </c>
      <c r="E23" s="56">
        <f>SUM(F23:G23)</f>
        <v>0</v>
      </c>
      <c r="F23" s="2978"/>
      <c r="G23" s="2979"/>
      <c r="H23" s="679">
        <f>ROUND($D$3*I23/$E$3,2)</f>
        <v>0</v>
      </c>
      <c r="I23" s="51">
        <f t="shared" si="2"/>
        <v>0</v>
      </c>
      <c r="J23" s="1254"/>
      <c r="K23" s="1253">
        <f t="shared" si="3"/>
        <v>0</v>
      </c>
      <c r="L23" s="1138">
        <f t="shared" si="4"/>
        <v>0</v>
      </c>
      <c r="M23" s="1265">
        <f t="shared" si="8"/>
        <v>0</v>
      </c>
      <c r="N23" s="1805"/>
      <c r="O23" s="1806"/>
      <c r="P23" s="1265">
        <f t="shared" si="9"/>
        <v>0</v>
      </c>
      <c r="R23" s="1138">
        <f t="shared" si="5"/>
        <v>0</v>
      </c>
      <c r="S23" s="1139">
        <f t="shared" si="5"/>
        <v>0</v>
      </c>
    </row>
    <row r="24" spans="1:19">
      <c r="A24" s="1807"/>
      <c r="B24" s="50" t="s">
        <v>1597</v>
      </c>
      <c r="C24" s="58"/>
      <c r="D24" s="48">
        <f>ROUND($D$3*E24/$E$3,2)</f>
        <v>0</v>
      </c>
      <c r="E24" s="56">
        <f>SUM(F24:G24)</f>
        <v>0</v>
      </c>
      <c r="F24" s="2978"/>
      <c r="G24" s="2979"/>
      <c r="H24" s="679">
        <f>ROUND($D$3*I24/$E$3,2)</f>
        <v>0</v>
      </c>
      <c r="I24" s="51">
        <f t="shared" si="2"/>
        <v>0</v>
      </c>
      <c r="J24" s="1254"/>
      <c r="K24" s="1253">
        <f t="shared" si="3"/>
        <v>0</v>
      </c>
      <c r="L24" s="1138">
        <f t="shared" si="4"/>
        <v>0</v>
      </c>
      <c r="M24" s="1265">
        <f t="shared" si="8"/>
        <v>0</v>
      </c>
      <c r="N24" s="1805"/>
      <c r="O24" s="1806"/>
      <c r="P24" s="1265">
        <f t="shared" si="9"/>
        <v>0</v>
      </c>
      <c r="R24" s="1138">
        <f t="shared" si="5"/>
        <v>0</v>
      </c>
      <c r="S24" s="1139">
        <f t="shared" si="5"/>
        <v>0</v>
      </c>
    </row>
    <row r="25" spans="1:19">
      <c r="A25" s="1807"/>
      <c r="B25" s="50" t="s">
        <v>1597</v>
      </c>
      <c r="C25" s="58"/>
      <c r="D25" s="48">
        <f t="shared" si="6"/>
        <v>0</v>
      </c>
      <c r="E25" s="56">
        <f t="shared" si="1"/>
        <v>0</v>
      </c>
      <c r="F25" s="2978"/>
      <c r="G25" s="2979"/>
      <c r="H25" s="47">
        <f t="shared" si="7"/>
        <v>0</v>
      </c>
      <c r="I25" s="51">
        <f t="shared" si="2"/>
        <v>0</v>
      </c>
      <c r="J25" s="1254"/>
      <c r="K25" s="1253">
        <f t="shared" si="3"/>
        <v>0</v>
      </c>
      <c r="L25" s="1138">
        <f t="shared" si="4"/>
        <v>0</v>
      </c>
      <c r="M25" s="1265">
        <f t="shared" si="8"/>
        <v>0</v>
      </c>
      <c r="N25" s="1805"/>
      <c r="O25" s="1806"/>
      <c r="P25" s="1265">
        <f t="shared" si="9"/>
        <v>0</v>
      </c>
      <c r="R25" s="1138">
        <f t="shared" si="5"/>
        <v>0</v>
      </c>
      <c r="S25" s="1139">
        <f t="shared" si="5"/>
        <v>0</v>
      </c>
    </row>
    <row r="26" spans="1:19">
      <c r="A26" s="1807"/>
      <c r="B26" s="50" t="s">
        <v>1597</v>
      </c>
      <c r="C26" s="59"/>
      <c r="D26" s="48">
        <f t="shared" si="6"/>
        <v>0</v>
      </c>
      <c r="E26" s="56">
        <f t="shared" si="1"/>
        <v>0</v>
      </c>
      <c r="F26" s="2978"/>
      <c r="G26" s="2979"/>
      <c r="H26" s="47">
        <f t="shared" si="7"/>
        <v>0</v>
      </c>
      <c r="I26" s="51">
        <f t="shared" si="2"/>
        <v>0</v>
      </c>
      <c r="J26" s="1254"/>
      <c r="K26" s="1260">
        <f t="shared" si="3"/>
        <v>0</v>
      </c>
      <c r="L26" s="1261">
        <f t="shared" si="4"/>
        <v>0</v>
      </c>
      <c r="M26" s="63">
        <f t="shared" si="8"/>
        <v>0</v>
      </c>
      <c r="N26" s="1808"/>
      <c r="O26" s="1809"/>
      <c r="P26" s="63">
        <f t="shared" si="9"/>
        <v>0</v>
      </c>
      <c r="R26" s="1138">
        <f t="shared" si="5"/>
        <v>0</v>
      </c>
      <c r="S26" s="1139">
        <f t="shared" si="5"/>
        <v>0</v>
      </c>
    </row>
    <row r="27" spans="1:19" ht="15.75" thickBot="1">
      <c r="A27" s="1807"/>
      <c r="B27" s="48"/>
      <c r="C27" s="1810" t="s">
        <v>1598</v>
      </c>
      <c r="D27" s="1255">
        <f>SUM(D19:D26)</f>
        <v>0</v>
      </c>
      <c r="E27" s="1256">
        <f>IF(SUM(E19:E26)='数据-基础表'!BA5,SUM(E19:E26),IF(F27="地上面积有误","面积有误","地下面积有误"))</f>
        <v>5413.53</v>
      </c>
      <c r="F27" s="1255">
        <f>IF(SUM(F19:F26)=E8,SUM(F19:F26),"地上面积有误")</f>
        <v>5413.53</v>
      </c>
      <c r="G27" s="1257">
        <f>SUM(G19:G26)</f>
        <v>0</v>
      </c>
      <c r="H27" s="1258">
        <f>SUM(H19:H26)</f>
        <v>0</v>
      </c>
      <c r="I27" s="1259">
        <f>SUM(I19:I26)</f>
        <v>1118.33</v>
      </c>
      <c r="J27" s="1254"/>
      <c r="K27" s="1262">
        <f>SUM(K19:K26)</f>
        <v>1118.33</v>
      </c>
      <c r="L27" s="1263">
        <f>SUM(L19:L26)</f>
        <v>0</v>
      </c>
      <c r="M27" s="1266">
        <f>SUM(M19:M26)</f>
        <v>1118.33</v>
      </c>
      <c r="N27" s="1262">
        <f t="shared" ref="N27:O27" si="10">SUM(N19:N26)</f>
        <v>0</v>
      </c>
      <c r="O27" s="1263">
        <f t="shared" si="10"/>
        <v>0</v>
      </c>
      <c r="P27" s="1264">
        <f>SUM(P19:P26)</f>
        <v>0</v>
      </c>
      <c r="R27" s="1140">
        <f>IF(SUM(R19:R26)=$D$3,SUM(R19:R26),SUM(R19:R26)&amp;"误差"&amp;ROUND(SUM(R19:R26)-$D$3,2))</f>
        <v>0</v>
      </c>
      <c r="S27" s="1138">
        <f>IF(SUM(S19:S26)=$E$3,SUM(S19:S26),SUM(S19:S26)&amp;"误差"&amp;ROUND(SUM(S19:S26)-E3,2))</f>
        <v>6531.86</v>
      </c>
    </row>
    <row r="28" spans="1:19">
      <c r="A28" s="1807"/>
      <c r="B28" s="50" t="s">
        <v>1599</v>
      </c>
      <c r="C28" s="1150" t="s">
        <v>1600</v>
      </c>
      <c r="D28" s="48">
        <f>ROUND($D$3*E28/$E$3,2)</f>
        <v>0</v>
      </c>
      <c r="E28" s="56">
        <f>SUM(F28:G28)</f>
        <v>1118.33</v>
      </c>
      <c r="F28" s="60">
        <f>'数据-基础表'!BQ5+'数据-基础表'!BS5</f>
        <v>0</v>
      </c>
      <c r="G28" s="61">
        <f>'数据-基础表'!BR5+'数据-基础表'!BT5</f>
        <v>1118.33</v>
      </c>
      <c r="H28" s="2836"/>
      <c r="I28" s="2836"/>
      <c r="J28" s="2836"/>
      <c r="K28" s="2836"/>
      <c r="L28" s="2836"/>
      <c r="M28" s="2836"/>
      <c r="N28" s="2836"/>
      <c r="O28" s="2836"/>
      <c r="P28" s="2836"/>
    </row>
    <row r="29" spans="1:19">
      <c r="A29" s="1807"/>
      <c r="B29" s="50" t="s">
        <v>1599</v>
      </c>
      <c r="C29" s="1811" t="s">
        <v>1601</v>
      </c>
      <c r="D29" s="48">
        <f>ROUND($D$3*E29/$E$3,2)</f>
        <v>0</v>
      </c>
      <c r="E29" s="56">
        <f>SUM(F29:G29)</f>
        <v>0</v>
      </c>
      <c r="F29" s="62">
        <f>'数据-基础表'!BM5+'数据-基础表'!BO5</f>
        <v>0</v>
      </c>
      <c r="G29" s="63">
        <f>'数据-基础表'!BN5+'数据-基础表'!BP5</f>
        <v>0</v>
      </c>
      <c r="H29" s="2836"/>
      <c r="I29" s="2836"/>
      <c r="J29" s="2836"/>
      <c r="K29" s="2836"/>
      <c r="L29" s="2836"/>
      <c r="M29" s="2836"/>
      <c r="N29" s="2836"/>
      <c r="O29" s="2836"/>
      <c r="P29" s="2836"/>
    </row>
    <row r="30" spans="1:19" ht="15">
      <c r="A30" s="1807"/>
      <c r="B30" s="50"/>
      <c r="C30" s="1812" t="s">
        <v>1598</v>
      </c>
      <c r="D30" s="1255">
        <f>SUM(D28:D29)</f>
        <v>0</v>
      </c>
      <c r="E30" s="1255">
        <f>SUM(E28:E29)</f>
        <v>1118.33</v>
      </c>
      <c r="F30" s="1255">
        <f>SUM(F28:F29)</f>
        <v>0</v>
      </c>
      <c r="G30" s="1257">
        <f>SUM(G28:G29)</f>
        <v>1118.33</v>
      </c>
      <c r="H30" s="2836"/>
      <c r="I30" s="2836"/>
      <c r="J30" s="2836"/>
      <c r="K30" s="2836"/>
      <c r="L30" s="2836"/>
      <c r="M30" s="2836"/>
      <c r="N30" s="2836"/>
      <c r="O30" s="2836"/>
      <c r="P30" s="2836"/>
    </row>
    <row r="31" spans="1:19" ht="15.75" thickBot="1">
      <c r="A31" s="1813"/>
      <c r="B31" s="1814"/>
      <c r="C31" s="925" t="s">
        <v>1602</v>
      </c>
      <c r="D31" s="685">
        <f>D27+D30</f>
        <v>0</v>
      </c>
      <c r="E31" s="685">
        <f>E27+E30</f>
        <v>6531.86</v>
      </c>
      <c r="F31" s="686">
        <f>F27+F30</f>
        <v>5413.53</v>
      </c>
      <c r="G31" s="687">
        <f>G27+G30</f>
        <v>1118.33</v>
      </c>
      <c r="H31" s="2836"/>
      <c r="I31" s="2836"/>
      <c r="J31" s="2836"/>
      <c r="K31" s="2836"/>
      <c r="L31" s="2836"/>
      <c r="M31" s="2836"/>
      <c r="N31" s="2836"/>
      <c r="O31" s="2836"/>
      <c r="P31" s="2836"/>
    </row>
    <row r="32" spans="1:19">
      <c r="A32" s="1779"/>
      <c r="B32" s="1779" t="s">
        <v>1603</v>
      </c>
      <c r="C32" s="1779"/>
      <c r="D32" s="1779"/>
      <c r="E32" s="1165">
        <f>SUMIF(C19:C26,"*住宅*",E19:E26)</f>
        <v>0</v>
      </c>
      <c r="F32" s="1779"/>
      <c r="G32" s="1779"/>
      <c r="H32" s="2836"/>
      <c r="I32" s="2836"/>
      <c r="J32" s="2836"/>
      <c r="K32" s="2836"/>
      <c r="L32" s="2836"/>
      <c r="M32" s="2836"/>
      <c r="N32" s="2836"/>
      <c r="O32" s="2836"/>
      <c r="P32" s="2836"/>
    </row>
    <row r="33" spans="4:4">
      <c r="D33" s="181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5"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D6" activePane="bottomRight" state="frozen"/>
      <selection activeCell="C50" sqref="C50"/>
      <selection pane="topRight" activeCell="C50" sqref="C50"/>
      <selection pane="bottomLeft" activeCell="C50" sqref="C50"/>
      <selection pane="bottomRight" activeCell="P21" sqref="P21"/>
    </sheetView>
  </sheetViews>
  <sheetFormatPr defaultColWidth="13.75" defaultRowHeight="12.75"/>
  <cols>
    <col min="1" max="1" width="20.875" style="1882" customWidth="1"/>
    <col min="2" max="2" width="12" style="1819" customWidth="1"/>
    <col min="3" max="3" width="12.75" style="1819" customWidth="1"/>
    <col min="4" max="4" width="9.125" style="1883" customWidth="1"/>
    <col min="5" max="5" width="15" style="1819" bestFit="1" customWidth="1"/>
    <col min="6" max="10" width="8.875" style="1819" customWidth="1"/>
    <col min="11" max="12" width="12.375" style="1737" customWidth="1"/>
    <col min="13" max="13" width="8.625" style="1819" customWidth="1"/>
    <col min="14" max="14" width="11.875" style="1819" customWidth="1"/>
    <col min="15" max="15" width="8.5" style="1819" customWidth="1"/>
    <col min="16" max="17" width="10.875" style="1819" customWidth="1"/>
    <col min="18" max="19" width="12.5" style="1819" customWidth="1"/>
    <col min="20" max="20" width="12.125" style="1819" customWidth="1"/>
    <col min="21" max="21" width="7.5" style="1819" customWidth="1"/>
    <col min="22" max="22" width="6.375" style="1819" customWidth="1"/>
    <col min="23" max="30" width="6.75" style="1819" customWidth="1"/>
    <col min="31" max="31" width="8" style="1819" customWidth="1"/>
    <col min="32" max="34" width="7.25" style="1819" customWidth="1"/>
    <col min="35" max="39" width="8" style="1819" customWidth="1"/>
    <col min="40" max="40" width="13.75" style="1818"/>
    <col min="41" max="41" width="11.625" style="1818" customWidth="1"/>
    <col min="42" max="42" width="9.75" style="1818" customWidth="1"/>
    <col min="43" max="67" width="13.75" style="1818"/>
    <col min="68" max="16384" width="13.75" style="1819"/>
  </cols>
  <sheetData>
    <row r="1" spans="1:67" ht="19.5" thickBot="1">
      <c r="A1" s="1816" t="s">
        <v>1604</v>
      </c>
      <c r="B1" s="688"/>
      <c r="C1" s="1306"/>
      <c r="D1" s="1817"/>
      <c r="E1" s="1306"/>
      <c r="F1" s="1306"/>
      <c r="G1" s="1306"/>
      <c r="H1" s="1306"/>
      <c r="I1" s="1306"/>
      <c r="J1" s="1306"/>
      <c r="K1" s="164"/>
      <c r="L1" s="164"/>
      <c r="M1" s="1306"/>
      <c r="N1" s="1306"/>
      <c r="O1" s="1306"/>
      <c r="P1" s="1306"/>
      <c r="Q1" s="1306"/>
      <c r="R1" s="1306"/>
      <c r="S1" s="1306"/>
      <c r="T1" s="1306"/>
      <c r="U1" s="1306"/>
      <c r="V1" s="1306"/>
      <c r="W1" s="1306"/>
      <c r="X1" s="1306"/>
      <c r="Y1" s="1306"/>
      <c r="Z1" s="1306"/>
      <c r="AA1" s="1306"/>
      <c r="AB1" s="1306"/>
      <c r="AC1" s="1306"/>
      <c r="AD1" s="1306"/>
      <c r="AE1" s="1306"/>
      <c r="AF1" s="1306"/>
      <c r="AG1" s="1306"/>
      <c r="AH1" s="1306"/>
      <c r="AI1" s="1306"/>
      <c r="AJ1" s="1306"/>
      <c r="AK1" s="1306"/>
      <c r="AL1" s="1306"/>
      <c r="AM1" s="1306"/>
      <c r="AN1" s="2850"/>
      <c r="AO1" s="2850"/>
      <c r="AP1" s="2850"/>
      <c r="AQ1" s="2850"/>
      <c r="AR1" s="2850"/>
    </row>
    <row r="2" spans="1:67" s="1695" customFormat="1" ht="15.75" thickBot="1">
      <c r="A2" s="1820" t="s">
        <v>1605</v>
      </c>
      <c r="B2" s="1157">
        <f>项目基本情况!D3</f>
        <v>44869</v>
      </c>
      <c r="C2" s="1821"/>
      <c r="D2" s="1822"/>
      <c r="E2" s="1821"/>
      <c r="F2" s="1821"/>
      <c r="G2" s="1821"/>
      <c r="H2" s="1821"/>
      <c r="I2" s="1821"/>
      <c r="J2" s="1821"/>
      <c r="K2" s="1283"/>
      <c r="L2" s="1283"/>
      <c r="M2" s="1821"/>
      <c r="N2" s="1821"/>
      <c r="O2" s="1821"/>
      <c r="P2" s="1821"/>
      <c r="Q2" s="1821"/>
      <c r="R2" s="1821"/>
      <c r="S2" s="1821"/>
      <c r="T2" s="1821"/>
      <c r="U2" s="1821"/>
      <c r="V2" s="1821"/>
      <c r="W2" s="1821"/>
      <c r="X2" s="1821"/>
      <c r="Y2" s="1821"/>
      <c r="Z2" s="1821"/>
      <c r="AA2" s="1821"/>
      <c r="AB2" s="1821"/>
      <c r="AC2" s="1821"/>
      <c r="AD2" s="1821"/>
      <c r="AE2" s="1821"/>
      <c r="AF2" s="1821"/>
      <c r="AG2" s="1821"/>
      <c r="AH2" s="1821"/>
      <c r="AI2" s="1821"/>
      <c r="AJ2" s="1821"/>
      <c r="AK2" s="1821"/>
      <c r="AL2" s="1821"/>
      <c r="AM2" s="1821"/>
      <c r="AN2" s="2852"/>
      <c r="AO2" s="2852"/>
      <c r="AP2" s="2852"/>
      <c r="AQ2" s="2852"/>
      <c r="AR2" s="2852"/>
      <c r="AS2" s="1823"/>
      <c r="AT2" s="1823"/>
      <c r="AU2" s="1823"/>
      <c r="AV2" s="1823"/>
      <c r="AW2" s="1823"/>
      <c r="AX2" s="1823"/>
      <c r="AY2" s="1823"/>
      <c r="AZ2" s="1823"/>
      <c r="BA2" s="1823"/>
      <c r="BB2" s="1823"/>
      <c r="BC2" s="1823"/>
      <c r="BD2" s="1823"/>
      <c r="BE2" s="1823"/>
      <c r="BF2" s="1823"/>
      <c r="BG2" s="1823"/>
      <c r="BH2" s="1823"/>
      <c r="BI2" s="1823"/>
      <c r="BJ2" s="1823"/>
      <c r="BK2" s="1823"/>
      <c r="BL2" s="1823"/>
      <c r="BM2" s="1823"/>
      <c r="BN2" s="1823"/>
      <c r="BO2" s="1823"/>
    </row>
    <row r="3" spans="1:67" s="1695" customFormat="1" ht="15" thickBot="1">
      <c r="A3" s="1693"/>
      <c r="B3" s="1824"/>
      <c r="C3" s="1821"/>
      <c r="D3" s="1822"/>
      <c r="E3" s="1821"/>
      <c r="F3" s="1821"/>
      <c r="G3" s="1821"/>
      <c r="H3" s="1821"/>
      <c r="I3" s="1821"/>
      <c r="J3" s="1821"/>
      <c r="K3" s="1283"/>
      <c r="L3" s="1283"/>
      <c r="M3" s="1821"/>
      <c r="N3" s="1821"/>
      <c r="O3" s="1821"/>
      <c r="P3" s="1821"/>
      <c r="Q3" s="1821"/>
      <c r="R3" s="1821"/>
      <c r="S3" s="1821"/>
      <c r="T3" s="1821"/>
      <c r="U3" s="1821"/>
      <c r="V3" s="1821"/>
      <c r="W3" s="1821"/>
      <c r="X3" s="1821"/>
      <c r="Y3" s="1821"/>
      <c r="Z3" s="1821"/>
      <c r="AA3" s="1821"/>
      <c r="AB3" s="1821"/>
      <c r="AC3" s="1821"/>
      <c r="AD3" s="1821"/>
      <c r="AE3" s="1821"/>
      <c r="AF3" s="1821"/>
      <c r="AG3" s="1821"/>
      <c r="AH3" s="1821"/>
      <c r="AI3" s="1821"/>
      <c r="AJ3" s="1821"/>
      <c r="AK3" s="1821"/>
      <c r="AL3" s="1821"/>
      <c r="AM3" s="1821"/>
      <c r="AN3" s="2852"/>
      <c r="AO3" s="2852"/>
      <c r="AP3" s="2852"/>
      <c r="AQ3" s="2852"/>
      <c r="AR3" s="2852"/>
      <c r="AS3" s="1823"/>
      <c r="AT3" s="1823"/>
      <c r="AU3" s="1823"/>
      <c r="AV3" s="1823"/>
      <c r="AW3" s="1823"/>
      <c r="AX3" s="1823"/>
      <c r="AY3" s="1823"/>
      <c r="AZ3" s="1823"/>
      <c r="BA3" s="1823"/>
      <c r="BB3" s="1823"/>
      <c r="BC3" s="1823"/>
      <c r="BD3" s="1823"/>
      <c r="BE3" s="1823"/>
      <c r="BF3" s="1823"/>
      <c r="BG3" s="1823"/>
      <c r="BH3" s="1823"/>
      <c r="BI3" s="1823"/>
      <c r="BJ3" s="1823"/>
      <c r="BK3" s="1823"/>
      <c r="BL3" s="1823"/>
      <c r="BM3" s="1823"/>
      <c r="BN3" s="1823"/>
      <c r="BO3" s="1823"/>
    </row>
    <row r="4" spans="1:67" s="1695" customFormat="1" ht="15" thickBot="1">
      <c r="A4" s="64" t="s">
        <v>1606</v>
      </c>
      <c r="B4" s="1825"/>
      <c r="C4" s="1826"/>
      <c r="D4" s="1827"/>
      <c r="E4" s="1826" t="s">
        <v>1607</v>
      </c>
      <c r="F4" s="1826"/>
      <c r="G4" s="1826"/>
      <c r="H4" s="1826"/>
      <c r="I4" s="1826"/>
      <c r="J4" s="1828"/>
      <c r="K4" s="1829"/>
      <c r="L4" s="1830"/>
      <c r="M4" s="1826"/>
      <c r="N4" s="1826" t="s">
        <v>1608</v>
      </c>
      <c r="O4" s="1826"/>
      <c r="P4" s="1826"/>
      <c r="Q4" s="1826"/>
      <c r="R4" s="1826"/>
      <c r="S4" s="1828"/>
      <c r="T4" s="2835" t="str">
        <f>'数据-汇总表'!I17</f>
        <v>按面积比例</v>
      </c>
      <c r="U4" s="1825" t="s">
        <v>1609</v>
      </c>
      <c r="V4" s="1826"/>
      <c r="W4" s="1826"/>
      <c r="X4" s="1826"/>
      <c r="Y4" s="1828"/>
      <c r="Z4" s="1788" t="s">
        <v>1610</v>
      </c>
      <c r="AA4" s="1788"/>
      <c r="AB4" s="1788"/>
      <c r="AC4" s="1788"/>
      <c r="AD4" s="1788"/>
      <c r="AE4" s="1786" t="s">
        <v>1611</v>
      </c>
      <c r="AF4" s="1788"/>
      <c r="AG4" s="1831"/>
      <c r="AH4" s="1825"/>
      <c r="AI4" s="1826"/>
      <c r="AJ4" s="1826"/>
      <c r="AK4" s="1826"/>
      <c r="AL4" s="1826"/>
      <c r="AM4" s="1828"/>
      <c r="AN4" s="2852"/>
      <c r="AO4" s="2852"/>
      <c r="AP4" s="2852"/>
      <c r="AQ4" s="2852"/>
      <c r="AR4" s="2852"/>
      <c r="AS4" s="1823"/>
      <c r="AT4" s="1823"/>
      <c r="AU4" s="1823"/>
      <c r="AV4" s="1823"/>
      <c r="AW4" s="1823"/>
      <c r="AX4" s="1823"/>
      <c r="AY4" s="1823"/>
      <c r="AZ4" s="1823"/>
      <c r="BA4" s="1823"/>
      <c r="BB4" s="1823"/>
      <c r="BC4" s="1823"/>
      <c r="BD4" s="1823"/>
      <c r="BE4" s="1823"/>
      <c r="BF4" s="1823"/>
      <c r="BG4" s="1823"/>
      <c r="BH4" s="1823"/>
      <c r="BI4" s="1823"/>
      <c r="BJ4" s="1823"/>
      <c r="BK4" s="1823"/>
      <c r="BL4" s="1823"/>
      <c r="BM4" s="1823"/>
      <c r="BN4" s="1823"/>
      <c r="BO4" s="1823"/>
    </row>
    <row r="5" spans="1:67" s="1696" customFormat="1" ht="42">
      <c r="A5" s="1832" t="s">
        <v>1612</v>
      </c>
      <c r="B5" s="1833" t="s">
        <v>1613</v>
      </c>
      <c r="C5" s="1834" t="s">
        <v>1614</v>
      </c>
      <c r="D5" s="1835" t="s">
        <v>1615</v>
      </c>
      <c r="E5" s="1159" t="s">
        <v>1616</v>
      </c>
      <c r="F5" s="1836" t="s">
        <v>1617</v>
      </c>
      <c r="G5" s="1159" t="s">
        <v>1618</v>
      </c>
      <c r="H5" s="1159" t="s">
        <v>1619</v>
      </c>
      <c r="I5" s="1159" t="s">
        <v>1620</v>
      </c>
      <c r="J5" s="1837" t="s">
        <v>1621</v>
      </c>
      <c r="K5" s="1838" t="s">
        <v>1622</v>
      </c>
      <c r="L5" s="1839" t="s">
        <v>1623</v>
      </c>
      <c r="M5" s="1840" t="s">
        <v>1624</v>
      </c>
      <c r="N5" s="1841" t="s">
        <v>3184</v>
      </c>
      <c r="O5" s="1839" t="s">
        <v>1625</v>
      </c>
      <c r="P5" s="1842" t="s">
        <v>1626</v>
      </c>
      <c r="Q5" s="65" t="s">
        <v>1627</v>
      </c>
      <c r="R5" s="1843" t="s">
        <v>1628</v>
      </c>
      <c r="S5" s="1844" t="s">
        <v>1629</v>
      </c>
      <c r="T5" s="1845" t="s">
        <v>1630</v>
      </c>
      <c r="U5" s="1158" t="s">
        <v>1631</v>
      </c>
      <c r="V5" s="1159" t="s">
        <v>1632</v>
      </c>
      <c r="W5" s="1159" t="s">
        <v>1633</v>
      </c>
      <c r="X5" s="67"/>
      <c r="Y5" s="66" t="s">
        <v>1634</v>
      </c>
      <c r="Z5" s="1846" t="s">
        <v>1631</v>
      </c>
      <c r="AA5" s="1159" t="s">
        <v>1632</v>
      </c>
      <c r="AB5" s="1159" t="s">
        <v>1633</v>
      </c>
      <c r="AC5" s="67"/>
      <c r="AD5" s="67" t="s">
        <v>1634</v>
      </c>
      <c r="AE5" s="1158" t="s">
        <v>1635</v>
      </c>
      <c r="AF5" s="1159" t="s">
        <v>1636</v>
      </c>
      <c r="AG5" s="66" t="s">
        <v>1637</v>
      </c>
      <c r="AH5" s="1158" t="s">
        <v>1638</v>
      </c>
      <c r="AI5" s="1846" t="s">
        <v>1639</v>
      </c>
      <c r="AJ5" s="1846" t="s">
        <v>1640</v>
      </c>
      <c r="AK5" s="1159" t="s">
        <v>1641</v>
      </c>
      <c r="AL5" s="1159" t="s">
        <v>1642</v>
      </c>
      <c r="AM5" s="66" t="s">
        <v>1643</v>
      </c>
      <c r="AN5" s="1847" t="s">
        <v>1644</v>
      </c>
      <c r="AO5" s="1698" t="s">
        <v>1645</v>
      </c>
      <c r="AP5" s="1140" t="s">
        <v>1646</v>
      </c>
      <c r="AQ5" s="1848" t="s">
        <v>1647</v>
      </c>
      <c r="AR5" s="1848" t="s">
        <v>1648</v>
      </c>
      <c r="AS5" s="1708"/>
      <c r="AT5" s="1708"/>
      <c r="AU5" s="1708"/>
      <c r="AV5" s="1708"/>
      <c r="AW5" s="1708"/>
      <c r="AX5" s="1708"/>
      <c r="AY5" s="1708"/>
      <c r="AZ5" s="1708"/>
      <c r="BA5" s="1708"/>
      <c r="BB5" s="1708"/>
      <c r="BC5" s="1708"/>
      <c r="BD5" s="1708"/>
      <c r="BE5" s="1708"/>
      <c r="BF5" s="1708"/>
      <c r="BG5" s="1708"/>
      <c r="BH5" s="1708"/>
      <c r="BI5" s="1708"/>
      <c r="BJ5" s="1708"/>
      <c r="BK5" s="1708"/>
      <c r="BL5" s="1708"/>
      <c r="BM5" s="1708"/>
      <c r="BN5" s="1708"/>
      <c r="BO5" s="1708"/>
    </row>
    <row r="6" spans="1:67" s="1695" customFormat="1" ht="14.25">
      <c r="A6" s="1849" t="str">
        <f>'数据-汇总表'!C19</f>
        <v>商业</v>
      </c>
      <c r="B6" s="1850" t="str">
        <f>IF(A6=0,"","经营性")</f>
        <v>经营性</v>
      </c>
      <c r="C6" s="1851" t="s">
        <v>1102</v>
      </c>
      <c r="D6" s="948">
        <f>SUMIF(项目基本情况!D$12:I$12,C6,项目基本情况!D$14:I$14)</f>
        <v>40</v>
      </c>
      <c r="E6" s="947">
        <f>IF(B6="","",SUMIF(项目基本情况!D$12:I$12,C6,项目基本情况!D$13:I$13))</f>
        <v>59479</v>
      </c>
      <c r="F6" s="68">
        <f>SUMIF(项目基本情况!D$12:I$12,C6,项目基本情况!D$15:I$15)</f>
        <v>40</v>
      </c>
      <c r="G6" s="69">
        <f>IF(ISERROR(ROUND(POWER(1+H6,D6-F6)*(POWER(1+H6,F6)-1)/(POWER(1+H6,D6)-1),3)),0,ROUND(POWER(1+H6,D6-F6)*(POWER(1+H6,F6)-1)/(POWER(1+H6,D6)-1),3))</f>
        <v>1</v>
      </c>
      <c r="H6" s="741">
        <v>0.05</v>
      </c>
      <c r="I6" s="741">
        <v>5.5E-2</v>
      </c>
      <c r="J6" s="70">
        <v>7.0000000000000007E-2</v>
      </c>
      <c r="K6" s="1142">
        <f>SUMIF('数据-汇总表'!C$19:C$33,A6,'数据-汇总表'!E$19:E$33)</f>
        <v>5413.53</v>
      </c>
      <c r="L6" s="742">
        <v>3300</v>
      </c>
      <c r="M6" s="71">
        <f t="shared" ref="M6:M14" si="0">ROUND(K6*L6/10000,0)</f>
        <v>1786</v>
      </c>
      <c r="N6" s="740">
        <v>0.74</v>
      </c>
      <c r="O6" s="71" t="str">
        <f>IF($N$5="成新度","——",ROUND(M6*N6,0))</f>
        <v>——</v>
      </c>
      <c r="P6" s="72" t="str">
        <f>IF($N$5="成新度","——",M6-O6)</f>
        <v>——</v>
      </c>
      <c r="Q6" s="743">
        <v>0.2</v>
      </c>
      <c r="R6" s="73">
        <f ca="1">SUMIF('数据-汇总表'!C$19:C$33,A6,'数据-汇总表'!R$19:R$27)</f>
        <v>0</v>
      </c>
      <c r="S6" s="54">
        <f>IF('数据-汇总表'!$I$17="按面积比例",SUMIF('数据-汇总表'!C$19:C$33,A6,'数据-汇总表'!K$19:K$33),SUMIF('数据-汇总表'!C$19:C$33,A6,'数据-汇总表'!N$19:N$33))</f>
        <v>1118.33</v>
      </c>
      <c r="T6" s="1287">
        <f>ROUND($L$14*S6/10000,0)</f>
        <v>0</v>
      </c>
      <c r="U6" s="74">
        <v>5</v>
      </c>
      <c r="V6" s="75">
        <v>2.5000000000000001E-2</v>
      </c>
      <c r="W6" s="75">
        <v>0.1</v>
      </c>
      <c r="X6" s="1152"/>
      <c r="Y6" s="76">
        <f>N6</f>
        <v>0.74</v>
      </c>
      <c r="Z6" s="77"/>
      <c r="AA6" s="70"/>
      <c r="AB6" s="70"/>
      <c r="AC6" s="1152"/>
      <c r="AD6" s="78"/>
      <c r="AE6" s="1153">
        <f ca="1">IF(AN6="",0,SUMIF(INDIRECT("'"&amp;AN6&amp;"'"&amp;"!E:E"),$AE$5,INDIRECT("'"&amp;AN6&amp;"'"&amp;"!F:F")))</f>
        <v>40</v>
      </c>
      <c r="AF6" s="1483"/>
      <c r="AG6" s="143">
        <f>IF(AF6="",0,AE6-AF6)</f>
        <v>0</v>
      </c>
      <c r="AH6" s="79"/>
      <c r="AI6" s="81">
        <v>365</v>
      </c>
      <c r="AJ6" s="82"/>
      <c r="AK6" s="83">
        <v>1.4999999999999999E-2</v>
      </c>
      <c r="AL6" s="84">
        <v>1.5E-3</v>
      </c>
      <c r="AM6" s="85">
        <v>1.4999999999999999E-2</v>
      </c>
      <c r="AN6" s="1852" t="s">
        <v>3185</v>
      </c>
      <c r="AO6" s="55">
        <f ca="1">SUMIF(INDIRECT("'"&amp;AN6&amp;"'"&amp;"!A:A"),"总价",INDIRECT("'"&amp;AN6&amp;"'"&amp;"!B:B"))</f>
        <v>15586</v>
      </c>
      <c r="AP6" s="1853">
        <f>IF(C6="住宅",K6*L6,0)</f>
        <v>0</v>
      </c>
      <c r="AQ6" s="55">
        <f>ROUND($L$14*$N$14*S6/10000,0)</f>
        <v>0</v>
      </c>
      <c r="AR6" s="55">
        <f>ROUND($L$14*(1-$N$14)*S6/10000,0)</f>
        <v>0</v>
      </c>
      <c r="AS6" s="1823"/>
      <c r="AT6" s="1823"/>
      <c r="AU6" s="1823"/>
      <c r="AV6" s="1823"/>
      <c r="AW6" s="1823"/>
      <c r="AX6" s="1823"/>
      <c r="AY6" s="1823"/>
      <c r="AZ6" s="1823"/>
      <c r="BA6" s="1823"/>
      <c r="BB6" s="1823"/>
      <c r="BC6" s="1823"/>
      <c r="BD6" s="1823"/>
      <c r="BE6" s="1823"/>
      <c r="BF6" s="1823"/>
      <c r="BG6" s="1823"/>
      <c r="BH6" s="1823"/>
      <c r="BI6" s="1823"/>
      <c r="BJ6" s="1823"/>
      <c r="BK6" s="1823"/>
      <c r="BL6" s="1823"/>
      <c r="BM6" s="1823"/>
      <c r="BN6" s="1823"/>
      <c r="BO6" s="1823"/>
    </row>
    <row r="7" spans="1:67" s="1695" customFormat="1" ht="14.25">
      <c r="A7" s="1849">
        <f>'数据-汇总表'!C20</f>
        <v>0</v>
      </c>
      <c r="B7" s="1850" t="str">
        <f t="shared" ref="B7:B13" si="1">IF(A7=0,"","经营性")</f>
        <v/>
      </c>
      <c r="C7" s="1851"/>
      <c r="D7" s="948">
        <f>SUMIF(项目基本情况!D$12:I$12,C7,项目基本情况!D$14:I$14)</f>
        <v>0</v>
      </c>
      <c r="E7" s="947"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42">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287">
        <f t="shared" ref="T7:T13" si="5">ROUND($L$14*S7/10000,0)</f>
        <v>0</v>
      </c>
      <c r="U7" s="74"/>
      <c r="V7" s="75"/>
      <c r="W7" s="75"/>
      <c r="X7" s="1152"/>
      <c r="Y7" s="76"/>
      <c r="Z7" s="77"/>
      <c r="AA7" s="70"/>
      <c r="AB7" s="70"/>
      <c r="AC7" s="1152"/>
      <c r="AD7" s="78"/>
      <c r="AE7" s="1153">
        <f t="shared" ref="AE7:AE13" ca="1" si="6">IF(AN7="",0,SUMIF(INDIRECT("'"&amp;AN7&amp;"'"&amp;"!E:E"),$AE$5,INDIRECT("'"&amp;AN7&amp;"'"&amp;"!F:F")))</f>
        <v>0</v>
      </c>
      <c r="AF7" s="1483"/>
      <c r="AG7" s="143">
        <f t="shared" ref="AG7:AG13" si="7">IF(AF7="",0,AE7-AF7)</f>
        <v>0</v>
      </c>
      <c r="AH7" s="79"/>
      <c r="AI7" s="81"/>
      <c r="AJ7" s="82"/>
      <c r="AK7" s="83"/>
      <c r="AL7" s="84"/>
      <c r="AM7" s="85"/>
      <c r="AN7" s="1852"/>
      <c r="AO7" s="55" t="e">
        <f t="shared" ref="AO7:AO13" ca="1" si="8">SUMIF(INDIRECT("'"&amp;AN7&amp;"'"&amp;"!A:A"),"总价",INDIRECT("'"&amp;AN7&amp;"'"&amp;"!B:B"))</f>
        <v>#REF!</v>
      </c>
      <c r="AP7" s="1853">
        <f t="shared" ref="AP7:AP13" si="9">IF(C7="住宅",K7*L7,0)</f>
        <v>0</v>
      </c>
      <c r="AQ7" s="55">
        <f t="shared" ref="AQ7:AQ13" si="10">ROUND($L$14*$N$14*S7/10000,0)</f>
        <v>0</v>
      </c>
      <c r="AR7" s="55">
        <f t="shared" ref="AR7:AR13" si="11">ROUND($L$14*(1-$N$14)*S7/10000,0)</f>
        <v>0</v>
      </c>
      <c r="AS7" s="1823"/>
      <c r="AT7" s="1823"/>
      <c r="AU7" s="1823"/>
      <c r="AV7" s="1823"/>
      <c r="AW7" s="1823"/>
      <c r="AX7" s="1823"/>
      <c r="AY7" s="1823"/>
      <c r="AZ7" s="1823"/>
      <c r="BA7" s="1823"/>
      <c r="BB7" s="1823"/>
      <c r="BC7" s="1823"/>
      <c r="BD7" s="1823"/>
      <c r="BE7" s="1823"/>
      <c r="BF7" s="1823"/>
      <c r="BG7" s="1823"/>
      <c r="BH7" s="1823"/>
      <c r="BI7" s="1823"/>
      <c r="BJ7" s="1823"/>
      <c r="BK7" s="1823"/>
      <c r="BL7" s="1823"/>
      <c r="BM7" s="1823"/>
      <c r="BN7" s="1823"/>
      <c r="BO7" s="1823"/>
    </row>
    <row r="8" spans="1:67" s="1695" customFormat="1" ht="14.25">
      <c r="A8" s="1849">
        <f>'数据-汇总表'!C21</f>
        <v>0</v>
      </c>
      <c r="B8" s="1850" t="str">
        <f t="shared" si="1"/>
        <v/>
      </c>
      <c r="C8" s="1851"/>
      <c r="D8" s="948">
        <f>SUMIF(项目基本情况!D$12:I$12,C8,项目基本情况!D$14:I$14)</f>
        <v>0</v>
      </c>
      <c r="E8" s="947" t="str">
        <f>IF(B8="","",SUMIF(项目基本情况!D$12:I$12,C8,项目基本情况!D$13:I$13))</f>
        <v/>
      </c>
      <c r="F8" s="68">
        <f>SUMIF(项目基本情况!D$12:I$12,C8,项目基本情况!D$15:I$15)</f>
        <v>0</v>
      </c>
      <c r="G8" s="69">
        <f t="shared" si="2"/>
        <v>0</v>
      </c>
      <c r="H8" s="741"/>
      <c r="I8" s="741"/>
      <c r="J8" s="70"/>
      <c r="K8" s="1142">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287">
        <f t="shared" si="5"/>
        <v>0</v>
      </c>
      <c r="U8" s="744"/>
      <c r="V8" s="745"/>
      <c r="W8" s="745"/>
      <c r="X8" s="1152"/>
      <c r="Y8" s="746"/>
      <c r="Z8" s="77"/>
      <c r="AA8" s="70"/>
      <c r="AB8" s="70"/>
      <c r="AC8" s="1152"/>
      <c r="AD8" s="78"/>
      <c r="AE8" s="1153">
        <f t="shared" ca="1" si="6"/>
        <v>0</v>
      </c>
      <c r="AF8" s="1483"/>
      <c r="AG8" s="143">
        <f t="shared" si="7"/>
        <v>0</v>
      </c>
      <c r="AH8" s="747"/>
      <c r="AI8" s="81"/>
      <c r="AJ8" s="82"/>
      <c r="AK8" s="748"/>
      <c r="AL8" s="749"/>
      <c r="AM8" s="750"/>
      <c r="AN8" s="1852"/>
      <c r="AO8" s="55" t="e">
        <f t="shared" ca="1" si="8"/>
        <v>#REF!</v>
      </c>
      <c r="AP8" s="1853">
        <f t="shared" si="9"/>
        <v>0</v>
      </c>
      <c r="AQ8" s="55">
        <f t="shared" si="10"/>
        <v>0</v>
      </c>
      <c r="AR8" s="55">
        <f t="shared" si="11"/>
        <v>0</v>
      </c>
      <c r="AS8" s="1823"/>
      <c r="AT8" s="1823"/>
      <c r="AU8" s="1823"/>
      <c r="AV8" s="1823"/>
      <c r="AW8" s="1823"/>
      <c r="AX8" s="1823"/>
      <c r="AY8" s="1823"/>
      <c r="AZ8" s="1823"/>
      <c r="BA8" s="1823"/>
      <c r="BB8" s="1823"/>
      <c r="BC8" s="1823"/>
      <c r="BD8" s="1823"/>
      <c r="BE8" s="1823"/>
      <c r="BF8" s="1823"/>
      <c r="BG8" s="1823"/>
      <c r="BH8" s="1823"/>
      <c r="BI8" s="1823"/>
      <c r="BJ8" s="1823"/>
      <c r="BK8" s="1823"/>
      <c r="BL8" s="1823"/>
      <c r="BM8" s="1823"/>
      <c r="BN8" s="1823"/>
      <c r="BO8" s="1823"/>
    </row>
    <row r="9" spans="1:67" s="1695" customFormat="1" ht="14.25">
      <c r="A9" s="1849">
        <f>'数据-汇总表'!C22</f>
        <v>0</v>
      </c>
      <c r="B9" s="1850" t="str">
        <f t="shared" si="1"/>
        <v/>
      </c>
      <c r="C9" s="1851"/>
      <c r="D9" s="948">
        <f>SUMIF(项目基本情况!D$12:I$12,C9,项目基本情况!D$14:I$14)</f>
        <v>0</v>
      </c>
      <c r="E9" s="947" t="str">
        <f>IF(B9="","",SUMIF(项目基本情况!D$12:I$12,C9,项目基本情况!D$13:I$13))</f>
        <v/>
      </c>
      <c r="F9" s="68">
        <f>SUMIF(项目基本情况!D$12:I$12,C9,项目基本情况!D$15:I$15)</f>
        <v>0</v>
      </c>
      <c r="G9" s="69">
        <f t="shared" si="2"/>
        <v>0</v>
      </c>
      <c r="H9" s="70"/>
      <c r="I9" s="70"/>
      <c r="J9" s="70"/>
      <c r="K9" s="1142">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7">
        <f t="shared" si="5"/>
        <v>0</v>
      </c>
      <c r="U9" s="74"/>
      <c r="V9" s="75"/>
      <c r="W9" s="75"/>
      <c r="X9" s="1152"/>
      <c r="Y9" s="76"/>
      <c r="Z9" s="77"/>
      <c r="AA9" s="70"/>
      <c r="AB9" s="70"/>
      <c r="AC9" s="1152"/>
      <c r="AD9" s="78"/>
      <c r="AE9" s="1153">
        <f t="shared" ca="1" si="6"/>
        <v>0</v>
      </c>
      <c r="AF9" s="1483"/>
      <c r="AG9" s="143">
        <f t="shared" si="7"/>
        <v>0</v>
      </c>
      <c r="AH9" s="79"/>
      <c r="AI9" s="81"/>
      <c r="AJ9" s="82"/>
      <c r="AK9" s="83"/>
      <c r="AL9" s="84"/>
      <c r="AM9" s="85"/>
      <c r="AN9" s="1852"/>
      <c r="AO9" s="55" t="e">
        <f t="shared" ca="1" si="8"/>
        <v>#REF!</v>
      </c>
      <c r="AP9" s="1853">
        <f t="shared" si="9"/>
        <v>0</v>
      </c>
      <c r="AQ9" s="55">
        <f t="shared" si="10"/>
        <v>0</v>
      </c>
      <c r="AR9" s="55">
        <f t="shared" si="11"/>
        <v>0</v>
      </c>
      <c r="AS9" s="1823"/>
      <c r="AT9" s="1823"/>
      <c r="AU9" s="1823"/>
      <c r="AV9" s="1823"/>
      <c r="AW9" s="1823"/>
      <c r="AX9" s="1823"/>
      <c r="AY9" s="1823"/>
      <c r="AZ9" s="1823"/>
      <c r="BA9" s="1823"/>
      <c r="BB9" s="1823"/>
      <c r="BC9" s="1823"/>
      <c r="BD9" s="1823"/>
      <c r="BE9" s="1823"/>
      <c r="BF9" s="1823"/>
      <c r="BG9" s="1823"/>
      <c r="BH9" s="1823"/>
      <c r="BI9" s="1823"/>
      <c r="BJ9" s="1823"/>
      <c r="BK9" s="1823"/>
      <c r="BL9" s="1823"/>
      <c r="BM9" s="1823"/>
      <c r="BN9" s="1823"/>
      <c r="BO9" s="1823"/>
    </row>
    <row r="10" spans="1:67" s="1695" customFormat="1" ht="14.25">
      <c r="A10" s="1849">
        <f>'数据-汇总表'!C23</f>
        <v>0</v>
      </c>
      <c r="B10" s="1850" t="str">
        <f t="shared" si="1"/>
        <v/>
      </c>
      <c r="C10" s="1851"/>
      <c r="D10" s="948">
        <f>SUMIF(项目基本情况!D$12:I$12,C10,项目基本情况!D$14:I$14)</f>
        <v>0</v>
      </c>
      <c r="E10" s="947" t="str">
        <f>IF(B10="","",SUMIF(项目基本情况!D$12:I$12,C10,项目基本情况!D$13:I$13))</f>
        <v/>
      </c>
      <c r="F10" s="68">
        <f>SUMIF(项目基本情况!D$12:I$12,C10,项目基本情况!D$15:I$15)</f>
        <v>0</v>
      </c>
      <c r="G10" s="69">
        <f t="shared" si="2"/>
        <v>0</v>
      </c>
      <c r="H10" s="70"/>
      <c r="I10" s="70"/>
      <c r="J10" s="70"/>
      <c r="K10" s="1142">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7">
        <f t="shared" si="5"/>
        <v>0</v>
      </c>
      <c r="U10" s="74"/>
      <c r="V10" s="75"/>
      <c r="W10" s="75"/>
      <c r="X10" s="1152"/>
      <c r="Y10" s="76"/>
      <c r="Z10" s="77"/>
      <c r="AA10" s="70"/>
      <c r="AB10" s="70"/>
      <c r="AC10" s="1152"/>
      <c r="AD10" s="78"/>
      <c r="AE10" s="1153">
        <f t="shared" ca="1" si="6"/>
        <v>0</v>
      </c>
      <c r="AF10" s="1483"/>
      <c r="AG10" s="143">
        <f t="shared" si="7"/>
        <v>0</v>
      </c>
      <c r="AH10" s="79"/>
      <c r="AI10" s="81"/>
      <c r="AJ10" s="82"/>
      <c r="AK10" s="83"/>
      <c r="AL10" s="84"/>
      <c r="AM10" s="85"/>
      <c r="AN10" s="1852"/>
      <c r="AO10" s="55" t="e">
        <f t="shared" ca="1" si="8"/>
        <v>#REF!</v>
      </c>
      <c r="AP10" s="1853">
        <f t="shared" si="9"/>
        <v>0</v>
      </c>
      <c r="AQ10" s="55">
        <f t="shared" si="10"/>
        <v>0</v>
      </c>
      <c r="AR10" s="55">
        <f t="shared" si="11"/>
        <v>0</v>
      </c>
      <c r="AS10" s="1823"/>
      <c r="AT10" s="1823"/>
      <c r="AU10" s="1823"/>
      <c r="AV10" s="1823"/>
      <c r="AW10" s="1823"/>
      <c r="AX10" s="1823"/>
      <c r="AY10" s="1823"/>
      <c r="AZ10" s="1823"/>
      <c r="BA10" s="1823"/>
      <c r="BB10" s="1823"/>
      <c r="BC10" s="1823"/>
      <c r="BD10" s="1823"/>
      <c r="BE10" s="1823"/>
      <c r="BF10" s="1823"/>
      <c r="BG10" s="1823"/>
      <c r="BH10" s="1823"/>
      <c r="BI10" s="1823"/>
      <c r="BJ10" s="1823"/>
      <c r="BK10" s="1823"/>
      <c r="BL10" s="1823"/>
      <c r="BM10" s="1823"/>
      <c r="BN10" s="1823"/>
      <c r="BO10" s="1823"/>
    </row>
    <row r="11" spans="1:67" s="1695" customFormat="1" ht="14.25">
      <c r="A11" s="1849">
        <f>'数据-汇总表'!C24</f>
        <v>0</v>
      </c>
      <c r="B11" s="1850" t="str">
        <f t="shared" si="1"/>
        <v/>
      </c>
      <c r="C11" s="1851"/>
      <c r="D11" s="948">
        <f>SUMIF(项目基本情况!D$12:I$12,C11,项目基本情况!D$14:I$14)</f>
        <v>0</v>
      </c>
      <c r="E11" s="947" t="str">
        <f>IF(B11="","",SUMIF(项目基本情况!D$12:I$12,C11,项目基本情况!D$13:I$13))</f>
        <v/>
      </c>
      <c r="F11" s="68">
        <f>SUMIF(项目基本情况!D$12:I$12,C11,项目基本情况!D$15:I$15)</f>
        <v>0</v>
      </c>
      <c r="G11" s="69">
        <f t="shared" si="2"/>
        <v>0</v>
      </c>
      <c r="H11" s="70"/>
      <c r="I11" s="70"/>
      <c r="J11" s="70"/>
      <c r="K11" s="1142">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7">
        <f t="shared" si="5"/>
        <v>0</v>
      </c>
      <c r="U11" s="79"/>
      <c r="V11" s="70"/>
      <c r="W11" s="70"/>
      <c r="X11" s="1152"/>
      <c r="Y11" s="76"/>
      <c r="Z11" s="89"/>
      <c r="AA11" s="70"/>
      <c r="AB11" s="70"/>
      <c r="AC11" s="1152"/>
      <c r="AD11" s="78"/>
      <c r="AE11" s="1153">
        <f t="shared" ca="1" si="6"/>
        <v>0</v>
      </c>
      <c r="AF11" s="1483"/>
      <c r="AG11" s="143">
        <f t="shared" si="7"/>
        <v>0</v>
      </c>
      <c r="AH11" s="79"/>
      <c r="AI11" s="81"/>
      <c r="AJ11" s="82"/>
      <c r="AK11" s="90"/>
      <c r="AL11" s="91"/>
      <c r="AM11" s="92"/>
      <c r="AN11" s="1852"/>
      <c r="AO11" s="55" t="e">
        <f t="shared" ca="1" si="8"/>
        <v>#REF!</v>
      </c>
      <c r="AP11" s="1853">
        <f t="shared" si="9"/>
        <v>0</v>
      </c>
      <c r="AQ11" s="55">
        <f t="shared" si="10"/>
        <v>0</v>
      </c>
      <c r="AR11" s="55">
        <f t="shared" si="11"/>
        <v>0</v>
      </c>
      <c r="AS11" s="1823"/>
      <c r="AT11" s="1823"/>
      <c r="AU11" s="1823"/>
      <c r="AV11" s="1823"/>
      <c r="AW11" s="1823"/>
      <c r="AX11" s="1823"/>
      <c r="AY11" s="1823"/>
      <c r="AZ11" s="1823"/>
      <c r="BA11" s="1823"/>
      <c r="BB11" s="1823"/>
      <c r="BC11" s="1823"/>
      <c r="BD11" s="1823"/>
      <c r="BE11" s="1823"/>
      <c r="BF11" s="1823"/>
      <c r="BG11" s="1823"/>
      <c r="BH11" s="1823"/>
      <c r="BI11" s="1823"/>
      <c r="BJ11" s="1823"/>
      <c r="BK11" s="1823"/>
      <c r="BL11" s="1823"/>
      <c r="BM11" s="1823"/>
      <c r="BN11" s="1823"/>
      <c r="BO11" s="1823"/>
    </row>
    <row r="12" spans="1:67" s="1695" customFormat="1" ht="14.25">
      <c r="A12" s="1849">
        <f>'数据-汇总表'!C25</f>
        <v>0</v>
      </c>
      <c r="B12" s="1850" t="str">
        <f t="shared" si="1"/>
        <v/>
      </c>
      <c r="C12" s="1851"/>
      <c r="D12" s="948">
        <f>SUMIF(项目基本情况!D$12:I$12,C12,项目基本情况!D$14:I$14)</f>
        <v>0</v>
      </c>
      <c r="E12" s="94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2">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7">
        <f t="shared" si="5"/>
        <v>0</v>
      </c>
      <c r="U12" s="79"/>
      <c r="V12" s="70"/>
      <c r="W12" s="70"/>
      <c r="X12" s="1152"/>
      <c r="Y12" s="76"/>
      <c r="Z12" s="89"/>
      <c r="AA12" s="70"/>
      <c r="AB12" s="70"/>
      <c r="AC12" s="1152"/>
      <c r="AD12" s="78"/>
      <c r="AE12" s="1153">
        <f t="shared" ca="1" si="6"/>
        <v>0</v>
      </c>
      <c r="AF12" s="1483"/>
      <c r="AG12" s="143">
        <f t="shared" si="7"/>
        <v>0</v>
      </c>
      <c r="AH12" s="79"/>
      <c r="AI12" s="81"/>
      <c r="AJ12" s="82"/>
      <c r="AK12" s="90"/>
      <c r="AL12" s="91"/>
      <c r="AM12" s="92"/>
      <c r="AN12" s="1852"/>
      <c r="AO12" s="55" t="e">
        <f t="shared" ca="1" si="8"/>
        <v>#REF!</v>
      </c>
      <c r="AP12" s="1853">
        <f t="shared" si="9"/>
        <v>0</v>
      </c>
      <c r="AQ12" s="55">
        <f t="shared" si="10"/>
        <v>0</v>
      </c>
      <c r="AR12" s="55">
        <f t="shared" si="11"/>
        <v>0</v>
      </c>
      <c r="AS12" s="1823"/>
      <c r="AT12" s="1823"/>
      <c r="AU12" s="1823"/>
      <c r="AV12" s="1823"/>
      <c r="AW12" s="1823"/>
      <c r="AX12" s="1823"/>
      <c r="AY12" s="1823"/>
      <c r="AZ12" s="1823"/>
      <c r="BA12" s="1823"/>
      <c r="BB12" s="1823"/>
      <c r="BC12" s="1823"/>
      <c r="BD12" s="1823"/>
      <c r="BE12" s="1823"/>
      <c r="BF12" s="1823"/>
      <c r="BG12" s="1823"/>
      <c r="BH12" s="1823"/>
      <c r="BI12" s="1823"/>
      <c r="BJ12" s="1823"/>
      <c r="BK12" s="1823"/>
      <c r="BL12" s="1823"/>
      <c r="BM12" s="1823"/>
      <c r="BN12" s="1823"/>
      <c r="BO12" s="1823"/>
    </row>
    <row r="13" spans="1:67" s="1695" customFormat="1" ht="14.25">
      <c r="A13" s="1849">
        <f>'数据-汇总表'!C26</f>
        <v>0</v>
      </c>
      <c r="B13" s="1850" t="str">
        <f t="shared" si="1"/>
        <v/>
      </c>
      <c r="C13" s="1851"/>
      <c r="D13" s="948">
        <f>SUMIF(项目基本情况!D$12:I$12,C13,项目基本情况!D$14:I$14)</f>
        <v>0</v>
      </c>
      <c r="E13" s="94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2">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7">
        <f t="shared" si="5"/>
        <v>0</v>
      </c>
      <c r="U13" s="74"/>
      <c r="V13" s="75"/>
      <c r="W13" s="75"/>
      <c r="X13" s="1152"/>
      <c r="Y13" s="76"/>
      <c r="Z13" s="77"/>
      <c r="AA13" s="70"/>
      <c r="AB13" s="70"/>
      <c r="AC13" s="1152"/>
      <c r="AD13" s="78"/>
      <c r="AE13" s="1153">
        <f t="shared" ca="1" si="6"/>
        <v>0</v>
      </c>
      <c r="AF13" s="1483"/>
      <c r="AG13" s="143">
        <f t="shared" si="7"/>
        <v>0</v>
      </c>
      <c r="AH13" s="79"/>
      <c r="AI13" s="81"/>
      <c r="AJ13" s="82"/>
      <c r="AK13" s="83"/>
      <c r="AL13" s="84"/>
      <c r="AM13" s="85"/>
      <c r="AN13" s="1852"/>
      <c r="AO13" s="55" t="e">
        <f t="shared" ca="1" si="8"/>
        <v>#REF!</v>
      </c>
      <c r="AP13" s="1853">
        <f t="shared" si="9"/>
        <v>0</v>
      </c>
      <c r="AQ13" s="55">
        <f t="shared" si="10"/>
        <v>0</v>
      </c>
      <c r="AR13" s="55">
        <f t="shared" si="11"/>
        <v>0</v>
      </c>
      <c r="AS13" s="1823"/>
      <c r="AT13" s="1823"/>
      <c r="AU13" s="1823"/>
      <c r="AV13" s="1823"/>
      <c r="AW13" s="1823"/>
      <c r="AX13" s="1823"/>
      <c r="AY13" s="1823"/>
      <c r="AZ13" s="1823"/>
      <c r="BA13" s="1823"/>
      <c r="BB13" s="1823"/>
      <c r="BC13" s="1823"/>
      <c r="BD13" s="1823"/>
      <c r="BE13" s="1823"/>
      <c r="BF13" s="1823"/>
      <c r="BG13" s="1823"/>
      <c r="BH13" s="1823"/>
      <c r="BI13" s="1823"/>
      <c r="BJ13" s="1823"/>
      <c r="BK13" s="1823"/>
      <c r="BL13" s="1823"/>
      <c r="BM13" s="1823"/>
      <c r="BN13" s="1823"/>
      <c r="BO13" s="1823"/>
    </row>
    <row r="14" spans="1:67" s="1695" customFormat="1" ht="14.25">
      <c r="A14" s="1854" t="s">
        <v>1649</v>
      </c>
      <c r="B14" s="1850" t="s">
        <v>1650</v>
      </c>
      <c r="C14" s="1855" t="s">
        <v>1649</v>
      </c>
      <c r="D14" s="948"/>
      <c r="E14" s="947"/>
      <c r="F14" s="68"/>
      <c r="G14" s="69"/>
      <c r="H14" s="1141"/>
      <c r="I14" s="1141"/>
      <c r="J14" s="1141"/>
      <c r="K14" s="1142">
        <f>SUMIF('数据-汇总表'!C$19:C$33,A14,'数据-汇总表'!E$19:E$33)</f>
        <v>1118.33</v>
      </c>
      <c r="L14" s="87"/>
      <c r="M14" s="71">
        <f t="shared" si="0"/>
        <v>0</v>
      </c>
      <c r="N14" s="88"/>
      <c r="O14" s="71" t="str">
        <f t="shared" si="3"/>
        <v>——</v>
      </c>
      <c r="P14" s="72" t="str">
        <f t="shared" si="4"/>
        <v>——</v>
      </c>
      <c r="Q14" s="1145"/>
      <c r="R14" s="73"/>
      <c r="S14" s="54"/>
      <c r="T14" s="1287"/>
      <c r="U14" s="679"/>
      <c r="V14" s="1147"/>
      <c r="W14" s="1147"/>
      <c r="X14" s="1148"/>
      <c r="Y14" s="1149"/>
      <c r="Z14" s="1150"/>
      <c r="AA14" s="1151"/>
      <c r="AB14" s="1151"/>
      <c r="AC14" s="1152"/>
      <c r="AD14" s="1148"/>
      <c r="AE14" s="1153"/>
      <c r="AF14" s="55"/>
      <c r="AG14" s="143"/>
      <c r="AH14" s="1153"/>
      <c r="AI14" s="1492"/>
      <c r="AJ14" s="713"/>
      <c r="AK14" s="1154"/>
      <c r="AL14" s="1155"/>
      <c r="AM14" s="1156"/>
      <c r="AN14" s="2850"/>
      <c r="AO14" s="2852"/>
      <c r="AP14" s="2852"/>
      <c r="AQ14" s="2852"/>
      <c r="AR14" s="2852"/>
      <c r="AS14" s="1823"/>
      <c r="AT14" s="1823"/>
      <c r="AU14" s="1823"/>
      <c r="AV14" s="1823"/>
      <c r="AW14" s="1823"/>
      <c r="AX14" s="1823"/>
      <c r="AY14" s="1823"/>
      <c r="AZ14" s="1823"/>
      <c r="BA14" s="1823"/>
      <c r="BB14" s="1823"/>
      <c r="BC14" s="1823"/>
      <c r="BD14" s="1823"/>
      <c r="BE14" s="1823"/>
      <c r="BF14" s="1823"/>
      <c r="BG14" s="1823"/>
      <c r="BH14" s="1823"/>
      <c r="BI14" s="1823"/>
      <c r="BJ14" s="1823"/>
      <c r="BK14" s="1823"/>
      <c r="BL14" s="1823"/>
      <c r="BM14" s="1823"/>
      <c r="BN14" s="1823"/>
      <c r="BO14" s="1823"/>
    </row>
    <row r="15" spans="1:67" s="1695" customFormat="1" ht="27">
      <c r="A15" s="1854" t="s">
        <v>1651</v>
      </c>
      <c r="B15" s="1850" t="s">
        <v>1650</v>
      </c>
      <c r="C15" s="1855" t="s">
        <v>1652</v>
      </c>
      <c r="D15" s="948"/>
      <c r="E15" s="947"/>
      <c r="F15" s="68"/>
      <c r="G15" s="69"/>
      <c r="H15" s="1141"/>
      <c r="I15" s="1141"/>
      <c r="J15" s="1141"/>
      <c r="K15" s="1142">
        <f>SUMIF('数据-汇总表'!C$19:C$33,A15,'数据-汇总表'!E$19:E$33)</f>
        <v>0</v>
      </c>
      <c r="L15" s="1143"/>
      <c r="M15" s="71"/>
      <c r="N15" s="1144"/>
      <c r="O15" s="71"/>
      <c r="P15" s="72"/>
      <c r="Q15" s="1145"/>
      <c r="R15" s="73"/>
      <c r="S15" s="54"/>
      <c r="T15" s="1287"/>
      <c r="U15" s="679"/>
      <c r="V15" s="1147"/>
      <c r="W15" s="1147"/>
      <c r="X15" s="1148"/>
      <c r="Y15" s="1149"/>
      <c r="Z15" s="1150"/>
      <c r="AA15" s="1151"/>
      <c r="AB15" s="1151"/>
      <c r="AC15" s="1152"/>
      <c r="AD15" s="1148"/>
      <c r="AE15" s="1153"/>
      <c r="AF15" s="55"/>
      <c r="AG15" s="143"/>
      <c r="AH15" s="1153"/>
      <c r="AI15" s="1492"/>
      <c r="AJ15" s="713"/>
      <c r="AK15" s="1154"/>
      <c r="AL15" s="1155"/>
      <c r="AM15" s="1156"/>
      <c r="AN15" s="2850"/>
      <c r="AO15" s="2852"/>
      <c r="AP15" s="2852"/>
      <c r="AQ15" s="2852"/>
      <c r="AR15" s="2852"/>
      <c r="AS15" s="1823"/>
      <c r="AT15" s="1823"/>
      <c r="AU15" s="1823"/>
      <c r="AV15" s="1823"/>
      <c r="AW15" s="1823"/>
      <c r="AX15" s="1823"/>
      <c r="AY15" s="1823"/>
      <c r="AZ15" s="1823"/>
      <c r="BA15" s="1823"/>
      <c r="BB15" s="1823"/>
      <c r="BC15" s="1823"/>
      <c r="BD15" s="1823"/>
      <c r="BE15" s="1823"/>
      <c r="BF15" s="1823"/>
      <c r="BG15" s="1823"/>
      <c r="BH15" s="1823"/>
      <c r="BI15" s="1823"/>
      <c r="BJ15" s="1823"/>
      <c r="BK15" s="1823"/>
      <c r="BL15" s="1823"/>
      <c r="BM15" s="1823"/>
      <c r="BN15" s="1823"/>
      <c r="BO15" s="1823"/>
    </row>
    <row r="16" spans="1:67" s="1695" customFormat="1" ht="15.75" thickBot="1">
      <c r="A16" s="1856" t="s">
        <v>1653</v>
      </c>
      <c r="B16" s="93"/>
      <c r="C16" s="923"/>
      <c r="D16" s="1857"/>
      <c r="E16" s="93"/>
      <c r="F16" s="93"/>
      <c r="G16" s="94">
        <f>ROUND(SUMPRODUCT(G6:G13,K6:K13)/SUMPRODUCT((G6:G13&gt;0)*(K6:K13)),3)</f>
        <v>1</v>
      </c>
      <c r="H16" s="95">
        <f>ROUND(SUMPRODUCT(H6:H13,K6:K13)/SUMPRODUCT((H6:H13&gt;0)*(K6:K13)),3)</f>
        <v>0.05</v>
      </c>
      <c r="I16" s="96"/>
      <c r="J16" s="96"/>
      <c r="K16" s="97">
        <f>SUM(K6:K15)</f>
        <v>6531.86</v>
      </c>
      <c r="L16" s="98">
        <f>ROUND(M16*10000/SUM(K6:K14),0)</f>
        <v>2734</v>
      </c>
      <c r="M16" s="98">
        <f>SUM(M6:M14)</f>
        <v>1786</v>
      </c>
      <c r="N16" s="99">
        <f>ROUND(SUMPRODUCT(M6:M14,N6:N14)/M16,3)</f>
        <v>0.74</v>
      </c>
      <c r="O16" s="98">
        <f>SUM(O6:O14)</f>
        <v>0</v>
      </c>
      <c r="P16" s="98">
        <f>SUM(P6:P14)</f>
        <v>0</v>
      </c>
      <c r="Q16" s="100">
        <f>ROUND(SUMPRODUCT(Q6:Q13,K6:K13)/SUMPRODUCT((Q6:Q13&gt;0)*(K6:K13)),2)</f>
        <v>0.2</v>
      </c>
      <c r="R16" s="1146">
        <f ca="1">SUM(R6:R13)</f>
        <v>0</v>
      </c>
      <c r="S16" s="101">
        <f>SUM(S6:S13)</f>
        <v>1118.33</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50"/>
      <c r="AO16" s="2852"/>
      <c r="AP16" s="2852"/>
      <c r="AQ16" s="2852"/>
      <c r="AR16" s="2852"/>
      <c r="AS16" s="1823"/>
      <c r="AT16" s="1823"/>
      <c r="AU16" s="1823"/>
      <c r="AV16" s="1823"/>
      <c r="AW16" s="1823"/>
      <c r="AX16" s="1823"/>
      <c r="AY16" s="1823"/>
      <c r="AZ16" s="1823"/>
      <c r="BA16" s="1823"/>
      <c r="BB16" s="1823"/>
      <c r="BC16" s="1823"/>
      <c r="BD16" s="1823"/>
      <c r="BE16" s="1823"/>
      <c r="BF16" s="1823"/>
      <c r="BG16" s="1823"/>
      <c r="BH16" s="1823"/>
      <c r="BI16" s="1823"/>
      <c r="BJ16" s="1823"/>
      <c r="BK16" s="1823"/>
      <c r="BL16" s="1823"/>
      <c r="BM16" s="1823"/>
      <c r="BN16" s="1823"/>
      <c r="BO16" s="1823"/>
    </row>
    <row r="17" spans="1:67" ht="13.5" thickBot="1">
      <c r="A17" s="1858"/>
      <c r="B17" s="2861"/>
      <c r="C17" s="2850"/>
      <c r="D17" s="2854"/>
      <c r="E17" s="2854"/>
      <c r="F17" s="2850"/>
      <c r="G17" s="2850"/>
      <c r="H17" s="2850"/>
      <c r="I17" s="2850"/>
      <c r="J17" s="2850"/>
      <c r="K17" s="2851"/>
      <c r="L17" s="2851"/>
      <c r="M17" s="2850"/>
      <c r="N17" s="2850"/>
      <c r="O17" s="2850"/>
      <c r="P17" s="2850"/>
      <c r="Q17" s="2850"/>
      <c r="R17" s="2850"/>
      <c r="S17" s="2850"/>
      <c r="T17" s="2850"/>
      <c r="U17" s="2850"/>
      <c r="V17" s="2850"/>
      <c r="W17" s="2850"/>
      <c r="X17" s="2850"/>
      <c r="Y17" s="2850"/>
      <c r="Z17" s="2850"/>
      <c r="AA17" s="2850"/>
      <c r="AB17" s="2850"/>
      <c r="AC17" s="2850"/>
      <c r="AD17" s="2850"/>
      <c r="AE17" s="2850"/>
      <c r="AF17" s="2850"/>
      <c r="AG17" s="2850"/>
      <c r="AH17" s="2850"/>
      <c r="AI17" s="2850"/>
      <c r="AJ17" s="2850"/>
      <c r="AK17" s="2850"/>
      <c r="AL17" s="2850"/>
      <c r="AM17" s="2850"/>
      <c r="AN17" s="2850"/>
      <c r="AO17" s="2850"/>
      <c r="AP17" s="2850"/>
      <c r="AQ17" s="2850"/>
      <c r="AR17" s="2850"/>
    </row>
    <row r="18" spans="1:67" ht="15" thickBot="1">
      <c r="A18" s="64" t="s">
        <v>1654</v>
      </c>
      <c r="B18" s="2864"/>
      <c r="C18" s="2852"/>
      <c r="D18" s="2855"/>
      <c r="E18" s="2852"/>
      <c r="F18" s="2852"/>
      <c r="G18" s="2852"/>
      <c r="H18" s="2852"/>
      <c r="I18" s="2852"/>
      <c r="J18" s="2852"/>
      <c r="K18" s="2851"/>
      <c r="L18" s="2851"/>
      <c r="M18" s="2850"/>
      <c r="N18" s="2850">
        <f>ROUND(1-(2022-1996)/60,2)</f>
        <v>0.56999999999999995</v>
      </c>
      <c r="O18" s="2850"/>
      <c r="P18" s="2850"/>
      <c r="Q18" s="2850"/>
      <c r="R18" s="2850"/>
      <c r="S18" s="2850"/>
      <c r="T18" s="2850"/>
      <c r="U18" s="2850"/>
      <c r="V18" s="2850"/>
      <c r="W18" s="2850"/>
      <c r="X18" s="2850"/>
      <c r="Y18" s="2850"/>
      <c r="Z18" s="2850"/>
      <c r="AA18" s="2850"/>
      <c r="AB18" s="2850"/>
      <c r="AC18" s="2850"/>
      <c r="AD18" s="2850"/>
      <c r="AE18" s="2850"/>
      <c r="AF18" s="2850"/>
      <c r="AG18" s="2850"/>
      <c r="AH18" s="2850"/>
      <c r="AI18" s="2850"/>
      <c r="AJ18" s="2850"/>
      <c r="AK18" s="2850"/>
      <c r="AL18" s="2850"/>
      <c r="AM18" s="2850"/>
      <c r="AN18" s="2850"/>
      <c r="AO18" s="2850"/>
      <c r="AP18" s="2850"/>
      <c r="AQ18" s="2850"/>
      <c r="AR18" s="2850"/>
    </row>
    <row r="19" spans="1:67" ht="14.25">
      <c r="A19" s="1859" t="s">
        <v>1655</v>
      </c>
      <c r="B19" s="108">
        <v>0</v>
      </c>
      <c r="C19" s="2980" t="s">
        <v>2805</v>
      </c>
      <c r="D19" s="2855"/>
      <c r="E19" s="2852"/>
      <c r="F19" s="2852"/>
      <c r="G19" s="2852"/>
      <c r="H19" s="2852"/>
      <c r="I19" s="2852"/>
      <c r="J19" s="2852"/>
      <c r="K19" s="2851"/>
      <c r="L19" s="2851"/>
      <c r="M19" s="2850"/>
      <c r="N19" s="2850">
        <v>0.9</v>
      </c>
      <c r="O19" s="2850"/>
      <c r="P19" s="2850"/>
      <c r="Q19" s="2850"/>
      <c r="R19" s="2850"/>
      <c r="S19" s="2850"/>
      <c r="T19" s="2850"/>
      <c r="U19" s="2850"/>
      <c r="V19" s="2850"/>
      <c r="W19" s="2850"/>
      <c r="X19" s="2850"/>
      <c r="Y19" s="2850"/>
      <c r="Z19" s="2850"/>
      <c r="AA19" s="2850"/>
      <c r="AB19" s="2850"/>
      <c r="AC19" s="2850"/>
      <c r="AD19" s="2850"/>
      <c r="AE19" s="2850"/>
      <c r="AF19" s="2850"/>
      <c r="AG19" s="2850"/>
      <c r="AH19" s="2850"/>
      <c r="AI19" s="2850"/>
      <c r="AJ19" s="2850"/>
      <c r="AK19" s="2850"/>
      <c r="AL19" s="2850"/>
      <c r="AM19" s="2850"/>
      <c r="AN19" s="2850"/>
      <c r="AO19" s="2850"/>
      <c r="AP19" s="2850"/>
      <c r="AQ19" s="2850"/>
      <c r="AR19" s="2850"/>
    </row>
    <row r="20" spans="1:67" ht="14.25">
      <c r="A20" s="1860" t="s">
        <v>1656</v>
      </c>
      <c r="B20" s="109">
        <v>2</v>
      </c>
      <c r="C20" s="2981" t="s">
        <v>2803</v>
      </c>
      <c r="D20" s="2855"/>
      <c r="E20" s="2852"/>
      <c r="F20" s="2852"/>
      <c r="G20" s="2852"/>
      <c r="H20" s="2852"/>
      <c r="I20" s="2852"/>
      <c r="J20" s="2852"/>
      <c r="K20" s="2851"/>
      <c r="L20" s="2851"/>
      <c r="M20" s="2850"/>
      <c r="N20" s="2850">
        <f>(N18+N19)/2</f>
        <v>0.73499999999999999</v>
      </c>
      <c r="O20" s="2850"/>
      <c r="P20" s="2850"/>
      <c r="Q20" s="2850"/>
      <c r="R20" s="2850"/>
      <c r="S20" s="2850"/>
      <c r="T20" s="2850"/>
      <c r="U20" s="2850"/>
      <c r="V20" s="2850"/>
      <c r="W20" s="2850"/>
      <c r="X20" s="2850"/>
      <c r="Y20" s="2850"/>
      <c r="Z20" s="2850"/>
      <c r="AA20" s="2850"/>
      <c r="AB20" s="2850"/>
      <c r="AC20" s="2850"/>
      <c r="AD20" s="2850"/>
      <c r="AE20" s="2850"/>
      <c r="AF20" s="2850"/>
      <c r="AG20" s="2850"/>
      <c r="AH20" s="2850"/>
      <c r="AI20" s="2850"/>
      <c r="AJ20" s="2850"/>
      <c r="AK20" s="2850"/>
      <c r="AL20" s="2850"/>
      <c r="AM20" s="2850"/>
      <c r="AN20" s="2850"/>
      <c r="AO20" s="2850"/>
      <c r="AP20" s="2850"/>
      <c r="AQ20" s="2850"/>
      <c r="AR20" s="2850"/>
    </row>
    <row r="21" spans="1:67" ht="14.25">
      <c r="A21" s="1861" t="s">
        <v>1657</v>
      </c>
      <c r="B21" s="109">
        <v>2</v>
      </c>
      <c r="C21" s="2852"/>
      <c r="D21" s="2855"/>
      <c r="E21" s="2852"/>
      <c r="F21" s="2852"/>
      <c r="G21" s="2852"/>
      <c r="H21" s="2852"/>
      <c r="I21" s="2852"/>
      <c r="J21" s="2852"/>
      <c r="K21" s="2851"/>
      <c r="L21" s="2851"/>
      <c r="M21" s="2850"/>
      <c r="N21" s="2850"/>
      <c r="O21" s="2850"/>
      <c r="P21" s="2850"/>
      <c r="Q21" s="2850"/>
      <c r="R21" s="2850"/>
      <c r="S21" s="2850"/>
      <c r="T21" s="2850"/>
      <c r="U21" s="2850"/>
      <c r="V21" s="2850"/>
      <c r="W21" s="2850"/>
      <c r="X21" s="2850"/>
      <c r="Y21" s="2850"/>
      <c r="Z21" s="2850"/>
      <c r="AA21" s="2850"/>
      <c r="AB21" s="2850"/>
      <c r="AC21" s="2850"/>
      <c r="AD21" s="2850"/>
      <c r="AE21" s="2850"/>
      <c r="AF21" s="2850"/>
      <c r="AG21" s="2850"/>
      <c r="AH21" s="2850"/>
      <c r="AI21" s="2850"/>
      <c r="AJ21" s="2850"/>
      <c r="AK21" s="2850"/>
      <c r="AL21" s="2850"/>
      <c r="AM21" s="2850"/>
      <c r="AN21" s="2850"/>
      <c r="AO21" s="2850"/>
      <c r="AP21" s="2850"/>
      <c r="AQ21" s="2850"/>
      <c r="AR21" s="2850"/>
    </row>
    <row r="22" spans="1:67" ht="14.25">
      <c r="A22" s="1860" t="s">
        <v>1658</v>
      </c>
      <c r="B22" s="110">
        <f>B19+B20</f>
        <v>2</v>
      </c>
      <c r="C22" s="2852"/>
      <c r="D22" s="2855"/>
      <c r="E22" s="2852"/>
      <c r="F22" s="2852"/>
      <c r="G22" s="2852"/>
      <c r="H22" s="2852"/>
      <c r="I22" s="2852"/>
      <c r="J22" s="2852"/>
      <c r="K22" s="2851"/>
      <c r="L22" s="2851"/>
      <c r="M22" s="2850"/>
      <c r="N22" s="2850"/>
      <c r="O22" s="2850"/>
      <c r="P22" s="2850"/>
      <c r="Q22" s="2850"/>
      <c r="R22" s="2850"/>
      <c r="S22" s="2850"/>
      <c r="T22" s="2850"/>
      <c r="U22" s="2850"/>
      <c r="V22" s="2850"/>
      <c r="W22" s="2850"/>
      <c r="X22" s="2850"/>
      <c r="Y22" s="2850"/>
      <c r="Z22" s="2850"/>
      <c r="AA22" s="2850"/>
      <c r="AB22" s="2850"/>
      <c r="AC22" s="2850"/>
      <c r="AD22" s="2850"/>
      <c r="AE22" s="2850"/>
      <c r="AF22" s="2850"/>
      <c r="AG22" s="2850"/>
      <c r="AH22" s="2850"/>
      <c r="AI22" s="2850"/>
      <c r="AJ22" s="2850"/>
      <c r="AK22" s="2850"/>
      <c r="AL22" s="2850"/>
      <c r="AM22" s="2850"/>
      <c r="AN22" s="2850"/>
      <c r="AO22" s="2850"/>
      <c r="AP22" s="2850"/>
      <c r="AQ22" s="2850"/>
      <c r="AR22" s="2850"/>
    </row>
    <row r="23" spans="1:67" ht="14.25">
      <c r="A23" s="1861" t="s">
        <v>1659</v>
      </c>
      <c r="B23" s="110">
        <f>B19+B21</f>
        <v>2</v>
      </c>
      <c r="C23" s="2852"/>
      <c r="D23" s="2855"/>
      <c r="E23" s="2852"/>
      <c r="F23" s="2852"/>
      <c r="G23" s="2852"/>
      <c r="H23" s="2852"/>
      <c r="I23" s="2852"/>
      <c r="J23" s="2852"/>
      <c r="K23" s="2851"/>
      <c r="L23" s="2851"/>
      <c r="M23" s="2850"/>
      <c r="N23" s="2850"/>
      <c r="O23" s="2850"/>
      <c r="P23" s="2850"/>
      <c r="Q23" s="2850"/>
      <c r="R23" s="2850"/>
      <c r="S23" s="2850"/>
      <c r="T23" s="2850"/>
      <c r="U23" s="2850"/>
      <c r="V23" s="2850"/>
      <c r="W23" s="2850"/>
      <c r="X23" s="2850"/>
      <c r="Y23" s="2850"/>
      <c r="Z23" s="2850"/>
      <c r="AA23" s="2850"/>
      <c r="AB23" s="2850"/>
      <c r="AC23" s="2850"/>
      <c r="AD23" s="2850"/>
      <c r="AE23" s="2850"/>
      <c r="AF23" s="2850"/>
      <c r="AG23" s="2850"/>
      <c r="AH23" s="2850"/>
      <c r="AI23" s="2850"/>
      <c r="AJ23" s="2850"/>
      <c r="AK23" s="2850"/>
      <c r="AL23" s="2850"/>
      <c r="AM23" s="2850"/>
      <c r="AN23" s="2850"/>
      <c r="AO23" s="2850"/>
      <c r="AP23" s="2850"/>
      <c r="AQ23" s="2850"/>
      <c r="AR23" s="2850"/>
    </row>
    <row r="24" spans="1:67" ht="15" thickBot="1">
      <c r="A24" s="1862" t="s">
        <v>1660</v>
      </c>
      <c r="B24" s="111">
        <f>B20-B21</f>
        <v>0</v>
      </c>
      <c r="C24" s="2852"/>
      <c r="D24" s="2855"/>
      <c r="E24" s="2852"/>
      <c r="F24" s="2852"/>
      <c r="G24" s="2852"/>
      <c r="H24" s="2852"/>
      <c r="I24" s="2852"/>
      <c r="J24" s="2852"/>
      <c r="K24" s="2851"/>
      <c r="L24" s="2851"/>
      <c r="M24" s="2850"/>
      <c r="N24" s="2850"/>
      <c r="O24" s="2850"/>
      <c r="P24" s="2850"/>
      <c r="Q24" s="2850"/>
      <c r="R24" s="2850"/>
      <c r="S24" s="2850"/>
      <c r="T24" s="2850"/>
      <c r="U24" s="2850"/>
      <c r="V24" s="2850"/>
      <c r="W24" s="2850"/>
      <c r="X24" s="2850"/>
      <c r="Y24" s="2850"/>
      <c r="Z24" s="2850"/>
      <c r="AA24" s="2850"/>
      <c r="AB24" s="2850"/>
      <c r="AC24" s="2850"/>
      <c r="AD24" s="2850"/>
      <c r="AE24" s="2850"/>
      <c r="AF24" s="2850"/>
      <c r="AG24" s="2850"/>
      <c r="AH24" s="2850"/>
      <c r="AI24" s="2850"/>
      <c r="AJ24" s="2850"/>
      <c r="AK24" s="2850"/>
      <c r="AL24" s="2850"/>
      <c r="AM24" s="2850"/>
      <c r="AN24" s="2850"/>
      <c r="AO24" s="2850"/>
      <c r="AP24" s="2850"/>
      <c r="AQ24" s="2850"/>
      <c r="AR24" s="2850"/>
    </row>
    <row r="25" spans="1:67" ht="15" thickBot="1">
      <c r="A25" s="1693"/>
      <c r="B25" s="1824"/>
      <c r="C25" s="2852"/>
      <c r="D25" s="2855"/>
      <c r="E25" s="2852"/>
      <c r="F25" s="2852"/>
      <c r="G25" s="2852"/>
      <c r="H25" s="2852"/>
      <c r="I25" s="2852"/>
      <c r="J25" s="2852"/>
      <c r="K25" s="2851"/>
      <c r="L25" s="2851"/>
      <c r="M25" s="2850"/>
      <c r="N25" s="2850"/>
      <c r="O25" s="2850"/>
      <c r="P25" s="2850"/>
      <c r="Q25" s="2850"/>
      <c r="R25" s="2850"/>
      <c r="S25" s="2850"/>
      <c r="T25" s="2850"/>
      <c r="U25" s="2850"/>
      <c r="V25" s="2850"/>
      <c r="W25" s="2850"/>
      <c r="X25" s="2850"/>
      <c r="Y25" s="2850"/>
      <c r="Z25" s="2850"/>
      <c r="AA25" s="2850"/>
      <c r="AB25" s="2850"/>
      <c r="AC25" s="2850"/>
      <c r="AD25" s="2850"/>
      <c r="AE25" s="2850"/>
      <c r="AF25" s="2850"/>
      <c r="AG25" s="2850"/>
      <c r="AH25" s="2850"/>
      <c r="AI25" s="2850"/>
      <c r="AJ25" s="2850"/>
      <c r="AK25" s="2850"/>
      <c r="AL25" s="2850"/>
      <c r="AM25" s="2850"/>
      <c r="AN25" s="2850"/>
      <c r="AO25" s="2850"/>
      <c r="AP25" s="2850"/>
      <c r="AQ25" s="2850"/>
      <c r="AR25" s="2850"/>
    </row>
    <row r="26" spans="1:67" ht="15" thickBot="1">
      <c r="A26" s="1820" t="s">
        <v>1661</v>
      </c>
      <c r="B26" s="1863" t="s">
        <v>1662</v>
      </c>
      <c r="C26" s="2856" t="s">
        <v>1663</v>
      </c>
      <c r="D26" s="2855"/>
      <c r="E26" s="2852"/>
      <c r="F26" s="2852"/>
      <c r="G26" s="2852"/>
      <c r="H26" s="2852"/>
      <c r="I26" s="2852"/>
      <c r="J26" s="2852"/>
      <c r="K26" s="2851"/>
      <c r="L26" s="2851"/>
      <c r="M26" s="2850"/>
      <c r="N26" s="2850"/>
      <c r="O26" s="2850"/>
      <c r="P26" s="2850"/>
      <c r="Q26" s="2850"/>
      <c r="R26" s="2850"/>
      <c r="S26" s="2850"/>
      <c r="T26" s="2850"/>
      <c r="U26" s="2850"/>
      <c r="V26" s="2850"/>
      <c r="W26" s="2850"/>
      <c r="X26" s="2850"/>
      <c r="Y26" s="2850"/>
      <c r="Z26" s="2850"/>
      <c r="AA26" s="2850"/>
      <c r="AB26" s="2850"/>
      <c r="AC26" s="2850"/>
      <c r="AD26" s="2850"/>
      <c r="AE26" s="2850"/>
      <c r="AF26" s="2850"/>
      <c r="AG26" s="2850"/>
      <c r="AH26" s="2850"/>
      <c r="AI26" s="2850"/>
      <c r="AJ26" s="2850"/>
      <c r="AK26" s="2850"/>
      <c r="AL26" s="2850"/>
      <c r="AM26" s="2850"/>
      <c r="AN26" s="2850"/>
      <c r="AO26" s="2850"/>
      <c r="AP26" s="2850"/>
      <c r="AQ26" s="2850"/>
      <c r="AR26" s="2850"/>
    </row>
    <row r="27" spans="1:67" s="1865" customFormat="1" ht="27.75">
      <c r="A27" s="1864" t="s">
        <v>1664</v>
      </c>
      <c r="B27" s="112">
        <v>160</v>
      </c>
      <c r="C27" s="2982" t="s">
        <v>2807</v>
      </c>
      <c r="D27" s="2858"/>
      <c r="E27" s="2838"/>
      <c r="F27" s="2838"/>
      <c r="G27" s="2852"/>
      <c r="H27" s="2852"/>
      <c r="I27" s="2852"/>
      <c r="J27" s="2852"/>
      <c r="K27" s="2851"/>
      <c r="L27" s="2851"/>
      <c r="M27" s="2850"/>
      <c r="N27" s="2850"/>
      <c r="O27" s="2850"/>
      <c r="P27" s="2850"/>
      <c r="Q27" s="2850"/>
      <c r="R27" s="2850"/>
      <c r="S27" s="2850"/>
      <c r="T27" s="2850"/>
      <c r="U27" s="2850"/>
      <c r="V27" s="2850"/>
      <c r="W27" s="2850"/>
      <c r="X27" s="2850"/>
      <c r="Y27" s="2850"/>
      <c r="Z27" s="2850"/>
      <c r="AA27" s="2850"/>
      <c r="AB27" s="2850"/>
      <c r="AC27" s="2850"/>
      <c r="AD27" s="2850"/>
      <c r="AE27" s="2850"/>
      <c r="AF27" s="2850"/>
      <c r="AG27" s="2850"/>
      <c r="AH27" s="2850"/>
      <c r="AI27" s="2850"/>
      <c r="AJ27" s="2850"/>
      <c r="AK27" s="2850"/>
      <c r="AL27" s="2850"/>
      <c r="AM27" s="2850"/>
      <c r="AN27" s="2850"/>
      <c r="AO27" s="2850"/>
      <c r="AP27" s="2850"/>
      <c r="AQ27" s="2850"/>
      <c r="AR27" s="2850"/>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row>
    <row r="28" spans="1:67" s="1865" customFormat="1" ht="27.75">
      <c r="A28" s="1866" t="s">
        <v>1665</v>
      </c>
      <c r="B28" s="115">
        <v>200</v>
      </c>
      <c r="C28" s="2859"/>
      <c r="D28" s="2858"/>
      <c r="E28" s="2838"/>
      <c r="F28" s="2838"/>
      <c r="G28" s="2852"/>
      <c r="H28" s="2852"/>
      <c r="I28" s="2852"/>
      <c r="J28" s="2852"/>
      <c r="K28" s="2851"/>
      <c r="L28" s="2851"/>
      <c r="M28" s="2850"/>
      <c r="N28" s="2850"/>
      <c r="O28" s="2850"/>
      <c r="P28" s="2850"/>
      <c r="Q28" s="2850"/>
      <c r="R28" s="2850"/>
      <c r="S28" s="2850"/>
      <c r="T28" s="2850"/>
      <c r="U28" s="2850"/>
      <c r="V28" s="2850"/>
      <c r="W28" s="2850"/>
      <c r="X28" s="2850"/>
      <c r="Y28" s="2850"/>
      <c r="Z28" s="2850"/>
      <c r="AA28" s="2850"/>
      <c r="AB28" s="2850"/>
      <c r="AC28" s="2850"/>
      <c r="AD28" s="2850"/>
      <c r="AE28" s="2850"/>
      <c r="AF28" s="2850"/>
      <c r="AG28" s="2850"/>
      <c r="AH28" s="2850"/>
      <c r="AI28" s="2850"/>
      <c r="AJ28" s="2850"/>
      <c r="AK28" s="2850"/>
      <c r="AL28" s="2850"/>
      <c r="AM28" s="2850"/>
      <c r="AN28" s="2850"/>
      <c r="AO28" s="2850"/>
      <c r="AP28" s="2850"/>
      <c r="AQ28" s="2850"/>
      <c r="AR28" s="2850"/>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row>
    <row r="29" spans="1:67" s="1865" customFormat="1" ht="28.5" thickBot="1">
      <c r="A29" s="1867" t="s">
        <v>1666</v>
      </c>
      <c r="B29" s="117">
        <f ca="1">成本法!C10</f>
        <v>131</v>
      </c>
      <c r="C29" s="2983" t="s">
        <v>2794</v>
      </c>
      <c r="D29" s="2858"/>
      <c r="E29" s="2838"/>
      <c r="F29" s="2838"/>
      <c r="G29" s="2852"/>
      <c r="H29" s="2852"/>
      <c r="I29" s="2852"/>
      <c r="J29" s="2852"/>
      <c r="K29" s="2851"/>
      <c r="L29" s="2851"/>
      <c r="M29" s="2850"/>
      <c r="N29" s="2850"/>
      <c r="O29" s="2850"/>
      <c r="P29" s="2850"/>
      <c r="Q29" s="2850"/>
      <c r="R29" s="2850"/>
      <c r="S29" s="2850"/>
      <c r="T29" s="2850"/>
      <c r="U29" s="2850"/>
      <c r="V29" s="2850"/>
      <c r="W29" s="2850"/>
      <c r="X29" s="2850"/>
      <c r="Y29" s="2850"/>
      <c r="Z29" s="2850"/>
      <c r="AA29" s="2850"/>
      <c r="AB29" s="2850"/>
      <c r="AC29" s="2850"/>
      <c r="AD29" s="2850"/>
      <c r="AE29" s="2850"/>
      <c r="AF29" s="2850"/>
      <c r="AG29" s="2850"/>
      <c r="AH29" s="2850"/>
      <c r="AI29" s="2850"/>
      <c r="AJ29" s="2850"/>
      <c r="AK29" s="2850"/>
      <c r="AL29" s="2850"/>
      <c r="AM29" s="2850"/>
      <c r="AN29" s="2850"/>
      <c r="AO29" s="2850"/>
      <c r="AP29" s="2850"/>
      <c r="AQ29" s="2850"/>
      <c r="AR29" s="2850"/>
      <c r="AS29" s="883"/>
      <c r="AT29" s="883"/>
      <c r="AU29" s="883"/>
      <c r="AV29" s="883"/>
      <c r="AW29" s="883"/>
      <c r="AX29" s="883"/>
      <c r="AY29" s="883"/>
      <c r="AZ29" s="883"/>
      <c r="BA29" s="883"/>
      <c r="BB29" s="883"/>
      <c r="BC29" s="883"/>
      <c r="BD29" s="883"/>
      <c r="BE29" s="883"/>
      <c r="BF29" s="883"/>
      <c r="BG29" s="883"/>
      <c r="BH29" s="883"/>
      <c r="BI29" s="883"/>
      <c r="BJ29" s="883"/>
      <c r="BK29" s="883"/>
      <c r="BL29" s="883"/>
      <c r="BM29" s="883"/>
      <c r="BN29" s="883"/>
      <c r="BO29" s="883"/>
    </row>
    <row r="30" spans="1:67" s="1865" customFormat="1" ht="27">
      <c r="A30" s="1868" t="s">
        <v>1667</v>
      </c>
      <c r="B30" s="680">
        <v>200</v>
      </c>
      <c r="C30" s="2859"/>
      <c r="D30" s="2858"/>
      <c r="E30" s="2838"/>
      <c r="F30" s="2838"/>
      <c r="G30" s="2852"/>
      <c r="H30" s="2852"/>
      <c r="I30" s="2852"/>
      <c r="J30" s="2852"/>
      <c r="K30" s="2851"/>
      <c r="L30" s="2851"/>
      <c r="M30" s="2850"/>
      <c r="N30" s="2850"/>
      <c r="O30" s="2850"/>
      <c r="P30" s="2850"/>
      <c r="Q30" s="2850"/>
      <c r="R30" s="2850"/>
      <c r="S30" s="2850"/>
      <c r="T30" s="2850"/>
      <c r="U30" s="2850"/>
      <c r="V30" s="2850"/>
      <c r="W30" s="2850"/>
      <c r="X30" s="2850"/>
      <c r="Y30" s="2850"/>
      <c r="Z30" s="2850"/>
      <c r="AA30" s="2850"/>
      <c r="AB30" s="2850"/>
      <c r="AC30" s="2850"/>
      <c r="AD30" s="2850"/>
      <c r="AE30" s="2850"/>
      <c r="AF30" s="2850"/>
      <c r="AG30" s="2850"/>
      <c r="AH30" s="2850"/>
      <c r="AI30" s="2850"/>
      <c r="AJ30" s="2850"/>
      <c r="AK30" s="2850"/>
      <c r="AL30" s="2850"/>
      <c r="AM30" s="2850"/>
      <c r="AN30" s="2850"/>
      <c r="AO30" s="2850"/>
      <c r="AP30" s="2850"/>
      <c r="AQ30" s="2850"/>
      <c r="AR30" s="2850"/>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row>
    <row r="31" spans="1:67" s="1865" customFormat="1" ht="27">
      <c r="A31" s="1866" t="s">
        <v>1668</v>
      </c>
      <c r="B31" s="116">
        <f>B30-B32</f>
        <v>200</v>
      </c>
      <c r="C31" s="2857"/>
      <c r="D31" s="2858"/>
      <c r="E31" s="2838"/>
      <c r="F31" s="2838"/>
      <c r="G31" s="2852"/>
      <c r="H31" s="2852"/>
      <c r="I31" s="2852"/>
      <c r="J31" s="2852"/>
      <c r="K31" s="2851"/>
      <c r="L31" s="2851"/>
      <c r="M31" s="2850"/>
      <c r="N31" s="2850"/>
      <c r="O31" s="2850"/>
      <c r="P31" s="2850"/>
      <c r="Q31" s="2850"/>
      <c r="R31" s="2850"/>
      <c r="S31" s="2850"/>
      <c r="T31" s="2850"/>
      <c r="U31" s="2850"/>
      <c r="V31" s="2850"/>
      <c r="W31" s="2850"/>
      <c r="X31" s="2850"/>
      <c r="Y31" s="2850"/>
      <c r="Z31" s="2850"/>
      <c r="AA31" s="2850"/>
      <c r="AB31" s="2850"/>
      <c r="AC31" s="2850"/>
      <c r="AD31" s="2850"/>
      <c r="AE31" s="2850"/>
      <c r="AF31" s="2850"/>
      <c r="AG31" s="2850"/>
      <c r="AH31" s="2850"/>
      <c r="AI31" s="2850"/>
      <c r="AJ31" s="2850"/>
      <c r="AK31" s="2850"/>
      <c r="AL31" s="2850"/>
      <c r="AM31" s="2850"/>
      <c r="AN31" s="2850"/>
      <c r="AO31" s="2850"/>
      <c r="AP31" s="2850"/>
      <c r="AQ31" s="2850"/>
      <c r="AR31" s="2850"/>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row>
    <row r="32" spans="1:67" s="1865" customFormat="1" ht="27.75" thickBot="1">
      <c r="A32" s="1869" t="s">
        <v>1669</v>
      </c>
      <c r="B32" s="681">
        <v>0</v>
      </c>
      <c r="C32" s="2859"/>
      <c r="D32" s="2855"/>
      <c r="E32" s="2852"/>
      <c r="F32" s="2852"/>
      <c r="G32" s="2852"/>
      <c r="H32" s="2852"/>
      <c r="I32" s="2852"/>
      <c r="J32" s="2852"/>
      <c r="K32" s="2851"/>
      <c r="L32" s="2851"/>
      <c r="M32" s="2850"/>
      <c r="N32" s="2850"/>
      <c r="O32" s="2850"/>
      <c r="P32" s="2850"/>
      <c r="Q32" s="2850"/>
      <c r="R32" s="2850"/>
      <c r="S32" s="2850"/>
      <c r="T32" s="2850"/>
      <c r="U32" s="2850"/>
      <c r="V32" s="2850"/>
      <c r="W32" s="2850"/>
      <c r="X32" s="2850"/>
      <c r="Y32" s="2850"/>
      <c r="Z32" s="2850"/>
      <c r="AA32" s="2850"/>
      <c r="AB32" s="2850"/>
      <c r="AC32" s="2850"/>
      <c r="AD32" s="2850"/>
      <c r="AE32" s="2850"/>
      <c r="AF32" s="2850"/>
      <c r="AG32" s="2850"/>
      <c r="AH32" s="2850"/>
      <c r="AI32" s="2850"/>
      <c r="AJ32" s="2850"/>
      <c r="AK32" s="2850"/>
      <c r="AL32" s="2850"/>
      <c r="AM32" s="2850"/>
      <c r="AN32" s="2850"/>
      <c r="AO32" s="2850"/>
      <c r="AP32" s="2850"/>
      <c r="AQ32" s="2850"/>
      <c r="AR32" s="2850"/>
      <c r="AS32" s="883"/>
      <c r="AT32" s="883"/>
      <c r="AU32" s="883"/>
      <c r="AV32" s="883"/>
      <c r="AW32" s="883"/>
      <c r="AX32" s="883"/>
      <c r="AY32" s="883"/>
      <c r="AZ32" s="883"/>
      <c r="BA32" s="883"/>
      <c r="BB32" s="883"/>
      <c r="BC32" s="883"/>
      <c r="BD32" s="883"/>
      <c r="BE32" s="883"/>
      <c r="BF32" s="883"/>
      <c r="BG32" s="883"/>
      <c r="BH32" s="883"/>
      <c r="BI32" s="883"/>
      <c r="BJ32" s="883"/>
      <c r="BK32" s="883"/>
      <c r="BL32" s="883"/>
      <c r="BM32" s="883"/>
      <c r="BN32" s="883"/>
      <c r="BO32" s="883"/>
    </row>
    <row r="33" spans="1:67" s="1865" customFormat="1" ht="14.25">
      <c r="A33" s="1864" t="s">
        <v>1670</v>
      </c>
      <c r="B33" s="682">
        <v>0.03</v>
      </c>
      <c r="C33" s="2984" t="s">
        <v>2795</v>
      </c>
      <c r="D33" s="2855"/>
      <c r="E33" s="2852"/>
      <c r="F33" s="2852"/>
      <c r="G33" s="2852"/>
      <c r="H33" s="2852"/>
      <c r="I33" s="2852"/>
      <c r="J33" s="2852"/>
      <c r="K33" s="2851"/>
      <c r="L33" s="2851"/>
      <c r="M33" s="2850"/>
      <c r="N33" s="2850"/>
      <c r="O33" s="2850"/>
      <c r="P33" s="2850"/>
      <c r="Q33" s="2850"/>
      <c r="R33" s="2850"/>
      <c r="S33" s="2850"/>
      <c r="T33" s="2850"/>
      <c r="U33" s="2850"/>
      <c r="V33" s="2850"/>
      <c r="W33" s="2850"/>
      <c r="X33" s="2850"/>
      <c r="Y33" s="2850"/>
      <c r="Z33" s="2850"/>
      <c r="AA33" s="2850"/>
      <c r="AB33" s="2850"/>
      <c r="AC33" s="2850"/>
      <c r="AD33" s="2850"/>
      <c r="AE33" s="2850"/>
      <c r="AF33" s="2850"/>
      <c r="AG33" s="2850"/>
      <c r="AH33" s="2850"/>
      <c r="AI33" s="2850"/>
      <c r="AJ33" s="2850"/>
      <c r="AK33" s="2850"/>
      <c r="AL33" s="2850"/>
      <c r="AM33" s="2850"/>
      <c r="AN33" s="2850"/>
      <c r="AO33" s="2850"/>
      <c r="AP33" s="2850"/>
      <c r="AQ33" s="2850"/>
      <c r="AR33" s="2850"/>
      <c r="AS33" s="883"/>
      <c r="AT33" s="883"/>
      <c r="AU33" s="883"/>
      <c r="AV33" s="883"/>
      <c r="AW33" s="883"/>
      <c r="AX33" s="883"/>
      <c r="AY33" s="883"/>
      <c r="AZ33" s="883"/>
      <c r="BA33" s="883"/>
      <c r="BB33" s="883"/>
      <c r="BC33" s="883"/>
      <c r="BD33" s="883"/>
      <c r="BE33" s="883"/>
      <c r="BF33" s="883"/>
      <c r="BG33" s="883"/>
      <c r="BH33" s="883"/>
      <c r="BI33" s="883"/>
      <c r="BJ33" s="883"/>
      <c r="BK33" s="883"/>
      <c r="BL33" s="883"/>
      <c r="BM33" s="883"/>
      <c r="BN33" s="883"/>
      <c r="BO33" s="883"/>
    </row>
    <row r="34" spans="1:67" s="1865" customFormat="1" ht="14.25">
      <c r="A34" s="1866" t="s">
        <v>1671</v>
      </c>
      <c r="B34" s="118">
        <v>0</v>
      </c>
      <c r="C34" s="2984" t="s">
        <v>2796</v>
      </c>
      <c r="D34" s="2863" t="s">
        <v>2804</v>
      </c>
      <c r="E34" s="2861"/>
      <c r="F34" s="2852"/>
      <c r="G34" s="2852"/>
      <c r="H34" s="2852"/>
      <c r="I34" s="2852"/>
      <c r="J34" s="2852"/>
      <c r="K34" s="2851"/>
      <c r="L34" s="2851"/>
      <c r="M34" s="2850"/>
      <c r="N34" s="2850"/>
      <c r="O34" s="2850"/>
      <c r="P34" s="2850"/>
      <c r="Q34" s="2850"/>
      <c r="R34" s="2850"/>
      <c r="S34" s="2850"/>
      <c r="T34" s="2850"/>
      <c r="U34" s="2850"/>
      <c r="V34" s="2850"/>
      <c r="W34" s="2850"/>
      <c r="X34" s="2850"/>
      <c r="Y34" s="2850"/>
      <c r="Z34" s="2850"/>
      <c r="AA34" s="2850"/>
      <c r="AB34" s="2850"/>
      <c r="AC34" s="2850"/>
      <c r="AD34" s="2850"/>
      <c r="AE34" s="2850"/>
      <c r="AF34" s="2850"/>
      <c r="AG34" s="2850"/>
      <c r="AH34" s="2850"/>
      <c r="AI34" s="2850"/>
      <c r="AJ34" s="2850"/>
      <c r="AK34" s="2850"/>
      <c r="AL34" s="2850"/>
      <c r="AM34" s="2850"/>
      <c r="AN34" s="2850"/>
      <c r="AO34" s="2850"/>
      <c r="AP34" s="2850"/>
      <c r="AQ34" s="2850"/>
      <c r="AR34" s="2850"/>
      <c r="AS34" s="883"/>
      <c r="AT34" s="883"/>
      <c r="AU34" s="883"/>
      <c r="AV34" s="883"/>
      <c r="AW34" s="883"/>
      <c r="AX34" s="883"/>
      <c r="AY34" s="883"/>
      <c r="AZ34" s="883"/>
      <c r="BA34" s="883"/>
      <c r="BB34" s="883"/>
      <c r="BC34" s="883"/>
      <c r="BD34" s="883"/>
      <c r="BE34" s="883"/>
      <c r="BF34" s="883"/>
      <c r="BG34" s="883"/>
      <c r="BH34" s="883"/>
      <c r="BI34" s="883"/>
      <c r="BJ34" s="883"/>
      <c r="BK34" s="883"/>
      <c r="BL34" s="883"/>
      <c r="BM34" s="883"/>
      <c r="BN34" s="883"/>
      <c r="BO34" s="883"/>
    </row>
    <row r="35" spans="1:67" s="1865" customFormat="1" ht="14.25">
      <c r="A35" s="1866" t="s">
        <v>1672</v>
      </c>
      <c r="B35" s="115">
        <v>200</v>
      </c>
      <c r="C35" s="2984" t="s">
        <v>2797</v>
      </c>
      <c r="D35" s="2858"/>
      <c r="E35" s="2838"/>
      <c r="F35" s="2838"/>
      <c r="G35" s="2852"/>
      <c r="H35" s="2852"/>
      <c r="I35" s="2852"/>
      <c r="J35" s="2852"/>
      <c r="K35" s="2851"/>
      <c r="L35" s="2851"/>
      <c r="M35" s="2850"/>
      <c r="N35" s="2850"/>
      <c r="O35" s="2850"/>
      <c r="P35" s="2850"/>
      <c r="Q35" s="2850"/>
      <c r="R35" s="2850"/>
      <c r="S35" s="2850"/>
      <c r="T35" s="2850"/>
      <c r="U35" s="2850"/>
      <c r="V35" s="2850"/>
      <c r="W35" s="2850"/>
      <c r="X35" s="2850"/>
      <c r="Y35" s="2850"/>
      <c r="Z35" s="2850"/>
      <c r="AA35" s="2850"/>
      <c r="AB35" s="2850"/>
      <c r="AC35" s="2850"/>
      <c r="AD35" s="2850"/>
      <c r="AE35" s="2850"/>
      <c r="AF35" s="2850"/>
      <c r="AG35" s="2850"/>
      <c r="AH35" s="2850"/>
      <c r="AI35" s="2850"/>
      <c r="AJ35" s="2850"/>
      <c r="AK35" s="2850"/>
      <c r="AL35" s="2850"/>
      <c r="AM35" s="2850"/>
      <c r="AN35" s="2850"/>
      <c r="AO35" s="2850"/>
      <c r="AP35" s="2850"/>
      <c r="AQ35" s="2850"/>
      <c r="AR35" s="2850"/>
      <c r="AS35" s="883"/>
      <c r="AT35" s="883"/>
      <c r="AU35" s="883"/>
      <c r="AV35" s="883"/>
      <c r="AW35" s="883"/>
      <c r="AX35" s="883"/>
      <c r="AY35" s="883"/>
      <c r="AZ35" s="883"/>
      <c r="BA35" s="883"/>
      <c r="BB35" s="883"/>
      <c r="BC35" s="883"/>
      <c r="BD35" s="883"/>
      <c r="BE35" s="883"/>
      <c r="BF35" s="883"/>
      <c r="BG35" s="883"/>
      <c r="BH35" s="883"/>
      <c r="BI35" s="883"/>
      <c r="BJ35" s="883"/>
      <c r="BK35" s="883"/>
      <c r="BL35" s="883"/>
      <c r="BM35" s="883"/>
      <c r="BN35" s="883"/>
      <c r="BO35" s="883"/>
    </row>
    <row r="36" spans="1:67" ht="15" thickBot="1">
      <c r="A36" s="1867" t="s">
        <v>1673</v>
      </c>
      <c r="B36" s="119">
        <v>1.4999999999999999E-2</v>
      </c>
      <c r="C36" s="2984" t="s">
        <v>2798</v>
      </c>
      <c r="D36" s="2855"/>
      <c r="E36" s="2852"/>
      <c r="F36" s="2852"/>
      <c r="G36" s="2852"/>
      <c r="H36" s="2852"/>
      <c r="I36" s="2852"/>
      <c r="J36" s="2852"/>
      <c r="K36" s="2851"/>
      <c r="L36" s="2851"/>
      <c r="M36" s="2850"/>
      <c r="N36" s="2850"/>
      <c r="O36" s="2850"/>
      <c r="P36" s="2850"/>
      <c r="Q36" s="2850"/>
      <c r="R36" s="2850"/>
      <c r="S36" s="2850"/>
      <c r="T36" s="2850"/>
      <c r="U36" s="2850"/>
      <c r="V36" s="2850"/>
      <c r="W36" s="2850"/>
      <c r="X36" s="2850"/>
      <c r="Y36" s="2850"/>
      <c r="Z36" s="2850"/>
      <c r="AA36" s="2850"/>
      <c r="AB36" s="2850"/>
      <c r="AC36" s="2850"/>
      <c r="AD36" s="2850"/>
      <c r="AE36" s="2850"/>
      <c r="AF36" s="2850"/>
      <c r="AG36" s="2850"/>
      <c r="AH36" s="2850"/>
      <c r="AI36" s="2850"/>
      <c r="AJ36" s="2850"/>
      <c r="AK36" s="2850"/>
      <c r="AL36" s="2850"/>
      <c r="AM36" s="2850"/>
      <c r="AN36" s="2850"/>
      <c r="AO36" s="2850"/>
      <c r="AP36" s="2850"/>
      <c r="AQ36" s="2850"/>
      <c r="AR36" s="2850"/>
    </row>
    <row r="37" spans="1:67" ht="14.25">
      <c r="A37" s="1868" t="s">
        <v>1674</v>
      </c>
      <c r="B37" s="120">
        <v>0.02</v>
      </c>
      <c r="C37" s="2984" t="s">
        <v>2799</v>
      </c>
      <c r="D37" s="2855"/>
      <c r="E37" s="2852"/>
      <c r="F37" s="2852"/>
      <c r="G37" s="2852"/>
      <c r="H37" s="2852"/>
      <c r="I37" s="2852"/>
      <c r="J37" s="2852"/>
      <c r="K37" s="2851"/>
      <c r="L37" s="2851"/>
      <c r="M37" s="2850"/>
      <c r="N37" s="2850"/>
      <c r="O37" s="2850"/>
      <c r="P37" s="2850"/>
      <c r="Q37" s="2850"/>
      <c r="R37" s="2850"/>
      <c r="S37" s="2850"/>
      <c r="T37" s="2850"/>
      <c r="U37" s="2850"/>
      <c r="V37" s="2850"/>
      <c r="W37" s="2850"/>
      <c r="X37" s="2850"/>
      <c r="Y37" s="2850"/>
      <c r="Z37" s="2850"/>
      <c r="AA37" s="2850"/>
      <c r="AB37" s="2850"/>
      <c r="AC37" s="2850"/>
      <c r="AD37" s="2850"/>
      <c r="AE37" s="2850"/>
      <c r="AF37" s="2850"/>
      <c r="AG37" s="2850"/>
      <c r="AH37" s="2850"/>
      <c r="AI37" s="2850"/>
      <c r="AJ37" s="2850"/>
      <c r="AK37" s="2850"/>
      <c r="AL37" s="2850"/>
      <c r="AM37" s="2850"/>
      <c r="AN37" s="2850"/>
      <c r="AO37" s="2850"/>
      <c r="AP37" s="2850"/>
      <c r="AQ37" s="2850"/>
      <c r="AR37" s="2850"/>
    </row>
    <row r="38" spans="1:67" ht="14.25">
      <c r="A38" s="1866" t="s">
        <v>1675</v>
      </c>
      <c r="B38" s="118">
        <v>0.02</v>
      </c>
      <c r="C38" s="2984" t="s">
        <v>2799</v>
      </c>
      <c r="D38" s="2855"/>
      <c r="E38" s="2852"/>
      <c r="F38" s="2852"/>
      <c r="G38" s="2852"/>
      <c r="H38" s="2852"/>
      <c r="I38" s="2852"/>
      <c r="J38" s="2852"/>
      <c r="K38" s="2851"/>
      <c r="L38" s="2851"/>
      <c r="M38" s="2850"/>
      <c r="N38" s="2850"/>
      <c r="O38" s="2850"/>
      <c r="P38" s="2850"/>
      <c r="Q38" s="2850"/>
      <c r="R38" s="2850"/>
      <c r="S38" s="2850"/>
      <c r="T38" s="2850"/>
      <c r="U38" s="2850"/>
      <c r="V38" s="2850"/>
      <c r="W38" s="2850"/>
      <c r="X38" s="2850"/>
      <c r="Y38" s="2850"/>
      <c r="Z38" s="2850"/>
      <c r="AA38" s="2850"/>
      <c r="AB38" s="2850"/>
      <c r="AC38" s="2850"/>
      <c r="AD38" s="2850"/>
      <c r="AE38" s="2850"/>
      <c r="AF38" s="2850"/>
      <c r="AG38" s="2850"/>
      <c r="AH38" s="2850"/>
      <c r="AI38" s="2850"/>
      <c r="AJ38" s="2850"/>
      <c r="AK38" s="2850"/>
      <c r="AL38" s="2850"/>
      <c r="AM38" s="2850"/>
      <c r="AN38" s="2850"/>
      <c r="AO38" s="2850"/>
      <c r="AP38" s="2850"/>
      <c r="AQ38" s="2850"/>
      <c r="AR38" s="2850"/>
    </row>
    <row r="39" spans="1:67" ht="14.25">
      <c r="A39" s="1869" t="s">
        <v>1676</v>
      </c>
      <c r="B39" s="323">
        <f ca="1">存贷款利率!I1</f>
        <v>1.4999999999999999E-2</v>
      </c>
      <c r="C39" s="2860"/>
      <c r="D39" s="2855"/>
      <c r="E39" s="2852"/>
      <c r="F39" s="2852"/>
      <c r="G39" s="2852"/>
      <c r="H39" s="2852"/>
      <c r="I39" s="2852"/>
      <c r="J39" s="2852"/>
      <c r="K39" s="2851"/>
      <c r="L39" s="2851"/>
      <c r="M39" s="2850"/>
      <c r="N39" s="2850"/>
      <c r="O39" s="2850"/>
      <c r="P39" s="2850"/>
      <c r="Q39" s="2850"/>
      <c r="R39" s="2850"/>
      <c r="S39" s="2850"/>
      <c r="T39" s="2850"/>
      <c r="U39" s="2850"/>
      <c r="V39" s="2850"/>
      <c r="W39" s="2850"/>
      <c r="X39" s="2850"/>
      <c r="Y39" s="2850"/>
      <c r="Z39" s="2850"/>
      <c r="AA39" s="2850"/>
      <c r="AB39" s="2850"/>
      <c r="AC39" s="2850"/>
      <c r="AD39" s="2850"/>
      <c r="AE39" s="2850"/>
      <c r="AF39" s="2850"/>
      <c r="AG39" s="2850"/>
      <c r="AH39" s="2850"/>
      <c r="AI39" s="2850"/>
      <c r="AJ39" s="2850"/>
      <c r="AK39" s="2850"/>
      <c r="AL39" s="2850"/>
      <c r="AM39" s="2850"/>
      <c r="AN39" s="2850"/>
      <c r="AO39" s="2850"/>
      <c r="AP39" s="2850"/>
      <c r="AQ39" s="2850"/>
      <c r="AR39" s="2850"/>
    </row>
    <row r="40" spans="1:67" ht="29.25" thickBot="1">
      <c r="A40" s="2996" t="s">
        <v>3183</v>
      </c>
      <c r="B40" s="1191">
        <f ca="1">IF(A40="利息：取LPR",存贷款利率!G1,存贷款利率!G1+C40)</f>
        <v>4.1499999999999995E-2</v>
      </c>
      <c r="C40" s="2995">
        <v>5.0000000000000001E-3</v>
      </c>
      <c r="D40" s="2850"/>
      <c r="E40" s="2855"/>
      <c r="F40" s="2852"/>
      <c r="G40" s="2852"/>
      <c r="H40" s="2852"/>
      <c r="I40" s="2852"/>
      <c r="J40" s="2852"/>
      <c r="K40" s="2851"/>
      <c r="L40" s="2851"/>
      <c r="M40" s="2850"/>
      <c r="N40" s="2850"/>
      <c r="O40" s="2850"/>
      <c r="P40" s="2850"/>
      <c r="Q40" s="2850"/>
      <c r="R40" s="2850"/>
      <c r="S40" s="2850"/>
      <c r="T40" s="2850"/>
      <c r="U40" s="2850"/>
      <c r="V40" s="2850"/>
      <c r="W40" s="2850"/>
      <c r="X40" s="2850"/>
      <c r="Y40" s="2850"/>
      <c r="Z40" s="2850"/>
      <c r="AA40" s="2850"/>
      <c r="AB40" s="2850"/>
      <c r="AC40" s="2850"/>
      <c r="AD40" s="2850"/>
      <c r="AE40" s="2850"/>
      <c r="AF40" s="2850"/>
      <c r="AG40" s="2850"/>
      <c r="AH40" s="2850"/>
      <c r="AI40" s="2850"/>
      <c r="AJ40" s="2850"/>
      <c r="AK40" s="2850"/>
      <c r="AL40" s="2850"/>
      <c r="AM40" s="2850"/>
      <c r="AN40" s="2850"/>
      <c r="AO40" s="2850"/>
      <c r="AP40" s="2850"/>
      <c r="AQ40" s="2850"/>
      <c r="AR40" s="2850"/>
    </row>
    <row r="41" spans="1:67" ht="14.25">
      <c r="A41" s="1864" t="s">
        <v>1677</v>
      </c>
      <c r="B41" s="121">
        <f>B42+B43</f>
        <v>5.6000000000000001E-2</v>
      </c>
      <c r="C41" s="2857"/>
      <c r="D41" s="2850"/>
      <c r="E41" s="2855"/>
      <c r="F41" s="2852"/>
      <c r="G41" s="2852"/>
      <c r="H41" s="2852"/>
      <c r="I41" s="2852"/>
      <c r="J41" s="2852"/>
      <c r="K41" s="2851"/>
      <c r="L41" s="2851"/>
      <c r="M41" s="2850"/>
      <c r="N41" s="2850"/>
      <c r="O41" s="2850"/>
      <c r="P41" s="2850"/>
      <c r="Q41" s="2850"/>
      <c r="R41" s="2850"/>
      <c r="S41" s="2850"/>
      <c r="T41" s="2850"/>
      <c r="U41" s="2850"/>
      <c r="V41" s="2850"/>
      <c r="W41" s="2850"/>
      <c r="X41" s="2850"/>
      <c r="Y41" s="2850"/>
      <c r="Z41" s="2850"/>
      <c r="AA41" s="2850"/>
      <c r="AB41" s="2850"/>
      <c r="AC41" s="2850"/>
      <c r="AD41" s="2850"/>
      <c r="AE41" s="2850"/>
      <c r="AF41" s="2850"/>
      <c r="AG41" s="2850"/>
      <c r="AH41" s="2850"/>
      <c r="AI41" s="2850"/>
      <c r="AJ41" s="2850"/>
      <c r="AK41" s="2850"/>
      <c r="AL41" s="2850"/>
      <c r="AM41" s="2850"/>
      <c r="AN41" s="2850"/>
      <c r="AO41" s="2850"/>
      <c r="AP41" s="2850"/>
      <c r="AQ41" s="2850"/>
      <c r="AR41" s="2850"/>
    </row>
    <row r="42" spans="1:67" ht="14.25">
      <c r="A42" s="1870" t="s">
        <v>1678</v>
      </c>
      <c r="B42" s="122">
        <v>0.05</v>
      </c>
      <c r="C42" s="2862">
        <f>IF(B2&lt;DATE(2016,5,1),0,B42)</f>
        <v>0.05</v>
      </c>
      <c r="D42" s="2855"/>
      <c r="E42" s="2852"/>
      <c r="F42" s="2852"/>
      <c r="G42" s="2852"/>
      <c r="H42" s="2852"/>
      <c r="I42" s="2852"/>
      <c r="J42" s="2852"/>
      <c r="K42" s="2851"/>
      <c r="L42" s="2851"/>
      <c r="M42" s="2850"/>
      <c r="N42" s="2850"/>
      <c r="O42" s="2850"/>
      <c r="P42" s="2850"/>
      <c r="Q42" s="2850"/>
      <c r="R42" s="2850"/>
      <c r="S42" s="2850"/>
      <c r="T42" s="2850"/>
      <c r="U42" s="2850"/>
      <c r="V42" s="2850"/>
      <c r="W42" s="2850"/>
      <c r="X42" s="2850"/>
      <c r="Y42" s="2850"/>
      <c r="Z42" s="2850"/>
      <c r="AA42" s="2850"/>
      <c r="AB42" s="2850"/>
      <c r="AC42" s="2850"/>
      <c r="AD42" s="2850"/>
      <c r="AE42" s="2850"/>
      <c r="AF42" s="2850"/>
      <c r="AG42" s="2850"/>
      <c r="AH42" s="2850"/>
      <c r="AI42" s="2850"/>
      <c r="AJ42" s="2850"/>
      <c r="AK42" s="2850"/>
      <c r="AL42" s="2850"/>
      <c r="AM42" s="2850"/>
      <c r="AN42" s="2850"/>
      <c r="AO42" s="2850"/>
      <c r="AP42" s="2850"/>
      <c r="AQ42" s="2850"/>
      <c r="AR42" s="2850"/>
    </row>
    <row r="43" spans="1:67" ht="14.25">
      <c r="A43" s="1870" t="s">
        <v>1679</v>
      </c>
      <c r="B43" s="123">
        <f>B42*(B44+B45+B46)+B47</f>
        <v>6.000000000000001E-3</v>
      </c>
      <c r="C43" s="2857"/>
      <c r="D43" s="2855"/>
      <c r="E43" s="2852"/>
      <c r="F43" s="2852"/>
      <c r="G43" s="2852"/>
      <c r="H43" s="2852"/>
      <c r="I43" s="2852"/>
      <c r="J43" s="2852"/>
      <c r="K43" s="2851"/>
      <c r="L43" s="2851"/>
      <c r="M43" s="2850"/>
      <c r="N43" s="2850"/>
      <c r="O43" s="2850"/>
      <c r="P43" s="2850"/>
      <c r="Q43" s="2850"/>
      <c r="R43" s="2850"/>
      <c r="S43" s="2850"/>
      <c r="T43" s="2850"/>
      <c r="U43" s="2850"/>
      <c r="V43" s="2850"/>
      <c r="W43" s="2850"/>
      <c r="X43" s="2850"/>
      <c r="Y43" s="2850"/>
      <c r="Z43" s="2850"/>
      <c r="AA43" s="2850"/>
      <c r="AB43" s="2850"/>
      <c r="AC43" s="2850"/>
      <c r="AD43" s="2850"/>
      <c r="AE43" s="2850"/>
      <c r="AF43" s="2850"/>
      <c r="AG43" s="2850"/>
      <c r="AH43" s="2850"/>
      <c r="AI43" s="2850"/>
      <c r="AJ43" s="2850"/>
      <c r="AK43" s="2850"/>
      <c r="AL43" s="2850"/>
      <c r="AM43" s="2850"/>
      <c r="AN43" s="2850"/>
      <c r="AO43" s="2850"/>
      <c r="AP43" s="2850"/>
      <c r="AQ43" s="2850"/>
      <c r="AR43" s="2850"/>
    </row>
    <row r="44" spans="1:67" ht="14.25">
      <c r="A44" s="1871" t="s">
        <v>1680</v>
      </c>
      <c r="B44" s="124">
        <v>7.0000000000000007E-2</v>
      </c>
      <c r="C44" s="2984" t="s">
        <v>2808</v>
      </c>
      <c r="D44" s="2855"/>
      <c r="E44" s="2852"/>
      <c r="F44" s="2852"/>
      <c r="G44" s="2852"/>
      <c r="H44" s="2852"/>
      <c r="I44" s="2852"/>
      <c r="J44" s="2852"/>
      <c r="K44" s="2851"/>
      <c r="L44" s="2851"/>
      <c r="M44" s="2850"/>
      <c r="N44" s="2850"/>
      <c r="O44" s="2850"/>
      <c r="P44" s="2850"/>
      <c r="Q44" s="2850"/>
      <c r="R44" s="2850"/>
      <c r="S44" s="2850"/>
      <c r="T44" s="2850"/>
      <c r="U44" s="2850"/>
      <c r="V44" s="2850"/>
      <c r="W44" s="2850"/>
      <c r="X44" s="2850"/>
      <c r="Y44" s="2850"/>
      <c r="Z44" s="2850"/>
      <c r="AA44" s="2850"/>
      <c r="AB44" s="2850"/>
      <c r="AC44" s="2850"/>
      <c r="AD44" s="2850"/>
      <c r="AE44" s="2850"/>
      <c r="AF44" s="2850"/>
      <c r="AG44" s="2850"/>
      <c r="AH44" s="2850"/>
      <c r="AI44" s="2850"/>
      <c r="AJ44" s="2850"/>
      <c r="AK44" s="2850"/>
      <c r="AL44" s="2850"/>
      <c r="AM44" s="2850"/>
      <c r="AN44" s="2850"/>
      <c r="AO44" s="2850"/>
      <c r="AP44" s="2850"/>
      <c r="AQ44" s="2850"/>
      <c r="AR44" s="2850"/>
    </row>
    <row r="45" spans="1:67" ht="14.25">
      <c r="A45" s="1871" t="s">
        <v>1681</v>
      </c>
      <c r="B45" s="122">
        <v>0.03</v>
      </c>
      <c r="C45" s="2983" t="s">
        <v>2800</v>
      </c>
      <c r="D45" s="2855"/>
      <c r="E45" s="2852"/>
      <c r="F45" s="2852"/>
      <c r="G45" s="2852"/>
      <c r="H45" s="2852"/>
      <c r="I45" s="2852"/>
      <c r="J45" s="2852"/>
      <c r="K45" s="2851"/>
      <c r="L45" s="2851"/>
      <c r="M45" s="2850"/>
      <c r="N45" s="2850"/>
      <c r="O45" s="2850"/>
      <c r="P45" s="2850"/>
      <c r="Q45" s="2850"/>
      <c r="R45" s="2850"/>
      <c r="S45" s="2850"/>
      <c r="T45" s="2850"/>
      <c r="U45" s="2850"/>
      <c r="V45" s="2850"/>
      <c r="W45" s="2850"/>
      <c r="X45" s="2850"/>
      <c r="Y45" s="2850"/>
      <c r="Z45" s="2850"/>
      <c r="AA45" s="2850"/>
      <c r="AB45" s="2850"/>
      <c r="AC45" s="2850"/>
      <c r="AD45" s="2850"/>
      <c r="AE45" s="2850"/>
      <c r="AF45" s="2850"/>
      <c r="AG45" s="2850"/>
      <c r="AH45" s="2850"/>
      <c r="AI45" s="2850"/>
      <c r="AJ45" s="2850"/>
      <c r="AK45" s="2850"/>
      <c r="AL45" s="2850"/>
      <c r="AM45" s="2850"/>
      <c r="AN45" s="2850"/>
      <c r="AO45" s="2850"/>
      <c r="AP45" s="2850"/>
      <c r="AQ45" s="2850"/>
      <c r="AR45" s="2850"/>
    </row>
    <row r="46" spans="1:67" ht="14.25">
      <c r="A46" s="1871" t="s">
        <v>1682</v>
      </c>
      <c r="B46" s="122">
        <v>0.02</v>
      </c>
      <c r="C46" s="2983" t="s">
        <v>2801</v>
      </c>
      <c r="D46" s="2855"/>
      <c r="E46" s="2852"/>
      <c r="F46" s="2852"/>
      <c r="G46" s="2852"/>
      <c r="H46" s="2852"/>
      <c r="I46" s="2852"/>
      <c r="J46" s="2852"/>
      <c r="K46" s="2851"/>
      <c r="L46" s="2851"/>
      <c r="M46" s="2850"/>
      <c r="N46" s="2850"/>
      <c r="O46" s="2850"/>
      <c r="P46" s="2850"/>
      <c r="Q46" s="2850"/>
      <c r="R46" s="2850"/>
      <c r="S46" s="2850"/>
      <c r="T46" s="2850"/>
      <c r="U46" s="2850"/>
      <c r="V46" s="2850"/>
      <c r="W46" s="2850"/>
      <c r="X46" s="2850"/>
      <c r="Y46" s="2850"/>
      <c r="Z46" s="2850"/>
      <c r="AA46" s="2850"/>
      <c r="AB46" s="2850"/>
      <c r="AC46" s="2850"/>
      <c r="AD46" s="2850"/>
      <c r="AE46" s="2850"/>
      <c r="AF46" s="2850"/>
      <c r="AG46" s="2850"/>
      <c r="AH46" s="2850"/>
      <c r="AI46" s="2850"/>
      <c r="AJ46" s="2850"/>
      <c r="AK46" s="2850"/>
      <c r="AL46" s="2850"/>
      <c r="AM46" s="2850"/>
      <c r="AN46" s="2850"/>
      <c r="AO46" s="2850"/>
      <c r="AP46" s="2850"/>
      <c r="AQ46" s="2850"/>
      <c r="AR46" s="2850"/>
    </row>
    <row r="47" spans="1:67" ht="15" thickBot="1">
      <c r="A47" s="1872" t="s">
        <v>1683</v>
      </c>
      <c r="B47" s="125"/>
      <c r="C47" s="2986" t="s">
        <v>2809</v>
      </c>
      <c r="D47" s="2855"/>
      <c r="E47" s="2852"/>
      <c r="F47" s="2852"/>
      <c r="G47" s="2852"/>
      <c r="H47" s="2852"/>
      <c r="I47" s="2852"/>
      <c r="J47" s="2852"/>
      <c r="K47" s="2851"/>
      <c r="L47" s="2851"/>
      <c r="M47" s="2850"/>
      <c r="N47" s="2850"/>
      <c r="O47" s="2850"/>
      <c r="P47" s="2850"/>
      <c r="Q47" s="2850"/>
      <c r="R47" s="2850"/>
      <c r="S47" s="2850"/>
      <c r="T47" s="2850"/>
      <c r="U47" s="2850"/>
      <c r="V47" s="2850"/>
      <c r="W47" s="2850"/>
      <c r="X47" s="2850"/>
      <c r="Y47" s="2850"/>
      <c r="Z47" s="2850"/>
      <c r="AA47" s="2850"/>
      <c r="AB47" s="2850"/>
      <c r="AC47" s="2850"/>
      <c r="AD47" s="2850"/>
      <c r="AE47" s="2850"/>
      <c r="AF47" s="2850"/>
      <c r="AG47" s="2850"/>
      <c r="AH47" s="2850"/>
      <c r="AI47" s="2850"/>
      <c r="AJ47" s="2850"/>
      <c r="AK47" s="2850"/>
      <c r="AL47" s="2850"/>
      <c r="AM47" s="2850"/>
      <c r="AN47" s="2850"/>
      <c r="AO47" s="2850"/>
      <c r="AP47" s="2850"/>
      <c r="AQ47" s="2850"/>
      <c r="AR47" s="2850"/>
    </row>
    <row r="48" spans="1:67" ht="14.25">
      <c r="A48" s="1873" t="s">
        <v>1684</v>
      </c>
      <c r="B48" s="126">
        <v>0.03</v>
      </c>
      <c r="C48" s="2983" t="s">
        <v>2800</v>
      </c>
      <c r="D48" s="2855"/>
      <c r="E48" s="2852"/>
      <c r="F48" s="2852"/>
      <c r="G48" s="2852"/>
      <c r="H48" s="2852"/>
      <c r="I48" s="2852"/>
      <c r="J48" s="2852"/>
      <c r="K48" s="2851"/>
      <c r="L48" s="2851"/>
      <c r="M48" s="2850"/>
      <c r="N48" s="2850"/>
      <c r="O48" s="2850"/>
      <c r="P48" s="2850"/>
      <c r="Q48" s="2850"/>
      <c r="R48" s="2850"/>
      <c r="S48" s="2850"/>
      <c r="T48" s="2850"/>
      <c r="U48" s="2850"/>
      <c r="V48" s="2850"/>
      <c r="W48" s="2850"/>
      <c r="X48" s="2850"/>
      <c r="Y48" s="2850"/>
      <c r="Z48" s="2850"/>
      <c r="AA48" s="2850"/>
      <c r="AB48" s="2850"/>
      <c r="AC48" s="2850"/>
      <c r="AD48" s="2850"/>
      <c r="AE48" s="2850"/>
      <c r="AF48" s="2850"/>
      <c r="AG48" s="2850"/>
      <c r="AH48" s="2850"/>
      <c r="AI48" s="2850"/>
      <c r="AJ48" s="2850"/>
      <c r="AK48" s="2850"/>
      <c r="AL48" s="2850"/>
      <c r="AM48" s="2850"/>
      <c r="AN48" s="2850"/>
      <c r="AO48" s="2850"/>
      <c r="AP48" s="2850"/>
      <c r="AQ48" s="2850"/>
      <c r="AR48" s="2850"/>
    </row>
    <row r="49" spans="1:44" ht="15" thickBot="1">
      <c r="A49" s="1869" t="s">
        <v>1685</v>
      </c>
      <c r="B49" s="122">
        <v>5.0000000000000001E-4</v>
      </c>
      <c r="C49" s="2983" t="s">
        <v>2802</v>
      </c>
      <c r="D49" s="2855"/>
      <c r="E49" s="2852"/>
      <c r="F49" s="2852"/>
      <c r="G49" s="2852"/>
      <c r="H49" s="2852"/>
      <c r="I49" s="2852"/>
      <c r="J49" s="2852"/>
      <c r="K49" s="2851"/>
      <c r="L49" s="2851"/>
      <c r="M49" s="2850"/>
      <c r="N49" s="2850"/>
      <c r="O49" s="2850"/>
      <c r="P49" s="2850"/>
      <c r="Q49" s="2850"/>
      <c r="R49" s="2850"/>
      <c r="S49" s="2850"/>
      <c r="T49" s="2850"/>
      <c r="U49" s="2850"/>
      <c r="V49" s="2850"/>
      <c r="W49" s="2850"/>
      <c r="X49" s="2850"/>
      <c r="Y49" s="2850"/>
      <c r="Z49" s="2850"/>
      <c r="AA49" s="2850"/>
      <c r="AB49" s="2850"/>
      <c r="AC49" s="2850"/>
      <c r="AD49" s="2850"/>
      <c r="AE49" s="2850"/>
      <c r="AF49" s="2850"/>
      <c r="AG49" s="2850"/>
      <c r="AH49" s="2850"/>
      <c r="AI49" s="2850"/>
      <c r="AJ49" s="2850"/>
      <c r="AK49" s="2850"/>
      <c r="AL49" s="2850"/>
      <c r="AM49" s="2850"/>
      <c r="AN49" s="2850"/>
      <c r="AO49" s="2850"/>
      <c r="AP49" s="2850"/>
      <c r="AQ49" s="2850"/>
      <c r="AR49" s="2850"/>
    </row>
    <row r="50" spans="1:44" ht="14.25">
      <c r="A50" s="1874" t="s">
        <v>1686</v>
      </c>
      <c r="B50" s="127">
        <v>1.2E-2</v>
      </c>
      <c r="C50" s="2838"/>
      <c r="D50" s="2855"/>
      <c r="E50" s="2852"/>
      <c r="F50" s="2852"/>
      <c r="G50" s="2852"/>
      <c r="H50" s="2852"/>
      <c r="I50" s="2852"/>
      <c r="J50" s="2852"/>
      <c r="K50" s="2851"/>
      <c r="L50" s="2851"/>
      <c r="M50" s="2850"/>
      <c r="N50" s="2850"/>
      <c r="O50" s="2850"/>
      <c r="P50" s="2850"/>
      <c r="Q50" s="2850"/>
      <c r="R50" s="2850"/>
      <c r="S50" s="2850"/>
      <c r="T50" s="2850"/>
      <c r="U50" s="2850"/>
      <c r="V50" s="2850"/>
      <c r="W50" s="2850"/>
      <c r="X50" s="2850"/>
      <c r="Y50" s="2850"/>
      <c r="Z50" s="2850"/>
      <c r="AA50" s="2850"/>
      <c r="AB50" s="2850"/>
      <c r="AC50" s="2850"/>
      <c r="AD50" s="2850"/>
      <c r="AE50" s="2850"/>
      <c r="AF50" s="2850"/>
      <c r="AG50" s="2850"/>
      <c r="AH50" s="2850"/>
      <c r="AI50" s="2850"/>
      <c r="AJ50" s="2850"/>
      <c r="AK50" s="2850"/>
      <c r="AL50" s="2850"/>
      <c r="AM50" s="2850"/>
      <c r="AN50" s="2850"/>
      <c r="AO50" s="2850"/>
      <c r="AP50" s="2850"/>
      <c r="AQ50" s="2850"/>
      <c r="AR50" s="2850"/>
    </row>
    <row r="51" spans="1:44" ht="15" thickBot="1">
      <c r="A51" s="1867" t="s">
        <v>1687</v>
      </c>
      <c r="B51" s="128">
        <v>0.12</v>
      </c>
      <c r="C51" s="2838"/>
      <c r="D51" s="2855"/>
      <c r="E51" s="2852"/>
      <c r="F51" s="2852"/>
      <c r="G51" s="2852"/>
      <c r="H51" s="2852"/>
      <c r="I51" s="2852"/>
      <c r="J51" s="2852"/>
      <c r="K51" s="2851"/>
      <c r="L51" s="2851"/>
      <c r="M51" s="2850"/>
      <c r="N51" s="2850"/>
      <c r="O51" s="2850"/>
      <c r="P51" s="2850"/>
      <c r="Q51" s="2850"/>
      <c r="R51" s="2850"/>
      <c r="S51" s="2850"/>
      <c r="T51" s="2850"/>
      <c r="U51" s="2850"/>
      <c r="V51" s="2850"/>
      <c r="W51" s="2850"/>
      <c r="X51" s="2850"/>
      <c r="Y51" s="2850"/>
      <c r="Z51" s="2850"/>
      <c r="AA51" s="2850"/>
      <c r="AB51" s="2850"/>
      <c r="AC51" s="2850"/>
      <c r="AD51" s="2850"/>
      <c r="AE51" s="2850"/>
      <c r="AF51" s="2850"/>
      <c r="AG51" s="2850"/>
      <c r="AH51" s="2850"/>
      <c r="AI51" s="2850"/>
      <c r="AJ51" s="2850"/>
      <c r="AK51" s="2850"/>
      <c r="AL51" s="2850"/>
      <c r="AM51" s="2850"/>
      <c r="AN51" s="2850"/>
      <c r="AO51" s="2850"/>
      <c r="AP51" s="2850"/>
      <c r="AQ51" s="2850"/>
      <c r="AR51" s="2850"/>
    </row>
    <row r="52" spans="1:44" ht="14.25">
      <c r="A52" s="1874" t="s">
        <v>1688</v>
      </c>
      <c r="B52" s="129">
        <f>SUMIF(A54:A63,B53,B54:B63)</f>
        <v>12</v>
      </c>
      <c r="C52" s="2838"/>
      <c r="D52" s="2855"/>
      <c r="E52" s="2852"/>
      <c r="F52" s="2852"/>
      <c r="G52" s="2852"/>
      <c r="H52" s="2852"/>
      <c r="I52" s="2852"/>
      <c r="J52" s="2852"/>
      <c r="K52" s="2851"/>
      <c r="L52" s="2851"/>
      <c r="M52" s="2850"/>
      <c r="N52" s="2850"/>
      <c r="O52" s="2850"/>
      <c r="P52" s="2850"/>
      <c r="Q52" s="2850"/>
      <c r="R52" s="2850"/>
      <c r="S52" s="2850"/>
      <c r="T52" s="2850"/>
      <c r="U52" s="2850"/>
      <c r="V52" s="2850"/>
      <c r="W52" s="2850"/>
      <c r="X52" s="2850"/>
      <c r="Y52" s="2850"/>
      <c r="Z52" s="2850"/>
      <c r="AA52" s="2850"/>
      <c r="AB52" s="2850"/>
      <c r="AC52" s="2850"/>
      <c r="AD52" s="2850"/>
      <c r="AE52" s="2850"/>
      <c r="AF52" s="2850"/>
      <c r="AG52" s="2850"/>
      <c r="AH52" s="2850"/>
      <c r="AI52" s="2850"/>
      <c r="AJ52" s="2850"/>
      <c r="AK52" s="2850"/>
      <c r="AL52" s="2850"/>
      <c r="AM52" s="2850"/>
      <c r="AN52" s="2850"/>
      <c r="AO52" s="2850"/>
      <c r="AP52" s="2850"/>
      <c r="AQ52" s="2850"/>
      <c r="AR52" s="2850"/>
    </row>
    <row r="53" spans="1:44" ht="27">
      <c r="A53" s="1866" t="s">
        <v>1689</v>
      </c>
      <c r="B53" s="1875" t="s">
        <v>137</v>
      </c>
      <c r="C53" s="2838" t="s">
        <v>1690</v>
      </c>
      <c r="D53" s="2985" t="s">
        <v>2806</v>
      </c>
      <c r="E53" s="2852"/>
      <c r="F53" s="2852"/>
      <c r="G53" s="2852"/>
      <c r="H53" s="2852"/>
      <c r="I53" s="2852"/>
      <c r="J53" s="2852"/>
      <c r="K53" s="2851"/>
      <c r="L53" s="2851"/>
      <c r="M53" s="2850"/>
      <c r="N53" s="2850"/>
      <c r="O53" s="2850"/>
      <c r="P53" s="2850"/>
      <c r="Q53" s="2850"/>
      <c r="R53" s="2850"/>
      <c r="S53" s="2850"/>
      <c r="T53" s="2850"/>
      <c r="U53" s="2850"/>
      <c r="V53" s="2850"/>
      <c r="W53" s="2850"/>
      <c r="X53" s="2850"/>
      <c r="Y53" s="2850"/>
      <c r="Z53" s="2850"/>
      <c r="AA53" s="2850"/>
      <c r="AB53" s="2850"/>
      <c r="AC53" s="2850"/>
      <c r="AD53" s="2850"/>
      <c r="AE53" s="2850"/>
      <c r="AF53" s="2850"/>
      <c r="AG53" s="2850"/>
      <c r="AH53" s="2850"/>
      <c r="AI53" s="2850"/>
      <c r="AJ53" s="2850"/>
      <c r="AK53" s="2850"/>
      <c r="AL53" s="2850"/>
      <c r="AM53" s="2850"/>
      <c r="AN53" s="2850"/>
      <c r="AO53" s="2850"/>
      <c r="AP53" s="2850"/>
      <c r="AQ53" s="2850"/>
      <c r="AR53" s="2850"/>
    </row>
    <row r="54" spans="1:44" ht="14.25">
      <c r="A54" s="1876" t="s">
        <v>1691</v>
      </c>
      <c r="B54" s="80"/>
      <c r="C54" s="2838">
        <v>30</v>
      </c>
      <c r="D54" s="2855"/>
      <c r="E54" s="2852"/>
      <c r="F54" s="2852"/>
      <c r="G54" s="2852"/>
      <c r="H54" s="2852"/>
      <c r="I54" s="2852"/>
      <c r="J54" s="2852"/>
      <c r="K54" s="2851"/>
      <c r="L54" s="2851"/>
      <c r="M54" s="2850"/>
      <c r="N54" s="2850"/>
      <c r="O54" s="2850"/>
      <c r="P54" s="2850"/>
      <c r="Q54" s="2850"/>
      <c r="R54" s="2850"/>
      <c r="S54" s="2850"/>
      <c r="T54" s="2850"/>
      <c r="U54" s="2850"/>
      <c r="V54" s="2850"/>
      <c r="W54" s="2850"/>
      <c r="X54" s="2850"/>
      <c r="Y54" s="2850"/>
      <c r="Z54" s="2850"/>
      <c r="AA54" s="2850"/>
      <c r="AB54" s="2850"/>
      <c r="AC54" s="2850"/>
      <c r="AD54" s="2850"/>
      <c r="AE54" s="2850"/>
      <c r="AF54" s="2850"/>
      <c r="AG54" s="2850"/>
      <c r="AH54" s="2850"/>
      <c r="AI54" s="2850"/>
      <c r="AJ54" s="2850"/>
      <c r="AK54" s="2850"/>
      <c r="AL54" s="2850"/>
      <c r="AM54" s="2850"/>
      <c r="AN54" s="2850"/>
      <c r="AO54" s="2850"/>
      <c r="AP54" s="2850"/>
      <c r="AQ54" s="2850"/>
      <c r="AR54" s="2850"/>
    </row>
    <row r="55" spans="1:44" ht="14.25">
      <c r="A55" s="1876" t="s">
        <v>1692</v>
      </c>
      <c r="B55" s="80"/>
      <c r="C55" s="2838">
        <v>24</v>
      </c>
      <c r="D55" s="2855"/>
      <c r="E55" s="2852"/>
      <c r="F55" s="2852"/>
      <c r="G55" s="2852"/>
      <c r="H55" s="2852"/>
      <c r="I55" s="2853"/>
      <c r="J55" s="2852"/>
      <c r="K55" s="2851"/>
      <c r="L55" s="2851"/>
      <c r="M55" s="2850"/>
      <c r="N55" s="2850"/>
      <c r="O55" s="2850"/>
      <c r="P55" s="2850"/>
      <c r="Q55" s="2850"/>
      <c r="R55" s="2850"/>
      <c r="S55" s="2850"/>
      <c r="T55" s="2850"/>
      <c r="U55" s="2850"/>
      <c r="V55" s="2850"/>
      <c r="W55" s="2850"/>
      <c r="X55" s="2850"/>
      <c r="Y55" s="2850"/>
      <c r="Z55" s="2850"/>
      <c r="AA55" s="2850"/>
      <c r="AB55" s="2850"/>
      <c r="AC55" s="2850"/>
      <c r="AD55" s="2850"/>
      <c r="AE55" s="2850"/>
      <c r="AF55" s="2850"/>
      <c r="AG55" s="2850"/>
      <c r="AH55" s="2850"/>
      <c r="AI55" s="2850"/>
      <c r="AJ55" s="2850"/>
      <c r="AK55" s="2850"/>
      <c r="AL55" s="2850"/>
      <c r="AM55" s="2850"/>
      <c r="AN55" s="2850"/>
      <c r="AO55" s="2850"/>
      <c r="AP55" s="2850"/>
      <c r="AQ55" s="2850"/>
      <c r="AR55" s="2850"/>
    </row>
    <row r="56" spans="1:44" ht="14.25">
      <c r="A56" s="1876" t="s">
        <v>1693</v>
      </c>
      <c r="B56" s="80"/>
      <c r="C56" s="2838">
        <v>18</v>
      </c>
      <c r="D56" s="2855"/>
      <c r="E56" s="2852"/>
      <c r="F56" s="2852"/>
      <c r="G56" s="2852"/>
      <c r="H56" s="2852"/>
      <c r="I56" s="2852"/>
      <c r="J56" s="2852"/>
      <c r="K56" s="2851"/>
      <c r="L56" s="2851"/>
      <c r="M56" s="2850"/>
      <c r="N56" s="2850"/>
      <c r="O56" s="2850"/>
      <c r="P56" s="2850"/>
      <c r="Q56" s="2850"/>
      <c r="R56" s="2850"/>
      <c r="S56" s="2850"/>
      <c r="T56" s="2850"/>
      <c r="U56" s="2850"/>
      <c r="V56" s="2850"/>
      <c r="W56" s="2850"/>
      <c r="X56" s="2850"/>
      <c r="Y56" s="2850"/>
      <c r="Z56" s="2850"/>
      <c r="AA56" s="2850"/>
      <c r="AB56" s="2850"/>
      <c r="AC56" s="2850"/>
      <c r="AD56" s="2850"/>
      <c r="AE56" s="2850"/>
      <c r="AF56" s="2850"/>
      <c r="AG56" s="2850"/>
      <c r="AH56" s="2850"/>
      <c r="AI56" s="2850"/>
      <c r="AJ56" s="2850"/>
      <c r="AK56" s="2850"/>
      <c r="AL56" s="2850"/>
      <c r="AM56" s="2850"/>
      <c r="AN56" s="2850"/>
      <c r="AO56" s="2850"/>
      <c r="AP56" s="2850"/>
      <c r="AQ56" s="2850"/>
      <c r="AR56" s="2850"/>
    </row>
    <row r="57" spans="1:44" ht="14.25">
      <c r="A57" s="1876" t="s">
        <v>1694</v>
      </c>
      <c r="B57" s="80">
        <v>12</v>
      </c>
      <c r="C57" s="2838">
        <v>12</v>
      </c>
      <c r="D57" s="2855"/>
      <c r="E57" s="2852"/>
      <c r="F57" s="2852"/>
      <c r="G57" s="2852"/>
      <c r="H57" s="2852"/>
      <c r="I57" s="2852"/>
      <c r="J57" s="2852"/>
      <c r="K57" s="2851"/>
      <c r="L57" s="2851"/>
      <c r="M57" s="2850"/>
      <c r="N57" s="2850"/>
      <c r="O57" s="2850"/>
      <c r="P57" s="2850"/>
      <c r="Q57" s="2850"/>
      <c r="R57" s="2850"/>
      <c r="S57" s="2850"/>
      <c r="T57" s="2850"/>
      <c r="U57" s="2850"/>
      <c r="V57" s="2850"/>
      <c r="W57" s="2850"/>
      <c r="X57" s="2850"/>
      <c r="Y57" s="2850"/>
      <c r="Z57" s="2850"/>
      <c r="AA57" s="2850"/>
      <c r="AB57" s="2850"/>
      <c r="AC57" s="2850"/>
      <c r="AD57" s="2850"/>
      <c r="AE57" s="2850"/>
      <c r="AF57" s="2850"/>
      <c r="AG57" s="2850"/>
      <c r="AH57" s="2850"/>
      <c r="AI57" s="2850"/>
      <c r="AJ57" s="2850"/>
      <c r="AK57" s="2850"/>
      <c r="AL57" s="2850"/>
      <c r="AM57" s="2850"/>
      <c r="AN57" s="2850"/>
      <c r="AO57" s="2850"/>
      <c r="AP57" s="2850"/>
      <c r="AQ57" s="2850"/>
      <c r="AR57" s="2850"/>
    </row>
    <row r="58" spans="1:44" ht="14.25">
      <c r="A58" s="1876" t="s">
        <v>1695</v>
      </c>
      <c r="B58" s="80"/>
      <c r="C58" s="2838">
        <v>3</v>
      </c>
      <c r="D58" s="2855"/>
      <c r="E58" s="2852"/>
      <c r="F58" s="2852"/>
      <c r="G58" s="2852"/>
      <c r="H58" s="2852"/>
      <c r="I58" s="2852"/>
      <c r="J58" s="2852"/>
      <c r="K58" s="2851"/>
      <c r="L58" s="2851"/>
      <c r="M58" s="2850"/>
      <c r="N58" s="2850"/>
      <c r="O58" s="2850"/>
      <c r="P58" s="2850"/>
      <c r="Q58" s="2850"/>
      <c r="R58" s="2850"/>
      <c r="S58" s="2850"/>
      <c r="T58" s="2850"/>
      <c r="U58" s="2850"/>
      <c r="V58" s="2850"/>
      <c r="W58" s="2850"/>
      <c r="X58" s="2850"/>
      <c r="Y58" s="2850"/>
      <c r="Z58" s="2850"/>
      <c r="AA58" s="2850"/>
      <c r="AB58" s="2850"/>
      <c r="AC58" s="2850"/>
      <c r="AD58" s="2850"/>
      <c r="AE58" s="2850"/>
      <c r="AF58" s="2850"/>
      <c r="AG58" s="2850"/>
      <c r="AH58" s="2850"/>
      <c r="AI58" s="2850"/>
      <c r="AJ58" s="2850"/>
      <c r="AK58" s="2850"/>
      <c r="AL58" s="2850"/>
      <c r="AM58" s="2850"/>
      <c r="AN58" s="2850"/>
      <c r="AO58" s="2850"/>
      <c r="AP58" s="2850"/>
      <c r="AQ58" s="2850"/>
      <c r="AR58" s="2850"/>
    </row>
    <row r="59" spans="1:44" ht="14.25">
      <c r="A59" s="1876" t="s">
        <v>1696</v>
      </c>
      <c r="B59" s="80"/>
      <c r="C59" s="2838">
        <v>1.5</v>
      </c>
      <c r="D59" s="2855"/>
      <c r="E59" s="2852"/>
      <c r="F59" s="2852"/>
      <c r="G59" s="2852"/>
      <c r="H59" s="2852"/>
      <c r="I59" s="2852"/>
      <c r="J59" s="2852"/>
      <c r="K59" s="2851"/>
      <c r="L59" s="2851"/>
      <c r="M59" s="2850"/>
      <c r="N59" s="2850"/>
      <c r="O59" s="2850"/>
      <c r="P59" s="2850"/>
      <c r="Q59" s="2850"/>
      <c r="R59" s="2850"/>
      <c r="S59" s="2850"/>
      <c r="T59" s="2850"/>
      <c r="U59" s="2850"/>
      <c r="V59" s="2850"/>
      <c r="W59" s="2850"/>
      <c r="X59" s="2850"/>
      <c r="Y59" s="2850"/>
      <c r="Z59" s="2850"/>
      <c r="AA59" s="2850"/>
      <c r="AB59" s="2850"/>
      <c r="AC59" s="2850"/>
      <c r="AD59" s="2850"/>
      <c r="AE59" s="2850"/>
      <c r="AF59" s="2850"/>
      <c r="AG59" s="2850"/>
      <c r="AH59" s="2850"/>
      <c r="AI59" s="2850"/>
      <c r="AJ59" s="2850"/>
      <c r="AK59" s="2850"/>
      <c r="AL59" s="2850"/>
      <c r="AM59" s="2850"/>
      <c r="AN59" s="2850"/>
      <c r="AO59" s="2850"/>
      <c r="AP59" s="2850"/>
      <c r="AQ59" s="2850"/>
      <c r="AR59" s="2850"/>
    </row>
    <row r="60" spans="1:44" ht="14.25">
      <c r="A60" s="1876" t="s">
        <v>1697</v>
      </c>
      <c r="B60" s="80"/>
      <c r="C60" s="2852"/>
      <c r="D60" s="2855"/>
      <c r="E60" s="2852"/>
      <c r="F60" s="2852"/>
      <c r="G60" s="2852"/>
      <c r="H60" s="2852"/>
      <c r="I60" s="2852"/>
      <c r="J60" s="2852"/>
      <c r="K60" s="2851"/>
      <c r="L60" s="2851"/>
      <c r="M60" s="2850"/>
      <c r="N60" s="2850"/>
      <c r="O60" s="2850"/>
      <c r="P60" s="2850"/>
      <c r="Q60" s="2850"/>
      <c r="R60" s="2850"/>
      <c r="S60" s="2850"/>
      <c r="T60" s="2850"/>
      <c r="U60" s="2850"/>
      <c r="V60" s="2850"/>
      <c r="W60" s="2850"/>
      <c r="X60" s="2850"/>
      <c r="Y60" s="2850"/>
      <c r="Z60" s="2850"/>
      <c r="AA60" s="2850"/>
      <c r="AB60" s="2850"/>
      <c r="AC60" s="2850"/>
      <c r="AD60" s="2850"/>
      <c r="AE60" s="2850"/>
      <c r="AF60" s="2850"/>
      <c r="AG60" s="2850"/>
      <c r="AH60" s="2850"/>
      <c r="AI60" s="2850"/>
      <c r="AJ60" s="2850"/>
      <c r="AK60" s="2850"/>
      <c r="AL60" s="2850"/>
      <c r="AM60" s="2850"/>
      <c r="AN60" s="2850"/>
      <c r="AO60" s="2850"/>
      <c r="AP60" s="2850"/>
      <c r="AQ60" s="2850"/>
      <c r="AR60" s="2850"/>
    </row>
    <row r="61" spans="1:44" ht="14.25">
      <c r="A61" s="1876" t="s">
        <v>1698</v>
      </c>
      <c r="B61" s="80"/>
      <c r="C61" s="2852"/>
      <c r="D61" s="2855"/>
      <c r="E61" s="2852"/>
      <c r="F61" s="2852"/>
      <c r="G61" s="2852"/>
      <c r="H61" s="2852"/>
      <c r="I61" s="2852"/>
      <c r="J61" s="2852"/>
      <c r="K61" s="2851"/>
      <c r="L61" s="2851"/>
      <c r="M61" s="2850"/>
      <c r="N61" s="2850"/>
      <c r="O61" s="2850"/>
      <c r="P61" s="2850"/>
      <c r="Q61" s="2850"/>
      <c r="R61" s="2850"/>
      <c r="S61" s="2850"/>
      <c r="T61" s="2850"/>
      <c r="U61" s="2850"/>
      <c r="V61" s="2850"/>
      <c r="W61" s="2850"/>
      <c r="X61" s="2850"/>
      <c r="Y61" s="2850"/>
      <c r="Z61" s="2850"/>
      <c r="AA61" s="2850"/>
      <c r="AB61" s="2850"/>
      <c r="AC61" s="2850"/>
      <c r="AD61" s="2850"/>
      <c r="AE61" s="2850"/>
      <c r="AF61" s="2850"/>
      <c r="AG61" s="2850"/>
      <c r="AH61" s="2850"/>
      <c r="AI61" s="2850"/>
      <c r="AJ61" s="2850"/>
      <c r="AK61" s="2850"/>
      <c r="AL61" s="2850"/>
      <c r="AM61" s="2850"/>
      <c r="AN61" s="2850"/>
      <c r="AO61" s="2850"/>
      <c r="AP61" s="2850"/>
      <c r="AQ61" s="2850"/>
      <c r="AR61" s="2850"/>
    </row>
    <row r="62" spans="1:44" ht="14.25">
      <c r="A62" s="1876" t="s">
        <v>1699</v>
      </c>
      <c r="B62" s="80"/>
      <c r="C62" s="2852"/>
      <c r="D62" s="2855"/>
      <c r="E62" s="2852"/>
      <c r="F62" s="2852"/>
      <c r="G62" s="2852"/>
      <c r="H62" s="2852"/>
      <c r="I62" s="2852"/>
      <c r="J62" s="2852"/>
      <c r="K62" s="2851"/>
      <c r="L62" s="2851"/>
      <c r="M62" s="2850"/>
      <c r="N62" s="2850"/>
      <c r="O62" s="2850"/>
      <c r="P62" s="2850"/>
      <c r="Q62" s="2850"/>
      <c r="R62" s="2850"/>
      <c r="S62" s="2850"/>
      <c r="T62" s="2850"/>
      <c r="U62" s="2850"/>
      <c r="V62" s="2850"/>
      <c r="W62" s="2850"/>
      <c r="X62" s="2850"/>
      <c r="Y62" s="2850"/>
      <c r="Z62" s="2850"/>
      <c r="AA62" s="2850"/>
      <c r="AB62" s="2850"/>
      <c r="AC62" s="2850"/>
      <c r="AD62" s="2850"/>
      <c r="AE62" s="2850"/>
      <c r="AF62" s="2850"/>
      <c r="AG62" s="2850"/>
      <c r="AH62" s="2850"/>
      <c r="AI62" s="2850"/>
      <c r="AJ62" s="2850"/>
      <c r="AK62" s="2850"/>
      <c r="AL62" s="2850"/>
      <c r="AM62" s="2850"/>
      <c r="AN62" s="2850"/>
      <c r="AO62" s="2850"/>
      <c r="AP62" s="2850"/>
      <c r="AQ62" s="2850"/>
      <c r="AR62" s="2850"/>
    </row>
    <row r="63" spans="1:44" ht="15" thickBot="1">
      <c r="A63" s="1877" t="s">
        <v>1700</v>
      </c>
      <c r="B63" s="130"/>
      <c r="C63" s="2852"/>
      <c r="D63" s="2855"/>
      <c r="E63" s="2852"/>
      <c r="F63" s="2852"/>
      <c r="G63" s="2852"/>
      <c r="H63" s="2852"/>
      <c r="I63" s="2852"/>
      <c r="J63" s="2852"/>
      <c r="K63" s="2851"/>
      <c r="L63" s="2851"/>
      <c r="M63" s="2850"/>
      <c r="N63" s="2850"/>
      <c r="O63" s="2850"/>
      <c r="P63" s="2850"/>
      <c r="Q63" s="2850"/>
      <c r="R63" s="2850"/>
      <c r="S63" s="2850"/>
      <c r="T63" s="2850"/>
      <c r="U63" s="2850"/>
      <c r="V63" s="2850"/>
      <c r="W63" s="2850"/>
      <c r="X63" s="2850"/>
      <c r="Y63" s="2850"/>
      <c r="Z63" s="2850"/>
      <c r="AA63" s="2850"/>
      <c r="AB63" s="2850"/>
      <c r="AC63" s="2850"/>
      <c r="AD63" s="2850"/>
      <c r="AE63" s="2850"/>
      <c r="AF63" s="2850"/>
      <c r="AG63" s="2850"/>
      <c r="AH63" s="2850"/>
      <c r="AI63" s="2850"/>
      <c r="AJ63" s="2850"/>
      <c r="AK63" s="2850"/>
      <c r="AL63" s="2850"/>
      <c r="AM63" s="2850"/>
      <c r="AN63" s="2850"/>
      <c r="AO63" s="2850"/>
      <c r="AP63" s="2850"/>
      <c r="AQ63" s="2850"/>
      <c r="AR63" s="2850"/>
    </row>
    <row r="64" spans="1:44" s="882" customFormat="1">
      <c r="A64" s="2841"/>
      <c r="B64" s="2850"/>
      <c r="C64" s="2850"/>
      <c r="D64" s="2854"/>
      <c r="E64" s="2850"/>
      <c r="F64" s="2850"/>
      <c r="G64" s="2850"/>
      <c r="H64" s="2850"/>
      <c r="I64" s="2850"/>
      <c r="J64" s="2850"/>
      <c r="K64" s="2851"/>
      <c r="L64" s="2851"/>
      <c r="M64" s="2850"/>
      <c r="N64" s="2850"/>
      <c r="O64" s="2850"/>
      <c r="P64" s="2850"/>
      <c r="Q64" s="2850"/>
      <c r="R64" s="2850"/>
      <c r="S64" s="2850"/>
      <c r="T64" s="2850"/>
      <c r="U64" s="2850"/>
      <c r="V64" s="2850"/>
      <c r="W64" s="2850"/>
      <c r="X64" s="2850"/>
      <c r="Y64" s="2850"/>
      <c r="Z64" s="2850"/>
      <c r="AA64" s="2850"/>
      <c r="AB64" s="2850"/>
      <c r="AC64" s="2850"/>
      <c r="AD64" s="2850"/>
      <c r="AE64" s="2850"/>
      <c r="AF64" s="2850"/>
      <c r="AG64" s="2850"/>
      <c r="AH64" s="2850"/>
      <c r="AI64" s="2850"/>
      <c r="AJ64" s="2850"/>
      <c r="AK64" s="2850"/>
      <c r="AL64" s="2850"/>
      <c r="AM64" s="2850"/>
      <c r="AN64" s="2850"/>
      <c r="AO64" s="2850"/>
      <c r="AP64" s="2850"/>
      <c r="AQ64" s="2850"/>
      <c r="AR64" s="2850"/>
    </row>
    <row r="65" spans="1:44" s="882" customFormat="1">
      <c r="A65" s="2841"/>
      <c r="B65" s="2850"/>
      <c r="C65" s="2850"/>
      <c r="D65" s="2854"/>
      <c r="E65" s="2850"/>
      <c r="F65" s="2850"/>
      <c r="G65" s="2850"/>
      <c r="H65" s="2850"/>
      <c r="I65" s="2850"/>
      <c r="J65" s="2850"/>
      <c r="K65" s="2851"/>
      <c r="L65" s="2851"/>
      <c r="M65" s="2850"/>
      <c r="N65" s="2850"/>
      <c r="O65" s="2850"/>
      <c r="P65" s="2850"/>
      <c r="Q65" s="2850"/>
      <c r="R65" s="2850"/>
      <c r="S65" s="2850"/>
      <c r="T65" s="2850"/>
      <c r="U65" s="2850"/>
      <c r="V65" s="2850"/>
      <c r="W65" s="2850"/>
      <c r="X65" s="2850"/>
      <c r="Y65" s="2850"/>
      <c r="Z65" s="2850"/>
      <c r="AA65" s="2850"/>
      <c r="AB65" s="2850"/>
      <c r="AC65" s="2850"/>
      <c r="AD65" s="2850"/>
      <c r="AE65" s="2850"/>
      <c r="AF65" s="2850"/>
      <c r="AG65" s="2850"/>
      <c r="AH65" s="2850"/>
      <c r="AI65" s="2850"/>
      <c r="AJ65" s="2850"/>
      <c r="AK65" s="2850"/>
      <c r="AL65" s="2850"/>
      <c r="AM65" s="2850"/>
      <c r="AN65" s="2850"/>
      <c r="AO65" s="2850"/>
      <c r="AP65" s="2850"/>
      <c r="AQ65" s="2850"/>
      <c r="AR65" s="2850"/>
    </row>
    <row r="66" spans="1:44" s="882" customFormat="1">
      <c r="A66" s="2841"/>
      <c r="B66" s="2850"/>
      <c r="C66" s="2850"/>
      <c r="D66" s="2854"/>
      <c r="E66" s="2850"/>
      <c r="F66" s="2850"/>
      <c r="G66" s="2850"/>
      <c r="H66" s="2850"/>
      <c r="I66" s="2850"/>
      <c r="J66" s="2850"/>
      <c r="K66" s="2851"/>
      <c r="L66" s="2851"/>
      <c r="M66" s="2850"/>
      <c r="N66" s="2850"/>
      <c r="O66" s="2850"/>
      <c r="P66" s="2850"/>
      <c r="Q66" s="2850"/>
      <c r="R66" s="2850"/>
      <c r="S66" s="2850"/>
      <c r="T66" s="2850"/>
      <c r="U66" s="2850"/>
      <c r="V66" s="2850"/>
      <c r="W66" s="2850"/>
      <c r="X66" s="2850"/>
      <c r="Y66" s="2850"/>
      <c r="Z66" s="2850"/>
      <c r="AA66" s="2850"/>
      <c r="AB66" s="2850"/>
      <c r="AC66" s="2850"/>
      <c r="AD66" s="2850"/>
      <c r="AE66" s="2850"/>
      <c r="AF66" s="2850"/>
      <c r="AG66" s="2850"/>
      <c r="AH66" s="2850"/>
      <c r="AI66" s="2850"/>
      <c r="AJ66" s="2850"/>
      <c r="AK66" s="2850"/>
      <c r="AL66" s="2850"/>
      <c r="AM66" s="2850"/>
      <c r="AN66" s="2850"/>
      <c r="AO66" s="2850"/>
      <c r="AP66" s="2850"/>
      <c r="AQ66" s="2850"/>
      <c r="AR66" s="2850"/>
    </row>
    <row r="67" spans="1:44" s="882" customFormat="1">
      <c r="A67" s="2841"/>
      <c r="B67" s="2850"/>
      <c r="C67" s="2850"/>
      <c r="D67" s="2854"/>
      <c r="E67" s="2850"/>
      <c r="F67" s="2850"/>
      <c r="G67" s="2850"/>
      <c r="H67" s="2850"/>
      <c r="I67" s="2850"/>
      <c r="J67" s="2850"/>
      <c r="K67" s="2851"/>
      <c r="L67" s="2851"/>
      <c r="M67" s="2850"/>
      <c r="N67" s="2850"/>
      <c r="O67" s="2850"/>
      <c r="P67" s="2850"/>
      <c r="Q67" s="2850"/>
      <c r="R67" s="2850"/>
      <c r="S67" s="2850"/>
      <c r="T67" s="2850"/>
      <c r="U67" s="2850"/>
      <c r="V67" s="2850"/>
      <c r="W67" s="2850"/>
      <c r="X67" s="2850"/>
      <c r="Y67" s="2850"/>
      <c r="Z67" s="2850"/>
      <c r="AA67" s="2850"/>
      <c r="AB67" s="2850"/>
      <c r="AC67" s="2850"/>
      <c r="AD67" s="2850"/>
      <c r="AE67" s="2850"/>
      <c r="AF67" s="2850"/>
      <c r="AG67" s="2850"/>
      <c r="AH67" s="2850"/>
      <c r="AI67" s="2850"/>
      <c r="AJ67" s="2850"/>
      <c r="AK67" s="2850"/>
      <c r="AL67" s="2850"/>
      <c r="AM67" s="2850"/>
      <c r="AN67" s="2850"/>
      <c r="AO67" s="2850"/>
      <c r="AP67" s="2850"/>
      <c r="AQ67" s="2850"/>
      <c r="AR67" s="2850"/>
    </row>
    <row r="68" spans="1:44" s="882" customFormat="1">
      <c r="A68" s="2841"/>
      <c r="B68" s="2850"/>
      <c r="C68" s="2850"/>
      <c r="D68" s="2854"/>
      <c r="E68" s="2850"/>
      <c r="F68" s="2850"/>
      <c r="G68" s="2850"/>
      <c r="H68" s="2850"/>
      <c r="I68" s="2850"/>
      <c r="J68" s="2850"/>
      <c r="K68" s="2851"/>
      <c r="L68" s="2851"/>
      <c r="M68" s="2850"/>
      <c r="N68" s="2850"/>
      <c r="O68" s="2850"/>
      <c r="P68" s="2850"/>
      <c r="Q68" s="2850"/>
      <c r="R68" s="2850"/>
      <c r="S68" s="2850"/>
      <c r="T68" s="2850"/>
      <c r="U68" s="2850"/>
      <c r="V68" s="2850"/>
      <c r="W68" s="2850"/>
      <c r="X68" s="2850"/>
      <c r="Y68" s="2850"/>
      <c r="Z68" s="2850"/>
      <c r="AA68" s="2850"/>
      <c r="AB68" s="2850"/>
      <c r="AC68" s="2850"/>
      <c r="AD68" s="2850"/>
      <c r="AE68" s="2850"/>
      <c r="AF68" s="2850"/>
      <c r="AG68" s="2850"/>
      <c r="AH68" s="2850"/>
      <c r="AI68" s="2850"/>
      <c r="AJ68" s="2850"/>
      <c r="AK68" s="2850"/>
      <c r="AL68" s="2850"/>
      <c r="AM68" s="2850"/>
      <c r="AN68" s="2850"/>
      <c r="AO68" s="2850"/>
      <c r="AP68" s="2850"/>
      <c r="AQ68" s="2850"/>
      <c r="AR68" s="2850"/>
    </row>
    <row r="69" spans="1:44" s="882" customFormat="1">
      <c r="A69" s="1878"/>
      <c r="D69" s="1879"/>
      <c r="K69" s="737"/>
      <c r="L69" s="737"/>
    </row>
    <row r="70" spans="1:44" s="882" customFormat="1">
      <c r="A70" s="1878"/>
      <c r="D70" s="1879"/>
      <c r="K70" s="737"/>
      <c r="L70" s="737"/>
    </row>
    <row r="71" spans="1:44" s="882" customFormat="1">
      <c r="A71" s="1878"/>
      <c r="D71" s="1879"/>
      <c r="K71" s="737"/>
      <c r="L71" s="737"/>
    </row>
    <row r="72" spans="1:44" s="882" customFormat="1">
      <c r="A72" s="1878"/>
      <c r="D72" s="1879"/>
      <c r="K72" s="737"/>
      <c r="L72" s="737"/>
    </row>
    <row r="73" spans="1:44" s="882" customFormat="1">
      <c r="A73" s="1878"/>
      <c r="D73" s="1879"/>
      <c r="K73" s="737"/>
      <c r="L73" s="737"/>
    </row>
    <row r="74" spans="1:44" s="882" customFormat="1">
      <c r="A74" s="1878"/>
      <c r="D74" s="1879"/>
      <c r="K74" s="737"/>
      <c r="L74" s="737"/>
    </row>
    <row r="75" spans="1:44" s="882" customFormat="1">
      <c r="A75" s="1878"/>
      <c r="D75" s="1879"/>
      <c r="K75" s="737"/>
      <c r="L75" s="737"/>
    </row>
    <row r="76" spans="1:44" s="882" customFormat="1">
      <c r="A76" s="1878"/>
      <c r="D76" s="1879"/>
      <c r="K76" s="737"/>
      <c r="L76" s="737"/>
    </row>
    <row r="77" spans="1:44" s="882" customFormat="1">
      <c r="A77" s="1878"/>
      <c r="D77" s="1879"/>
      <c r="K77" s="737"/>
      <c r="L77" s="737"/>
    </row>
    <row r="78" spans="1:44" s="882" customFormat="1">
      <c r="A78" s="1878"/>
      <c r="D78" s="1879"/>
      <c r="K78" s="737"/>
      <c r="L78" s="737"/>
    </row>
    <row r="79" spans="1:44" s="882" customFormat="1">
      <c r="A79" s="1878"/>
      <c r="D79" s="1879"/>
      <c r="K79" s="737"/>
      <c r="L79" s="737"/>
    </row>
    <row r="80" spans="1:44" s="882" customFormat="1">
      <c r="A80" s="1878"/>
      <c r="D80" s="1879"/>
      <c r="K80" s="737"/>
      <c r="L80" s="737"/>
    </row>
    <row r="81" spans="1:12" s="882" customFormat="1">
      <c r="A81" s="1878"/>
      <c r="D81" s="1879"/>
      <c r="K81" s="737"/>
      <c r="L81" s="737"/>
    </row>
    <row r="82" spans="1:12" s="882" customFormat="1">
      <c r="A82" s="1878"/>
      <c r="D82" s="1879"/>
      <c r="K82" s="737"/>
      <c r="L82" s="737"/>
    </row>
    <row r="83" spans="1:12" s="882" customFormat="1">
      <c r="A83" s="1878"/>
      <c r="D83" s="1879"/>
      <c r="K83" s="737"/>
      <c r="L83" s="737"/>
    </row>
    <row r="84" spans="1:12" s="882" customFormat="1">
      <c r="A84" s="1878"/>
      <c r="D84" s="1879"/>
      <c r="K84" s="737"/>
      <c r="L84" s="737"/>
    </row>
    <row r="85" spans="1:12" s="882" customFormat="1">
      <c r="A85" s="1878"/>
      <c r="D85" s="1879"/>
      <c r="K85" s="737"/>
      <c r="L85" s="737"/>
    </row>
    <row r="86" spans="1:12" s="882" customFormat="1">
      <c r="A86" s="1878"/>
      <c r="D86" s="1879"/>
      <c r="K86" s="737"/>
      <c r="L86" s="737"/>
    </row>
    <row r="87" spans="1:12" s="882" customFormat="1">
      <c r="A87" s="1878"/>
      <c r="D87" s="1879"/>
      <c r="K87" s="737"/>
      <c r="L87" s="737"/>
    </row>
    <row r="88" spans="1:12" s="882" customFormat="1">
      <c r="A88" s="1878"/>
      <c r="D88" s="1879"/>
      <c r="K88" s="737"/>
      <c r="L88" s="737"/>
    </row>
    <row r="89" spans="1:12" s="882" customFormat="1">
      <c r="A89" s="1878"/>
      <c r="D89" s="1879"/>
      <c r="K89" s="737"/>
      <c r="L89" s="737"/>
    </row>
    <row r="90" spans="1:12" s="882" customFormat="1">
      <c r="A90" s="1878"/>
      <c r="D90" s="1879"/>
      <c r="K90" s="737"/>
      <c r="L90" s="737"/>
    </row>
    <row r="91" spans="1:12" s="882" customFormat="1">
      <c r="A91" s="1878"/>
      <c r="D91" s="1879"/>
      <c r="K91" s="737"/>
      <c r="L91" s="737"/>
    </row>
    <row r="92" spans="1:12" s="882" customFormat="1">
      <c r="A92" s="1878"/>
      <c r="D92" s="1879"/>
      <c r="K92" s="737"/>
      <c r="L92" s="737"/>
    </row>
    <row r="93" spans="1:12" s="882" customFormat="1">
      <c r="A93" s="1878"/>
      <c r="D93" s="1879"/>
      <c r="K93" s="737"/>
      <c r="L93" s="737"/>
    </row>
    <row r="94" spans="1:12" s="882" customFormat="1">
      <c r="A94" s="1878"/>
      <c r="D94" s="1879"/>
      <c r="K94" s="737"/>
      <c r="L94" s="737"/>
    </row>
    <row r="95" spans="1:12" s="882" customFormat="1">
      <c r="A95" s="1878"/>
      <c r="D95" s="1879"/>
      <c r="K95" s="737"/>
      <c r="L95" s="737"/>
    </row>
    <row r="96" spans="1:12" s="882" customFormat="1">
      <c r="A96" s="1878"/>
      <c r="D96" s="1879"/>
      <c r="K96" s="737"/>
      <c r="L96" s="737"/>
    </row>
    <row r="97" spans="1:12" s="882" customFormat="1">
      <c r="A97" s="1878"/>
      <c r="D97" s="1879"/>
      <c r="K97" s="737"/>
      <c r="L97" s="737"/>
    </row>
    <row r="98" spans="1:12" s="882" customFormat="1">
      <c r="A98" s="1878"/>
      <c r="D98" s="1879"/>
      <c r="K98" s="737"/>
      <c r="L98" s="737"/>
    </row>
    <row r="99" spans="1:12" s="882" customFormat="1">
      <c r="A99" s="1878"/>
      <c r="D99" s="1879"/>
      <c r="K99" s="737"/>
      <c r="L99" s="737"/>
    </row>
    <row r="100" spans="1:12" s="882" customFormat="1">
      <c r="A100" s="1878"/>
      <c r="D100" s="1879"/>
      <c r="K100" s="737"/>
      <c r="L100" s="737"/>
    </row>
    <row r="101" spans="1:12" s="882" customFormat="1">
      <c r="A101" s="1878"/>
      <c r="D101" s="1879"/>
      <c r="K101" s="737"/>
      <c r="L101" s="737"/>
    </row>
    <row r="102" spans="1:12" s="882" customFormat="1">
      <c r="A102" s="1878"/>
      <c r="D102" s="1879"/>
      <c r="K102" s="737"/>
      <c r="L102" s="737"/>
    </row>
    <row r="103" spans="1:12" s="882" customFormat="1">
      <c r="A103" s="1878"/>
      <c r="D103" s="1879"/>
      <c r="K103" s="737"/>
      <c r="L103" s="737"/>
    </row>
    <row r="104" spans="1:12" s="882" customFormat="1">
      <c r="A104" s="1878"/>
      <c r="D104" s="1879"/>
      <c r="K104" s="737"/>
      <c r="L104" s="737"/>
    </row>
    <row r="105" spans="1:12" s="882" customFormat="1">
      <c r="A105" s="1878"/>
      <c r="D105" s="1879"/>
      <c r="K105" s="737"/>
      <c r="L105" s="737"/>
    </row>
    <row r="106" spans="1:12" s="882" customFormat="1">
      <c r="A106" s="1878"/>
      <c r="D106" s="1879"/>
      <c r="K106" s="737"/>
      <c r="L106" s="737"/>
    </row>
    <row r="107" spans="1:12" s="882" customFormat="1">
      <c r="A107" s="1878"/>
      <c r="D107" s="1879"/>
      <c r="K107" s="737"/>
      <c r="L107" s="737"/>
    </row>
    <row r="108" spans="1:12" s="882" customFormat="1">
      <c r="A108" s="1878"/>
      <c r="D108" s="1879"/>
      <c r="K108" s="737"/>
      <c r="L108" s="737"/>
    </row>
    <row r="109" spans="1:12" s="882" customFormat="1">
      <c r="A109" s="1878"/>
      <c r="D109" s="1879"/>
      <c r="K109" s="737"/>
      <c r="L109" s="737"/>
    </row>
    <row r="110" spans="1:12" s="882" customFormat="1">
      <c r="A110" s="1878"/>
      <c r="D110" s="1879"/>
      <c r="K110" s="737"/>
      <c r="L110" s="737"/>
    </row>
    <row r="111" spans="1:12" s="882" customFormat="1">
      <c r="A111" s="1878"/>
      <c r="D111" s="1879"/>
      <c r="K111" s="737"/>
      <c r="L111" s="737"/>
    </row>
    <row r="112" spans="1:12" s="882" customFormat="1">
      <c r="A112" s="1878"/>
      <c r="D112" s="1879"/>
      <c r="K112" s="737"/>
      <c r="L112" s="737"/>
    </row>
    <row r="113" spans="1:12" s="882" customFormat="1">
      <c r="A113" s="1878"/>
      <c r="D113" s="1879"/>
      <c r="K113" s="737"/>
      <c r="L113" s="737"/>
    </row>
    <row r="114" spans="1:12" s="882" customFormat="1">
      <c r="A114" s="1878"/>
      <c r="D114" s="1879"/>
      <c r="K114" s="737"/>
      <c r="L114" s="737"/>
    </row>
    <row r="115" spans="1:12" s="882" customFormat="1">
      <c r="A115" s="1878"/>
      <c r="D115" s="1879"/>
      <c r="K115" s="737"/>
      <c r="L115" s="737"/>
    </row>
    <row r="116" spans="1:12" s="882" customFormat="1">
      <c r="A116" s="1878"/>
      <c r="D116" s="1879"/>
      <c r="K116" s="737"/>
      <c r="L116" s="737"/>
    </row>
    <row r="117" spans="1:12" s="882" customFormat="1">
      <c r="A117" s="1878"/>
      <c r="D117" s="1879"/>
      <c r="K117" s="737"/>
      <c r="L117" s="737"/>
    </row>
    <row r="118" spans="1:12" s="882" customFormat="1">
      <c r="A118" s="1878"/>
      <c r="D118" s="1879"/>
      <c r="K118" s="737"/>
      <c r="L118" s="737"/>
    </row>
    <row r="119" spans="1:12" s="882" customFormat="1">
      <c r="A119" s="1878"/>
      <c r="D119" s="1879"/>
      <c r="K119" s="737"/>
      <c r="L119" s="737"/>
    </row>
    <row r="120" spans="1:12" s="882" customFormat="1">
      <c r="A120" s="1878"/>
      <c r="D120" s="1879"/>
      <c r="K120" s="737"/>
      <c r="L120" s="737"/>
    </row>
    <row r="121" spans="1:12" s="882" customFormat="1">
      <c r="A121" s="1878"/>
      <c r="D121" s="1879"/>
      <c r="K121" s="737"/>
      <c r="L121" s="737"/>
    </row>
    <row r="122" spans="1:12" s="882" customFormat="1">
      <c r="A122" s="1878"/>
      <c r="D122" s="1879"/>
      <c r="K122" s="737"/>
      <c r="L122" s="737"/>
    </row>
    <row r="123" spans="1:12" s="882" customFormat="1">
      <c r="A123" s="1878"/>
      <c r="D123" s="1879"/>
      <c r="K123" s="737"/>
      <c r="L123" s="737"/>
    </row>
    <row r="124" spans="1:12" s="882" customFormat="1">
      <c r="A124" s="1878"/>
      <c r="D124" s="1879"/>
      <c r="K124" s="737"/>
      <c r="L124" s="737"/>
    </row>
    <row r="125" spans="1:12" s="882" customFormat="1">
      <c r="A125" s="1878"/>
      <c r="D125" s="1879"/>
      <c r="K125" s="737"/>
      <c r="L125" s="737"/>
    </row>
    <row r="126" spans="1:12" s="882" customFormat="1">
      <c r="A126" s="1878"/>
      <c r="D126" s="1879"/>
      <c r="K126" s="737"/>
      <c r="L126" s="737"/>
    </row>
    <row r="127" spans="1:12" s="882" customFormat="1">
      <c r="A127" s="1878"/>
      <c r="D127" s="1879"/>
      <c r="K127" s="737"/>
      <c r="L127" s="737"/>
    </row>
    <row r="128" spans="1:12" s="882" customFormat="1">
      <c r="A128" s="1878"/>
      <c r="D128" s="1879"/>
      <c r="K128" s="737"/>
      <c r="L128" s="737"/>
    </row>
    <row r="129" spans="1:12" s="882" customFormat="1">
      <c r="A129" s="1878"/>
      <c r="D129" s="1879"/>
      <c r="K129" s="737"/>
      <c r="L129" s="737"/>
    </row>
    <row r="130" spans="1:12" s="882" customFormat="1">
      <c r="A130" s="1878"/>
      <c r="D130" s="1879"/>
      <c r="K130" s="737"/>
      <c r="L130" s="737"/>
    </row>
    <row r="131" spans="1:12" s="882" customFormat="1">
      <c r="A131" s="1878"/>
      <c r="D131" s="1879"/>
      <c r="K131" s="737"/>
      <c r="L131" s="737"/>
    </row>
    <row r="132" spans="1:12" s="882" customFormat="1">
      <c r="A132" s="1878"/>
      <c r="D132" s="1879"/>
      <c r="K132" s="737"/>
      <c r="L132" s="737"/>
    </row>
    <row r="133" spans="1:12" s="882" customFormat="1">
      <c r="A133" s="1878"/>
      <c r="D133" s="1879"/>
      <c r="K133" s="737"/>
      <c r="L133" s="737"/>
    </row>
    <row r="134" spans="1:12" s="1818" customFormat="1">
      <c r="A134" s="1880"/>
      <c r="D134" s="1881"/>
      <c r="K134" s="27"/>
      <c r="L134" s="27"/>
    </row>
    <row r="135" spans="1:12" s="1818" customFormat="1">
      <c r="A135" s="1880"/>
      <c r="D135" s="1881"/>
      <c r="K135" s="27"/>
      <c r="L135" s="27"/>
    </row>
    <row r="136" spans="1:12" s="1818" customFormat="1">
      <c r="A136" s="1880"/>
      <c r="D136" s="1881"/>
      <c r="K136" s="27"/>
      <c r="L136" s="27"/>
    </row>
    <row r="137" spans="1:12" s="1818" customFormat="1">
      <c r="A137" s="1880"/>
      <c r="D137" s="1881"/>
      <c r="K137" s="27"/>
      <c r="L137" s="27"/>
    </row>
    <row r="138" spans="1:12" s="1818" customFormat="1">
      <c r="A138" s="1880"/>
      <c r="D138" s="1881"/>
      <c r="K138" s="27"/>
      <c r="L138" s="27"/>
    </row>
    <row r="139" spans="1:12" s="1818" customFormat="1">
      <c r="A139" s="1880"/>
      <c r="D139" s="1881"/>
      <c r="K139" s="27"/>
      <c r="L139" s="27"/>
    </row>
    <row r="140" spans="1:12" s="1818" customFormat="1">
      <c r="A140" s="1880"/>
      <c r="D140" s="1881"/>
      <c r="K140" s="27"/>
      <c r="L140" s="27"/>
    </row>
    <row r="141" spans="1:12" s="1818" customFormat="1">
      <c r="A141" s="1880"/>
      <c r="D141" s="1881"/>
      <c r="K141" s="27"/>
      <c r="L141" s="27"/>
    </row>
    <row r="142" spans="1:12" s="1818" customFormat="1">
      <c r="A142" s="1880"/>
      <c r="D142" s="1881"/>
      <c r="K142" s="27"/>
      <c r="L142" s="27"/>
    </row>
    <row r="143" spans="1:12" s="1818" customFormat="1">
      <c r="A143" s="1880"/>
      <c r="D143" s="1881"/>
      <c r="K143" s="27"/>
      <c r="L143" s="27"/>
    </row>
    <row r="144" spans="1:12" s="1818" customFormat="1">
      <c r="A144" s="1880"/>
      <c r="D144" s="1881"/>
      <c r="K144" s="27"/>
      <c r="L144" s="27"/>
    </row>
    <row r="145" spans="1:12" s="1818" customFormat="1">
      <c r="A145" s="1880"/>
      <c r="D145" s="1881"/>
      <c r="K145" s="27"/>
      <c r="L145" s="27"/>
    </row>
    <row r="146" spans="1:12" s="1818" customFormat="1">
      <c r="A146" s="1880"/>
      <c r="D146" s="1881"/>
      <c r="K146" s="27"/>
      <c r="L146" s="27"/>
    </row>
    <row r="147" spans="1:12" s="1818" customFormat="1">
      <c r="A147" s="1880"/>
      <c r="D147" s="1881"/>
      <c r="K147" s="27"/>
      <c r="L147" s="27"/>
    </row>
    <row r="148" spans="1:12" s="1818" customFormat="1">
      <c r="A148" s="1880"/>
      <c r="D148" s="1881"/>
      <c r="K148" s="27"/>
      <c r="L148" s="27"/>
    </row>
    <row r="149" spans="1:12" s="1818" customFormat="1">
      <c r="A149" s="1880"/>
      <c r="D149" s="1881"/>
      <c r="K149" s="27"/>
      <c r="L149" s="27"/>
    </row>
    <row r="150" spans="1:12" s="1818" customFormat="1">
      <c r="A150" s="1880"/>
      <c r="D150" s="1881"/>
      <c r="K150" s="27"/>
      <c r="L150" s="27"/>
    </row>
    <row r="151" spans="1:12" s="1818" customFormat="1">
      <c r="A151" s="1880"/>
      <c r="D151" s="1881"/>
      <c r="K151" s="27"/>
      <c r="L151" s="27"/>
    </row>
    <row r="152" spans="1:12" s="1818" customFormat="1">
      <c r="A152" s="1880"/>
      <c r="D152" s="1881"/>
      <c r="K152" s="27"/>
      <c r="L152" s="27"/>
    </row>
    <row r="153" spans="1:12" s="1818" customFormat="1">
      <c r="A153" s="1880"/>
      <c r="D153" s="1881"/>
      <c r="K153" s="27"/>
      <c r="L153" s="27"/>
    </row>
    <row r="154" spans="1:12" s="1818" customFormat="1">
      <c r="A154" s="1880"/>
      <c r="D154" s="1881"/>
      <c r="K154" s="27"/>
      <c r="L154" s="27"/>
    </row>
    <row r="155" spans="1:12" s="1818" customFormat="1">
      <c r="A155" s="1880"/>
      <c r="D155" s="1881"/>
      <c r="K155" s="27"/>
      <c r="L155" s="27"/>
    </row>
    <row r="156" spans="1:12" s="1818" customFormat="1">
      <c r="A156" s="1880"/>
      <c r="D156" s="1881"/>
      <c r="K156" s="27"/>
      <c r="L156" s="27"/>
    </row>
    <row r="157" spans="1:12" s="1818" customFormat="1">
      <c r="A157" s="1880"/>
      <c r="D157" s="1881"/>
      <c r="K157" s="27"/>
      <c r="L157" s="27"/>
    </row>
    <row r="158" spans="1:12" s="1818" customFormat="1">
      <c r="A158" s="1880"/>
      <c r="D158" s="1881"/>
      <c r="K158" s="27"/>
      <c r="L158" s="27"/>
    </row>
    <row r="159" spans="1:12" s="1818" customFormat="1">
      <c r="A159" s="1880"/>
      <c r="D159" s="1881"/>
      <c r="K159" s="27"/>
      <c r="L159" s="27"/>
    </row>
    <row r="160" spans="1:12" s="1818" customFormat="1">
      <c r="A160" s="1880"/>
      <c r="D160" s="1881"/>
      <c r="K160" s="27"/>
      <c r="L160" s="27"/>
    </row>
    <row r="161" spans="1:12" s="1818" customFormat="1">
      <c r="A161" s="1880"/>
      <c r="D161" s="1881"/>
      <c r="K161" s="27"/>
      <c r="L161" s="27"/>
    </row>
    <row r="162" spans="1:12" s="1818" customFormat="1">
      <c r="A162" s="1880"/>
      <c r="D162" s="1881"/>
      <c r="K162" s="27"/>
      <c r="L162" s="27"/>
    </row>
    <row r="163" spans="1:12" s="1818" customFormat="1">
      <c r="A163" s="1880"/>
      <c r="D163" s="1881"/>
      <c r="K163" s="27"/>
      <c r="L163" s="27"/>
    </row>
    <row r="164" spans="1:12" s="1818" customFormat="1">
      <c r="A164" s="1880"/>
      <c r="D164" s="1881"/>
      <c r="K164" s="27"/>
      <c r="L164" s="27"/>
    </row>
    <row r="165" spans="1:12" s="1818" customFormat="1">
      <c r="A165" s="1880"/>
      <c r="D165" s="1881"/>
      <c r="K165" s="27"/>
      <c r="L165" s="27"/>
    </row>
    <row r="166" spans="1:12" s="1818" customFormat="1">
      <c r="A166" s="1880"/>
      <c r="D166" s="1881"/>
      <c r="K166" s="27"/>
      <c r="L166" s="27"/>
    </row>
    <row r="167" spans="1:12" s="1818" customFormat="1">
      <c r="A167" s="1880"/>
      <c r="D167" s="1881"/>
      <c r="K167" s="27"/>
      <c r="L167" s="27"/>
    </row>
    <row r="168" spans="1:12" s="1818" customFormat="1">
      <c r="A168" s="1880"/>
      <c r="D168" s="1881"/>
      <c r="K168" s="27"/>
      <c r="L168" s="27"/>
    </row>
    <row r="169" spans="1:12" s="1818" customFormat="1">
      <c r="A169" s="1880"/>
      <c r="D169" s="1881"/>
      <c r="K169" s="27"/>
      <c r="L169" s="27"/>
    </row>
    <row r="170" spans="1:12" s="1818" customFormat="1">
      <c r="A170" s="1880"/>
      <c r="D170" s="1881"/>
      <c r="K170" s="27"/>
      <c r="L170" s="27"/>
    </row>
    <row r="171" spans="1:12" s="1818" customFormat="1">
      <c r="A171" s="1880"/>
      <c r="D171" s="1881"/>
      <c r="K171" s="27"/>
      <c r="L171" s="27"/>
    </row>
    <row r="172" spans="1:12" s="1818" customFormat="1">
      <c r="A172" s="1880"/>
      <c r="D172" s="1881"/>
      <c r="K172" s="27"/>
      <c r="L172" s="27"/>
    </row>
    <row r="173" spans="1:12" s="1818" customFormat="1">
      <c r="A173" s="1880"/>
      <c r="D173" s="1881"/>
      <c r="K173" s="27"/>
      <c r="L173" s="27"/>
    </row>
    <row r="174" spans="1:12" s="1818" customFormat="1">
      <c r="A174" s="1880"/>
      <c r="D174" s="1881"/>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23" customWidth="1"/>
    <col min="2" max="2" width="24.5" style="1708" customWidth="1"/>
    <col min="3" max="3" width="24.5" style="2686" customWidth="1"/>
    <col min="4" max="4" width="2.625" style="2686" customWidth="1"/>
    <col min="5" max="5" width="5.875" style="2686" customWidth="1"/>
    <col min="6" max="6" width="27" style="1708" customWidth="1"/>
    <col min="7" max="7" width="27" style="2687" customWidth="1"/>
    <col min="8" max="8" width="11.875" style="2667" customWidth="1"/>
    <col min="9" max="9" width="16.75" style="2668" customWidth="1"/>
    <col min="10" max="10" width="2.625" style="2667" customWidth="1"/>
    <col min="11" max="11" width="11.875" style="2667" customWidth="1"/>
    <col min="12" max="12" width="16.75" style="2668" customWidth="1"/>
    <col min="13" max="13" width="2.625" style="2667" customWidth="1"/>
    <col min="14" max="14" width="11.875" style="2667" customWidth="1"/>
    <col min="15" max="15" width="16.75" style="2668" customWidth="1"/>
    <col min="16" max="16" width="2.625" style="2667" customWidth="1"/>
    <col min="17" max="17" width="11.875" style="2667" customWidth="1"/>
    <col min="18" max="18" width="16.75" style="2669" customWidth="1"/>
    <col min="19" max="29" width="9" style="888"/>
    <col min="30" max="16384" width="9" style="1823"/>
  </cols>
  <sheetData>
    <row r="1" spans="1:29" s="2633" customFormat="1" ht="18.75" thickBot="1">
      <c r="A1" s="3322" t="s">
        <v>2786</v>
      </c>
      <c r="B1" s="3323"/>
      <c r="C1" s="3323"/>
      <c r="D1" s="3323"/>
      <c r="E1" s="3323"/>
      <c r="F1" s="3323"/>
      <c r="G1" s="3323"/>
      <c r="H1" s="2628"/>
      <c r="I1" s="2629"/>
      <c r="J1" s="2628"/>
      <c r="K1" s="2628"/>
      <c r="L1" s="2629"/>
      <c r="M1" s="2628"/>
      <c r="N1" s="2628"/>
      <c r="O1" s="2629"/>
      <c r="P1" s="2628"/>
      <c r="Q1" s="2630"/>
      <c r="R1" s="2631"/>
      <c r="S1" s="2632"/>
      <c r="T1" s="2632"/>
      <c r="U1" s="2632"/>
      <c r="V1" s="2632"/>
      <c r="W1" s="2632"/>
      <c r="X1" s="2632"/>
      <c r="Y1" s="2632"/>
      <c r="Z1" s="2632"/>
      <c r="AA1" s="2632"/>
      <c r="AB1" s="2632"/>
      <c r="AC1" s="2632"/>
    </row>
    <row r="2" spans="1:29" ht="15" thickBot="1">
      <c r="A2" s="2634"/>
      <c r="B2" s="2635"/>
      <c r="C2" s="2636" t="s">
        <v>2781</v>
      </c>
      <c r="D2" s="2637"/>
      <c r="E2" s="2634"/>
      <c r="F2" s="2638"/>
      <c r="G2" s="2636" t="s">
        <v>2782</v>
      </c>
      <c r="H2" s="888"/>
      <c r="I2" s="888"/>
      <c r="J2" s="888"/>
      <c r="K2" s="888"/>
      <c r="L2" s="888"/>
      <c r="M2" s="888"/>
      <c r="N2" s="888"/>
      <c r="O2" s="888"/>
      <c r="P2" s="888"/>
      <c r="Q2" s="888"/>
      <c r="R2" s="888"/>
    </row>
    <row r="3" spans="1:29" ht="48">
      <c r="A3" s="2617" t="s">
        <v>2783</v>
      </c>
      <c r="B3" s="2639" t="s">
        <v>2752</v>
      </c>
      <c r="C3" s="2640" t="s">
        <v>2784</v>
      </c>
      <c r="D3" s="2641"/>
      <c r="E3" s="2618" t="s">
        <v>2783</v>
      </c>
      <c r="F3" s="2642" t="s">
        <v>2753</v>
      </c>
      <c r="G3" s="2643" t="s">
        <v>2785</v>
      </c>
      <c r="H3" s="888"/>
      <c r="I3" s="888"/>
      <c r="J3" s="888"/>
      <c r="K3" s="888"/>
      <c r="L3" s="888"/>
      <c r="M3" s="888"/>
      <c r="N3" s="888"/>
      <c r="O3" s="888"/>
      <c r="P3" s="888"/>
      <c r="Q3" s="888"/>
      <c r="R3" s="888"/>
    </row>
    <row r="4" spans="1:29" ht="36.75">
      <c r="A4" s="2618"/>
      <c r="B4" s="329" t="s">
        <v>2754</v>
      </c>
      <c r="C4" s="2644" t="s">
        <v>2755</v>
      </c>
      <c r="D4" s="2641"/>
      <c r="E4" s="2645"/>
      <c r="F4" s="1508" t="s">
        <v>2756</v>
      </c>
      <c r="G4" s="2646" t="s">
        <v>2757</v>
      </c>
      <c r="H4" s="888"/>
      <c r="I4" s="888"/>
      <c r="J4" s="888"/>
      <c r="K4" s="888"/>
      <c r="L4" s="888"/>
      <c r="M4" s="888"/>
      <c r="N4" s="888"/>
      <c r="O4" s="888"/>
      <c r="P4" s="888"/>
      <c r="Q4" s="888"/>
      <c r="R4" s="888"/>
    </row>
    <row r="5" spans="1:29" ht="36.75">
      <c r="A5" s="2618"/>
      <c r="B5" s="329" t="s">
        <v>2758</v>
      </c>
      <c r="C5" s="2644" t="s">
        <v>2759</v>
      </c>
      <c r="D5" s="2641"/>
      <c r="E5" s="2645"/>
      <c r="F5" s="329" t="s">
        <v>2760</v>
      </c>
      <c r="G5" s="2646" t="s">
        <v>2761</v>
      </c>
      <c r="H5" s="888"/>
      <c r="I5" s="888"/>
      <c r="J5" s="888"/>
      <c r="K5" s="888"/>
      <c r="L5" s="888"/>
      <c r="M5" s="888"/>
      <c r="N5" s="888"/>
      <c r="O5" s="888"/>
      <c r="P5" s="888"/>
      <c r="Q5" s="888"/>
      <c r="R5" s="888"/>
    </row>
    <row r="6" spans="1:29" ht="36">
      <c r="A6" s="2618"/>
      <c r="B6" s="329" t="s">
        <v>2762</v>
      </c>
      <c r="C6" s="2646" t="s">
        <v>2757</v>
      </c>
      <c r="D6" s="2641"/>
      <c r="E6" s="2645"/>
      <c r="F6" s="329" t="s">
        <v>2763</v>
      </c>
      <c r="G6" s="2646" t="s">
        <v>2764</v>
      </c>
      <c r="H6" s="888"/>
      <c r="I6" s="888"/>
      <c r="J6" s="888"/>
      <c r="K6" s="888"/>
      <c r="L6" s="888"/>
      <c r="M6" s="888"/>
      <c r="N6" s="888"/>
      <c r="O6" s="888"/>
      <c r="P6" s="888"/>
      <c r="Q6" s="888"/>
      <c r="R6" s="888"/>
    </row>
    <row r="7" spans="1:29" ht="24.75" thickBot="1">
      <c r="A7" s="2618"/>
      <c r="B7" s="329" t="s">
        <v>2760</v>
      </c>
      <c r="C7" s="2646" t="s">
        <v>2761</v>
      </c>
      <c r="D7" s="2647"/>
      <c r="E7" s="2648"/>
      <c r="F7" s="2649" t="s">
        <v>2765</v>
      </c>
      <c r="G7" s="2650" t="s">
        <v>2766</v>
      </c>
      <c r="H7" s="888"/>
      <c r="I7" s="888"/>
      <c r="J7" s="888"/>
      <c r="K7" s="888"/>
      <c r="L7" s="888"/>
      <c r="M7" s="888"/>
      <c r="N7" s="888"/>
      <c r="O7" s="888"/>
      <c r="P7" s="888"/>
      <c r="Q7" s="888"/>
      <c r="R7" s="888"/>
    </row>
    <row r="8" spans="1:29">
      <c r="A8" s="2618"/>
      <c r="B8" s="329" t="s">
        <v>2763</v>
      </c>
      <c r="C8" s="2646" t="s">
        <v>2764</v>
      </c>
      <c r="D8" s="2647"/>
      <c r="E8" s="2647"/>
      <c r="F8" s="2651"/>
      <c r="G8" s="2651"/>
      <c r="H8" s="888"/>
      <c r="I8" s="888"/>
      <c r="J8" s="888"/>
      <c r="K8" s="888"/>
      <c r="L8" s="888"/>
      <c r="M8" s="888"/>
      <c r="N8" s="888"/>
      <c r="O8" s="888"/>
      <c r="P8" s="888"/>
      <c r="Q8" s="888"/>
      <c r="R8" s="888"/>
    </row>
    <row r="9" spans="1:29" ht="24">
      <c r="A9" s="2618"/>
      <c r="B9" s="329" t="s">
        <v>2767</v>
      </c>
      <c r="C9" s="2644" t="s">
        <v>2768</v>
      </c>
      <c r="D9" s="2641"/>
      <c r="E9" s="2647"/>
      <c r="F9" s="2651"/>
      <c r="G9" s="2651"/>
      <c r="H9" s="888"/>
      <c r="I9" s="888"/>
      <c r="J9" s="888"/>
      <c r="K9" s="888"/>
      <c r="L9" s="888"/>
      <c r="M9" s="888"/>
      <c r="N9" s="888"/>
      <c r="O9" s="888"/>
      <c r="P9" s="888"/>
      <c r="Q9" s="888"/>
      <c r="R9" s="888"/>
    </row>
    <row r="10" spans="1:29" s="2657" customFormat="1" ht="15" thickBot="1">
      <c r="A10" s="2619"/>
      <c r="B10" s="2652" t="s">
        <v>2769</v>
      </c>
      <c r="C10" s="2653"/>
      <c r="D10" s="2641"/>
      <c r="E10" s="2641"/>
      <c r="F10" s="2651"/>
      <c r="G10" s="2651"/>
      <c r="H10" s="2654"/>
      <c r="I10" s="2655"/>
      <c r="J10" s="2656"/>
      <c r="K10" s="2654"/>
      <c r="L10" s="2655"/>
      <c r="M10" s="2656"/>
      <c r="N10" s="2654"/>
      <c r="O10" s="2655"/>
      <c r="P10" s="2656"/>
      <c r="Q10" s="2654"/>
      <c r="R10" s="2655"/>
      <c r="S10" s="888"/>
      <c r="T10" s="888"/>
      <c r="U10" s="888"/>
      <c r="V10" s="888"/>
      <c r="W10" s="888"/>
      <c r="X10" s="888"/>
      <c r="Y10" s="888"/>
      <c r="Z10" s="888"/>
      <c r="AA10" s="888"/>
      <c r="AB10" s="888"/>
      <c r="AC10" s="888"/>
    </row>
    <row r="11" spans="1:29" s="2657" customFormat="1">
      <c r="A11" s="2658"/>
      <c r="B11" s="2647"/>
      <c r="C11" s="2641"/>
      <c r="D11" s="2641"/>
      <c r="E11" s="2641"/>
      <c r="F11" s="2647"/>
      <c r="G11" s="2659"/>
      <c r="H11" s="2654"/>
      <c r="I11" s="2655"/>
      <c r="J11" s="2656"/>
      <c r="K11" s="2654"/>
      <c r="L11" s="2655"/>
      <c r="M11" s="2656"/>
      <c r="N11" s="2654"/>
      <c r="O11" s="2655"/>
      <c r="P11" s="2656"/>
      <c r="Q11" s="2654"/>
      <c r="R11" s="2655"/>
      <c r="S11" s="888"/>
      <c r="T11" s="888"/>
      <c r="U11" s="888"/>
      <c r="V11" s="888"/>
      <c r="W11" s="888"/>
      <c r="X11" s="888"/>
      <c r="Y11" s="888"/>
      <c r="Z11" s="888"/>
      <c r="AA11" s="888"/>
      <c r="AB11" s="888"/>
      <c r="AC11" s="888"/>
    </row>
    <row r="12" spans="1:29" s="2633" customFormat="1" ht="18">
      <c r="A12" s="2658"/>
      <c r="B12" s="2647"/>
      <c r="C12" s="2641"/>
      <c r="D12" s="2660"/>
      <c r="E12" s="2641"/>
      <c r="F12" s="2647"/>
      <c r="G12" s="2659"/>
      <c r="H12" s="2661"/>
      <c r="I12" s="2662"/>
      <c r="J12" s="2661"/>
      <c r="K12" s="2661"/>
      <c r="L12" s="2663"/>
      <c r="M12" s="2661"/>
      <c r="N12" s="2664"/>
      <c r="O12" s="2665"/>
      <c r="P12" s="2664"/>
      <c r="Q12" s="2664"/>
      <c r="R12" s="2631"/>
      <c r="S12" s="2632"/>
      <c r="T12" s="2632"/>
      <c r="U12" s="2632"/>
      <c r="V12" s="2632"/>
      <c r="W12" s="2632"/>
      <c r="X12" s="2632"/>
      <c r="Y12" s="2632"/>
      <c r="Z12" s="2632"/>
      <c r="AA12" s="2632"/>
      <c r="AB12" s="2632"/>
      <c r="AC12" s="2632"/>
    </row>
    <row r="13" spans="1:29" ht="15.75" thickBot="1">
      <c r="A13" s="2666" t="s">
        <v>2787</v>
      </c>
      <c r="B13" s="2660"/>
      <c r="C13" s="2660"/>
      <c r="D13" s="2658"/>
      <c r="E13" s="2660"/>
      <c r="F13" s="2660"/>
      <c r="G13" s="2660"/>
    </row>
    <row r="14" spans="1:29" ht="15" thickBot="1">
      <c r="A14" s="2670"/>
      <c r="B14" s="2670"/>
      <c r="C14" s="2671" t="s">
        <v>2770</v>
      </c>
      <c r="D14" s="2641"/>
      <c r="E14" s="2672"/>
      <c r="F14" s="2672"/>
      <c r="G14" s="2636" t="s">
        <v>2771</v>
      </c>
    </row>
    <row r="15" spans="1:29" ht="51">
      <c r="A15" s="2620" t="s">
        <v>2772</v>
      </c>
      <c r="B15" s="2673" t="s">
        <v>2752</v>
      </c>
      <c r="C15" s="2674" t="str">
        <f>C3</f>
        <v>估价对象周边居住用地比例、居住小区规模和社区发展完善程度，综合评价居住社区成熟度一般</v>
      </c>
      <c r="D15" s="2641"/>
      <c r="E15" s="2621" t="s">
        <v>2773</v>
      </c>
      <c r="F15" s="2673" t="s">
        <v>2774</v>
      </c>
      <c r="G15" s="2675" t="str">
        <f>G3</f>
        <v>估价对象位于XX开发区，园区建设成熟度XX，产业集聚程度XX</v>
      </c>
    </row>
    <row r="16" spans="1:29" ht="38.25">
      <c r="A16" s="2622"/>
      <c r="B16" s="2676" t="s">
        <v>2754</v>
      </c>
      <c r="C16" s="2677" t="str">
        <f>C4</f>
        <v>估价对象位于XX商圈，周边商业氛围成熟，人流量大，商业繁华度好</v>
      </c>
      <c r="D16" s="2641"/>
      <c r="E16" s="2623"/>
      <c r="F16" s="2678" t="s">
        <v>2756</v>
      </c>
      <c r="G16" s="2679" t="str">
        <f>G4</f>
        <v>估价对象周边道路状况、公共交通通达情况、停车便捷程度，综合评价交通便捷度较好</v>
      </c>
    </row>
    <row r="17" spans="1:18" ht="38.25">
      <c r="A17" s="2622"/>
      <c r="B17" s="2676" t="s">
        <v>2758</v>
      </c>
      <c r="C17" s="2677" t="str">
        <f>C5</f>
        <v>估价对象位于XX商圈，周边办公楼项目较多，入驻率高，办公集聚程度较好</v>
      </c>
      <c r="D17" s="2647"/>
      <c r="E17" s="2623"/>
      <c r="F17" s="2678" t="s">
        <v>2775</v>
      </c>
      <c r="G17" s="2680"/>
    </row>
    <row r="18" spans="1:18" ht="38.25">
      <c r="A18" s="2622"/>
      <c r="B18" s="2678" t="s">
        <v>2762</v>
      </c>
      <c r="C18" s="2679" t="str">
        <f>C6</f>
        <v>估价对象周边道路状况、公共交通通达情况、停车便捷程度，综合评价交通便捷度较好</v>
      </c>
      <c r="D18" s="2647"/>
      <c r="E18" s="2623"/>
      <c r="F18" s="2678" t="s">
        <v>2765</v>
      </c>
      <c r="G18" s="2679" t="str">
        <f>G7</f>
        <v>该园区内是否有污染型企业，绿化情况，卫生条件，整体环境状况判断</v>
      </c>
    </row>
    <row r="19" spans="1:18" ht="25.5">
      <c r="A19" s="2622"/>
      <c r="B19" s="2678" t="s">
        <v>2776</v>
      </c>
      <c r="C19" s="2680"/>
      <c r="D19" s="2641"/>
      <c r="E19" s="2623"/>
      <c r="F19" s="329" t="s">
        <v>2760</v>
      </c>
      <c r="G19" s="2679" t="str">
        <f>G5</f>
        <v>估价对象所在区域公共配套设施齐备情况</v>
      </c>
    </row>
    <row r="20" spans="1:18" ht="25.5">
      <c r="A20" s="2622"/>
      <c r="B20" s="2678" t="s">
        <v>2777</v>
      </c>
      <c r="C20" s="2677" t="str">
        <f>C9</f>
        <v>区域自然环境：；人文环境；综合评价环境状况一般</v>
      </c>
      <c r="D20" s="2647"/>
      <c r="E20" s="2623"/>
      <c r="F20" s="329" t="s">
        <v>2763</v>
      </c>
      <c r="G20" s="2679" t="str">
        <f>G6</f>
        <v>估价对象所在区域基础设施水平</v>
      </c>
    </row>
    <row r="21" spans="1:18" ht="25.5">
      <c r="A21" s="2622"/>
      <c r="B21" s="329" t="s">
        <v>2760</v>
      </c>
      <c r="C21" s="2679" t="str">
        <f>C7</f>
        <v>估价对象所在区域公共配套设施齐备情况</v>
      </c>
      <c r="D21" s="2641"/>
      <c r="E21" s="2623"/>
      <c r="F21" s="2678" t="s">
        <v>2778</v>
      </c>
      <c r="G21" s="2681"/>
    </row>
    <row r="22" spans="1:18" ht="13.5" customHeight="1">
      <c r="A22" s="2622"/>
      <c r="B22" s="329" t="s">
        <v>2763</v>
      </c>
      <c r="C22" s="2679" t="str">
        <f>C8</f>
        <v>估价对象所在区域基础设施水平</v>
      </c>
      <c r="D22" s="2641"/>
      <c r="E22" s="2623"/>
      <c r="F22" s="2678" t="s">
        <v>2769</v>
      </c>
      <c r="G22" s="2680"/>
    </row>
    <row r="23" spans="1:18" s="888" customFormat="1" ht="15" thickBot="1">
      <c r="A23" s="2622"/>
      <c r="B23" s="2678" t="s">
        <v>2778</v>
      </c>
      <c r="C23" s="2681"/>
      <c r="D23" s="1878"/>
      <c r="E23" s="2624"/>
      <c r="F23" s="2682" t="s">
        <v>2779</v>
      </c>
      <c r="G23" s="2683"/>
      <c r="H23" s="2667"/>
      <c r="I23" s="2668"/>
      <c r="J23" s="2667"/>
      <c r="K23" s="2667"/>
      <c r="L23" s="2668"/>
      <c r="M23" s="2667"/>
      <c r="N23" s="2667"/>
      <c r="O23" s="2668"/>
      <c r="P23" s="2667"/>
      <c r="Q23" s="2667"/>
      <c r="R23" s="2669"/>
    </row>
    <row r="24" spans="1:18" s="888" customFormat="1" ht="15" thickBot="1">
      <c r="A24" s="2625"/>
      <c r="B24" s="2682" t="s">
        <v>2780</v>
      </c>
      <c r="C24" s="2684">
        <f>C10</f>
        <v>0</v>
      </c>
      <c r="D24" s="1878"/>
      <c r="E24" s="2615"/>
      <c r="F24" s="2615"/>
      <c r="G24" s="2685"/>
      <c r="H24" s="2667"/>
      <c r="I24" s="2668"/>
      <c r="J24" s="2667"/>
      <c r="K24" s="2667"/>
      <c r="L24" s="2668"/>
      <c r="M24" s="2667"/>
      <c r="N24" s="2667"/>
      <c r="O24" s="2668"/>
      <c r="P24" s="2667"/>
      <c r="Q24" s="2667"/>
      <c r="R24" s="2669"/>
    </row>
    <row r="25" spans="1:18" s="888" customFormat="1">
      <c r="B25" s="2667"/>
      <c r="C25" s="2667"/>
      <c r="D25" s="2667"/>
      <c r="H25" s="2667"/>
      <c r="I25" s="2668"/>
      <c r="J25" s="2667"/>
      <c r="K25" s="2667"/>
      <c r="L25" s="2668"/>
      <c r="M25" s="2667"/>
      <c r="N25" s="2667"/>
      <c r="O25" s="2668"/>
      <c r="P25" s="2667"/>
      <c r="Q25" s="2667"/>
      <c r="R25" s="2669"/>
    </row>
    <row r="26" spans="1:18" s="888" customFormat="1">
      <c r="B26" s="2667"/>
      <c r="C26" s="2667"/>
      <c r="D26" s="2667"/>
      <c r="H26" s="2667"/>
      <c r="I26" s="2668"/>
      <c r="J26" s="2667"/>
      <c r="K26" s="2667"/>
      <c r="L26" s="2668"/>
      <c r="M26" s="2667"/>
      <c r="N26" s="2667"/>
      <c r="O26" s="2668"/>
      <c r="P26" s="2667"/>
      <c r="Q26" s="2667"/>
      <c r="R26" s="2669"/>
    </row>
    <row r="27" spans="1:18" s="888" customFormat="1">
      <c r="B27" s="2667"/>
      <c r="C27" s="2667"/>
      <c r="D27" s="2667"/>
      <c r="H27" s="2667"/>
      <c r="I27" s="2668"/>
      <c r="J27" s="2667"/>
      <c r="K27" s="2667"/>
      <c r="L27" s="2668"/>
      <c r="M27" s="2667"/>
      <c r="N27" s="2667"/>
      <c r="O27" s="2668"/>
      <c r="P27" s="2667"/>
      <c r="Q27" s="2667"/>
      <c r="R27" s="2669"/>
    </row>
    <row r="28" spans="1:18" s="888" customFormat="1">
      <c r="B28" s="2667"/>
      <c r="C28" s="2667"/>
      <c r="D28" s="2667"/>
      <c r="H28" s="2667"/>
      <c r="I28" s="2668"/>
      <c r="J28" s="2667"/>
      <c r="K28" s="2667"/>
      <c r="L28" s="2668"/>
      <c r="M28" s="2667"/>
      <c r="N28" s="2667"/>
      <c r="O28" s="2668"/>
      <c r="P28" s="2667"/>
      <c r="Q28" s="2667"/>
      <c r="R28" s="2669"/>
    </row>
    <row r="29" spans="1:18" s="888" customFormat="1">
      <c r="B29" s="2667"/>
      <c r="C29" s="2667"/>
      <c r="D29" s="2667"/>
      <c r="H29" s="2667"/>
      <c r="I29" s="2668"/>
      <c r="J29" s="2667"/>
      <c r="K29" s="2667"/>
      <c r="L29" s="2668"/>
      <c r="M29" s="2667"/>
      <c r="N29" s="2667"/>
      <c r="O29" s="2668"/>
      <c r="P29" s="2667"/>
      <c r="Q29" s="2667"/>
      <c r="R29" s="2669"/>
    </row>
    <row r="30" spans="1:18" s="888" customFormat="1">
      <c r="B30" s="2667"/>
      <c r="C30" s="2667"/>
      <c r="D30" s="2667"/>
      <c r="H30" s="2667"/>
      <c r="I30" s="2668"/>
      <c r="J30" s="2667"/>
      <c r="K30" s="2667"/>
      <c r="L30" s="2668"/>
      <c r="M30" s="2667"/>
      <c r="N30" s="2667"/>
      <c r="O30" s="2668"/>
      <c r="P30" s="2667"/>
      <c r="Q30" s="2667"/>
      <c r="R30" s="2669"/>
    </row>
    <row r="31" spans="1:18" s="888" customFormat="1">
      <c r="B31" s="2667"/>
      <c r="C31" s="2667"/>
      <c r="D31" s="2667"/>
      <c r="H31" s="2667"/>
      <c r="I31" s="2668"/>
      <c r="J31" s="2667"/>
      <c r="K31" s="2667"/>
      <c r="L31" s="2668"/>
      <c r="M31" s="2667"/>
      <c r="N31" s="2667"/>
      <c r="O31" s="2668"/>
      <c r="P31" s="2667"/>
      <c r="Q31" s="2667"/>
      <c r="R31" s="2669"/>
    </row>
    <row r="32" spans="1:18" s="888" customFormat="1">
      <c r="B32" s="2667"/>
      <c r="C32" s="2667"/>
      <c r="D32" s="2667"/>
      <c r="H32" s="2667"/>
      <c r="I32" s="2668"/>
      <c r="J32" s="2667"/>
      <c r="K32" s="2667"/>
      <c r="L32" s="2668"/>
      <c r="M32" s="2667"/>
      <c r="N32" s="2667"/>
      <c r="O32" s="2668"/>
      <c r="P32" s="2667"/>
      <c r="Q32" s="2667"/>
      <c r="R32" s="2669"/>
    </row>
    <row r="33" spans="2:18" s="888" customFormat="1">
      <c r="B33" s="2667"/>
      <c r="C33" s="2667"/>
      <c r="D33" s="2667"/>
      <c r="H33" s="2667"/>
      <c r="I33" s="2668"/>
      <c r="J33" s="2667"/>
      <c r="K33" s="2667"/>
      <c r="L33" s="2668"/>
      <c r="M33" s="2667"/>
      <c r="N33" s="2667"/>
      <c r="O33" s="2668"/>
      <c r="P33" s="2667"/>
      <c r="Q33" s="2667"/>
      <c r="R33" s="2669"/>
    </row>
    <row r="34" spans="2:18" s="888" customFormat="1">
      <c r="B34" s="2667"/>
      <c r="C34" s="2667"/>
      <c r="D34" s="2667"/>
      <c r="H34" s="2667"/>
      <c r="I34" s="2668"/>
      <c r="J34" s="2667"/>
      <c r="K34" s="2667"/>
      <c r="L34" s="2668"/>
      <c r="M34" s="2667"/>
      <c r="N34" s="2667"/>
      <c r="O34" s="2668"/>
      <c r="P34" s="2667"/>
      <c r="Q34" s="2667"/>
      <c r="R34" s="2669"/>
    </row>
    <row r="35" spans="2:18" s="888" customFormat="1">
      <c r="B35" s="2667"/>
      <c r="C35" s="2667"/>
      <c r="D35" s="2667"/>
      <c r="H35" s="2667"/>
      <c r="I35" s="2668"/>
      <c r="J35" s="2667"/>
      <c r="K35" s="2667"/>
      <c r="L35" s="2668"/>
      <c r="M35" s="2667"/>
      <c r="N35" s="2667"/>
      <c r="O35" s="2668"/>
      <c r="P35" s="2667"/>
      <c r="Q35" s="2667"/>
      <c r="R35" s="2669"/>
    </row>
    <row r="36" spans="2:18" s="888" customFormat="1">
      <c r="B36" s="2667"/>
      <c r="C36" s="2667"/>
      <c r="D36" s="2667"/>
      <c r="H36" s="2667"/>
      <c r="I36" s="2668"/>
      <c r="J36" s="2667"/>
      <c r="K36" s="2667"/>
      <c r="L36" s="2668"/>
      <c r="M36" s="2667"/>
      <c r="N36" s="2667"/>
      <c r="O36" s="2668"/>
      <c r="P36" s="2667"/>
      <c r="Q36" s="2667"/>
      <c r="R36" s="2669"/>
    </row>
    <row r="37" spans="2:18" s="888" customFormat="1">
      <c r="B37" s="2667"/>
      <c r="C37" s="2667"/>
      <c r="D37" s="2667"/>
      <c r="H37" s="2667"/>
      <c r="I37" s="2668"/>
      <c r="J37" s="2667"/>
      <c r="K37" s="2667"/>
      <c r="L37" s="2668"/>
      <c r="M37" s="2667"/>
      <c r="N37" s="2667"/>
      <c r="O37" s="2668"/>
      <c r="P37" s="2667"/>
      <c r="Q37" s="2667"/>
      <c r="R37" s="2669"/>
    </row>
    <row r="38" spans="2:18" s="888" customFormat="1">
      <c r="B38" s="2667"/>
      <c r="C38" s="2667"/>
      <c r="D38" s="2667"/>
      <c r="E38" s="2667"/>
      <c r="F38" s="2667"/>
      <c r="G38" s="2668"/>
      <c r="H38" s="2667"/>
      <c r="I38" s="2668"/>
      <c r="J38" s="2667"/>
      <c r="K38" s="2667"/>
      <c r="L38" s="2668"/>
      <c r="M38" s="2667"/>
      <c r="N38" s="2667"/>
      <c r="O38" s="2668"/>
      <c r="P38" s="2667"/>
      <c r="Q38" s="2667"/>
      <c r="R38" s="2669"/>
    </row>
    <row r="39" spans="2:18" s="888" customFormat="1">
      <c r="B39" s="2667"/>
      <c r="C39" s="2667"/>
      <c r="D39" s="2667"/>
      <c r="E39" s="2667"/>
      <c r="F39" s="2667"/>
      <c r="G39" s="2668"/>
      <c r="H39" s="2667"/>
      <c r="I39" s="2668"/>
      <c r="J39" s="2667"/>
      <c r="K39" s="2667"/>
      <c r="L39" s="2668"/>
      <c r="M39" s="2667"/>
      <c r="N39" s="2667"/>
      <c r="O39" s="2668"/>
      <c r="P39" s="2667"/>
      <c r="Q39" s="2667"/>
      <c r="R39" s="2669"/>
    </row>
    <row r="40" spans="2:18" s="888" customFormat="1">
      <c r="B40" s="2667"/>
      <c r="C40" s="2667"/>
      <c r="D40" s="2667"/>
      <c r="E40" s="2667"/>
      <c r="F40" s="2667"/>
      <c r="G40" s="2668"/>
      <c r="H40" s="2667"/>
      <c r="I40" s="2668"/>
      <c r="J40" s="2667"/>
      <c r="K40" s="2667"/>
      <c r="L40" s="2668"/>
      <c r="M40" s="2667"/>
      <c r="N40" s="2667"/>
      <c r="O40" s="2668"/>
      <c r="P40" s="2667"/>
      <c r="Q40" s="2667"/>
      <c r="R40" s="2669"/>
    </row>
    <row r="41" spans="2:18" s="888" customFormat="1">
      <c r="B41" s="2667"/>
      <c r="C41" s="2667"/>
      <c r="D41" s="2667"/>
      <c r="E41" s="2667"/>
      <c r="F41" s="2667"/>
      <c r="G41" s="2668"/>
      <c r="H41" s="2667"/>
      <c r="I41" s="2668"/>
      <c r="J41" s="2667"/>
      <c r="K41" s="2667"/>
      <c r="L41" s="2668"/>
      <c r="M41" s="2667"/>
      <c r="N41" s="2667"/>
      <c r="O41" s="2668"/>
      <c r="P41" s="2667"/>
      <c r="Q41" s="2667"/>
      <c r="R41" s="2669"/>
    </row>
    <row r="42" spans="2:18" s="888" customFormat="1">
      <c r="B42" s="2667"/>
      <c r="C42" s="2667"/>
      <c r="D42" s="2667"/>
      <c r="E42" s="2667"/>
      <c r="F42" s="2667"/>
      <c r="G42" s="2668"/>
      <c r="H42" s="2667"/>
      <c r="I42" s="2668"/>
      <c r="J42" s="2667"/>
      <c r="K42" s="2667"/>
      <c r="L42" s="2668"/>
      <c r="M42" s="2667"/>
      <c r="N42" s="2667"/>
      <c r="O42" s="2668"/>
      <c r="P42" s="2667"/>
      <c r="Q42" s="2667"/>
      <c r="R42" s="2669"/>
    </row>
    <row r="43" spans="2:18" s="888" customFormat="1">
      <c r="B43" s="2667"/>
      <c r="C43" s="2667"/>
      <c r="D43" s="2667"/>
      <c r="E43" s="2667"/>
      <c r="F43" s="2667"/>
      <c r="G43" s="2668"/>
      <c r="H43" s="2667"/>
      <c r="I43" s="2668"/>
      <c r="J43" s="2667"/>
      <c r="K43" s="2667"/>
      <c r="L43" s="2668"/>
      <c r="M43" s="2667"/>
      <c r="N43" s="2667"/>
      <c r="O43" s="2668"/>
      <c r="P43" s="2667"/>
      <c r="Q43" s="2667"/>
      <c r="R43" s="2669"/>
    </row>
    <row r="44" spans="2:18" s="888" customFormat="1">
      <c r="B44" s="2667"/>
      <c r="C44" s="2667"/>
      <c r="D44" s="2667"/>
      <c r="E44" s="2667"/>
      <c r="F44" s="2667"/>
      <c r="G44" s="2668"/>
      <c r="H44" s="2667"/>
      <c r="I44" s="2668"/>
      <c r="J44" s="2667"/>
      <c r="K44" s="2667"/>
      <c r="L44" s="2668"/>
      <c r="M44" s="2667"/>
      <c r="N44" s="2667"/>
      <c r="O44" s="2668"/>
      <c r="P44" s="2667"/>
      <c r="Q44" s="2667"/>
      <c r="R44" s="2669"/>
    </row>
    <row r="45" spans="2:18" s="888" customFormat="1">
      <c r="B45" s="2667"/>
      <c r="C45" s="2667"/>
      <c r="D45" s="2667"/>
      <c r="E45" s="2667"/>
      <c r="F45" s="2667"/>
      <c r="G45" s="2668"/>
      <c r="H45" s="2667"/>
      <c r="I45" s="2668"/>
      <c r="J45" s="2667"/>
      <c r="K45" s="2667"/>
      <c r="L45" s="2668"/>
      <c r="M45" s="2667"/>
      <c r="N45" s="2667"/>
      <c r="O45" s="2668"/>
      <c r="P45" s="2667"/>
      <c r="Q45" s="2667"/>
      <c r="R45" s="2669"/>
    </row>
    <row r="46" spans="2:18" s="888" customFormat="1">
      <c r="B46" s="2667"/>
      <c r="C46" s="2667"/>
      <c r="D46" s="2667"/>
      <c r="E46" s="2667"/>
      <c r="F46" s="2667"/>
      <c r="G46" s="2668"/>
      <c r="H46" s="2667"/>
      <c r="I46" s="2668"/>
      <c r="J46" s="2667"/>
      <c r="K46" s="2667"/>
      <c r="L46" s="2668"/>
      <c r="M46" s="2667"/>
      <c r="N46" s="2667"/>
      <c r="O46" s="2668"/>
      <c r="P46" s="2667"/>
      <c r="Q46" s="2667"/>
      <c r="R46" s="2669"/>
    </row>
    <row r="47" spans="2:18" s="888" customFormat="1">
      <c r="B47" s="2667"/>
      <c r="C47" s="2667"/>
      <c r="D47" s="2667"/>
      <c r="E47" s="2667"/>
      <c r="F47" s="2667"/>
      <c r="G47" s="2668"/>
      <c r="H47" s="2667"/>
      <c r="I47" s="2668"/>
      <c r="J47" s="2667"/>
      <c r="K47" s="2667"/>
      <c r="L47" s="2668"/>
      <c r="M47" s="2667"/>
      <c r="N47" s="2667"/>
      <c r="O47" s="2668"/>
      <c r="P47" s="2667"/>
      <c r="Q47" s="2667"/>
      <c r="R47" s="2669"/>
    </row>
    <row r="48" spans="2:18" s="888" customFormat="1">
      <c r="B48" s="2667"/>
      <c r="C48" s="2667"/>
      <c r="D48" s="2667"/>
      <c r="E48" s="2667"/>
      <c r="F48" s="2667"/>
      <c r="G48" s="2668"/>
      <c r="H48" s="2667"/>
      <c r="I48" s="2668"/>
      <c r="J48" s="2667"/>
      <c r="K48" s="2667"/>
      <c r="L48" s="2668"/>
      <c r="M48" s="2667"/>
      <c r="N48" s="2667"/>
      <c r="O48" s="2668"/>
      <c r="P48" s="2667"/>
      <c r="Q48" s="2667"/>
      <c r="R48" s="2669"/>
    </row>
    <row r="49" spans="2:18" s="888" customFormat="1">
      <c r="B49" s="2667"/>
      <c r="C49" s="2667"/>
      <c r="D49" s="2667"/>
      <c r="E49" s="2667"/>
      <c r="F49" s="2667"/>
      <c r="G49" s="2668"/>
      <c r="H49" s="2667"/>
      <c r="I49" s="2668"/>
      <c r="J49" s="2667"/>
      <c r="K49" s="2667"/>
      <c r="L49" s="2668"/>
      <c r="M49" s="2667"/>
      <c r="N49" s="2667"/>
      <c r="O49" s="2668"/>
      <c r="P49" s="2667"/>
      <c r="Q49" s="2667"/>
      <c r="R49" s="2669"/>
    </row>
    <row r="50" spans="2:18" s="888" customFormat="1">
      <c r="B50" s="2667"/>
      <c r="C50" s="2667"/>
      <c r="D50" s="2667"/>
      <c r="E50" s="2667"/>
      <c r="F50" s="2667"/>
      <c r="G50" s="2668"/>
      <c r="H50" s="2667"/>
      <c r="I50" s="2668"/>
      <c r="J50" s="2667"/>
      <c r="K50" s="2667"/>
      <c r="L50" s="2668"/>
      <c r="M50" s="2667"/>
      <c r="N50" s="2667"/>
      <c r="O50" s="2668"/>
      <c r="P50" s="2667"/>
      <c r="Q50" s="2667"/>
      <c r="R50" s="2669"/>
    </row>
    <row r="51" spans="2:18" s="888" customFormat="1">
      <c r="B51" s="2667"/>
      <c r="C51" s="2667"/>
      <c r="D51" s="2667"/>
      <c r="E51" s="2667"/>
      <c r="F51" s="2667"/>
      <c r="G51" s="2668"/>
      <c r="H51" s="2667"/>
      <c r="I51" s="2668"/>
      <c r="J51" s="2667"/>
      <c r="K51" s="2667"/>
      <c r="L51" s="2668"/>
      <c r="M51" s="2667"/>
      <c r="N51" s="2667"/>
      <c r="O51" s="2668"/>
      <c r="P51" s="2667"/>
      <c r="Q51" s="2667"/>
      <c r="R51" s="2669"/>
    </row>
    <row r="52" spans="2:18" s="888" customFormat="1">
      <c r="B52" s="2667"/>
      <c r="C52" s="2667"/>
      <c r="D52" s="2667"/>
      <c r="E52" s="2667"/>
      <c r="F52" s="2667"/>
      <c r="G52" s="2668"/>
      <c r="H52" s="2667"/>
      <c r="I52" s="2668"/>
      <c r="J52" s="2667"/>
      <c r="K52" s="2667"/>
      <c r="L52" s="2668"/>
      <c r="M52" s="2667"/>
      <c r="N52" s="2667"/>
      <c r="O52" s="2668"/>
      <c r="P52" s="2667"/>
      <c r="Q52" s="2667"/>
      <c r="R52" s="2669"/>
    </row>
    <row r="53" spans="2:18" s="888" customFormat="1">
      <c r="B53" s="2667"/>
      <c r="C53" s="2667"/>
      <c r="D53" s="2667"/>
      <c r="E53" s="2667"/>
      <c r="F53" s="2667"/>
      <c r="G53" s="2668"/>
      <c r="H53" s="2667"/>
      <c r="I53" s="2668"/>
      <c r="J53" s="2667"/>
      <c r="K53" s="2667"/>
      <c r="L53" s="2668"/>
      <c r="M53" s="2667"/>
      <c r="N53" s="2667"/>
      <c r="O53" s="2668"/>
      <c r="P53" s="2667"/>
      <c r="Q53" s="2667"/>
      <c r="R53" s="2669"/>
    </row>
    <row r="54" spans="2:18" s="888" customFormat="1">
      <c r="B54" s="2667"/>
      <c r="C54" s="2667"/>
      <c r="D54" s="2667"/>
      <c r="E54" s="2667"/>
      <c r="F54" s="2667"/>
      <c r="G54" s="2668"/>
      <c r="H54" s="2667"/>
      <c r="I54" s="2668"/>
      <c r="J54" s="2667"/>
      <c r="K54" s="2667"/>
      <c r="L54" s="2668"/>
      <c r="M54" s="2667"/>
      <c r="N54" s="2667"/>
      <c r="O54" s="2668"/>
      <c r="P54" s="2667"/>
      <c r="Q54" s="2667"/>
      <c r="R54" s="2669"/>
    </row>
    <row r="55" spans="2:18" s="888" customFormat="1">
      <c r="B55" s="2667"/>
      <c r="C55" s="2667"/>
      <c r="D55" s="2667"/>
      <c r="E55" s="2667"/>
      <c r="F55" s="2667"/>
      <c r="G55" s="2668"/>
      <c r="H55" s="2667"/>
      <c r="I55" s="2668"/>
      <c r="J55" s="2667"/>
      <c r="K55" s="2667"/>
      <c r="L55" s="2668"/>
      <c r="M55" s="2667"/>
      <c r="N55" s="2667"/>
      <c r="O55" s="2668"/>
      <c r="P55" s="2667"/>
      <c r="Q55" s="2667"/>
      <c r="R55" s="2669"/>
    </row>
    <row r="56" spans="2:18" s="888" customFormat="1">
      <c r="B56" s="2667"/>
      <c r="C56" s="2667"/>
      <c r="D56" s="2667"/>
      <c r="E56" s="2667"/>
      <c r="F56" s="2667"/>
      <c r="G56" s="2668"/>
      <c r="H56" s="2667"/>
      <c r="I56" s="2668"/>
      <c r="J56" s="2667"/>
      <c r="K56" s="2667"/>
      <c r="L56" s="2668"/>
      <c r="M56" s="2667"/>
      <c r="N56" s="2667"/>
      <c r="O56" s="2668"/>
      <c r="P56" s="2667"/>
      <c r="Q56" s="2667"/>
      <c r="R56" s="2669"/>
    </row>
    <row r="57" spans="2:18" s="888" customFormat="1">
      <c r="B57" s="2667"/>
      <c r="C57" s="2667"/>
      <c r="D57" s="2667"/>
      <c r="E57" s="2667"/>
      <c r="F57" s="2667"/>
      <c r="G57" s="2668"/>
      <c r="H57" s="2667"/>
      <c r="I57" s="2668"/>
      <c r="J57" s="2667"/>
      <c r="K57" s="2667"/>
      <c r="L57" s="2668"/>
      <c r="M57" s="2667"/>
      <c r="N57" s="2667"/>
      <c r="O57" s="2668"/>
      <c r="P57" s="2667"/>
      <c r="Q57" s="2667"/>
      <c r="R57" s="2669"/>
    </row>
    <row r="58" spans="2:18" s="888" customFormat="1">
      <c r="B58" s="2667"/>
      <c r="C58" s="2667"/>
      <c r="D58" s="2667"/>
      <c r="E58" s="2667"/>
      <c r="F58" s="2667"/>
      <c r="G58" s="2668"/>
      <c r="H58" s="2667"/>
      <c r="I58" s="2668"/>
      <c r="J58" s="2667"/>
      <c r="K58" s="2667"/>
      <c r="L58" s="2668"/>
      <c r="M58" s="2667"/>
      <c r="N58" s="2667"/>
      <c r="O58" s="2668"/>
      <c r="P58" s="2667"/>
      <c r="Q58" s="2667"/>
      <c r="R58" s="2669"/>
    </row>
    <row r="59" spans="2:18" s="888" customFormat="1">
      <c r="B59" s="2667"/>
      <c r="C59" s="2667"/>
      <c r="D59" s="2667"/>
      <c r="E59" s="2667"/>
      <c r="F59" s="2667"/>
      <c r="G59" s="2668"/>
      <c r="H59" s="2667"/>
      <c r="I59" s="2668"/>
      <c r="J59" s="2667"/>
      <c r="K59" s="2667"/>
      <c r="L59" s="2668"/>
      <c r="M59" s="2667"/>
      <c r="N59" s="2667"/>
      <c r="O59" s="2668"/>
      <c r="P59" s="2667"/>
      <c r="Q59" s="2667"/>
      <c r="R59" s="2669"/>
    </row>
    <row r="60" spans="2:18" s="888" customFormat="1">
      <c r="B60" s="2667"/>
      <c r="C60" s="2667"/>
      <c r="D60" s="2667"/>
      <c r="E60" s="2667"/>
      <c r="F60" s="2667"/>
      <c r="G60" s="2668"/>
      <c r="H60" s="2667"/>
      <c r="I60" s="2668"/>
      <c r="J60" s="2667"/>
      <c r="K60" s="2667"/>
      <c r="L60" s="2668"/>
      <c r="M60" s="2667"/>
      <c r="N60" s="2667"/>
      <c r="O60" s="2668"/>
      <c r="P60" s="2667"/>
      <c r="Q60" s="2667"/>
      <c r="R60" s="2669"/>
    </row>
    <row r="61" spans="2:18" s="888" customFormat="1">
      <c r="B61" s="2667"/>
      <c r="C61" s="2667"/>
      <c r="D61" s="2667"/>
      <c r="E61" s="2667"/>
      <c r="F61" s="2667"/>
      <c r="G61" s="2668"/>
      <c r="H61" s="2667"/>
      <c r="I61" s="2668"/>
      <c r="J61" s="2667"/>
      <c r="K61" s="2667"/>
      <c r="L61" s="2668"/>
      <c r="M61" s="2667"/>
      <c r="N61" s="2667"/>
      <c r="O61" s="2668"/>
      <c r="P61" s="2667"/>
      <c r="Q61" s="2667"/>
      <c r="R61" s="2669"/>
    </row>
    <row r="62" spans="2:18" s="888" customFormat="1">
      <c r="B62" s="2667"/>
      <c r="C62" s="2667"/>
      <c r="D62" s="2667"/>
      <c r="E62" s="2667"/>
      <c r="F62" s="2667"/>
      <c r="G62" s="2668"/>
      <c r="H62" s="2667"/>
      <c r="I62" s="2668"/>
      <c r="J62" s="2667"/>
      <c r="K62" s="2667"/>
      <c r="L62" s="2668"/>
      <c r="M62" s="2667"/>
      <c r="N62" s="2667"/>
      <c r="O62" s="2668"/>
      <c r="P62" s="2667"/>
      <c r="Q62" s="2667"/>
      <c r="R62" s="2669"/>
    </row>
    <row r="63" spans="2:18" s="888" customFormat="1">
      <c r="B63" s="2667"/>
      <c r="C63" s="2667"/>
      <c r="D63" s="2667"/>
      <c r="E63" s="2667"/>
      <c r="F63" s="2667"/>
      <c r="G63" s="2668"/>
      <c r="H63" s="2667"/>
      <c r="I63" s="2668"/>
      <c r="J63" s="2667"/>
      <c r="K63" s="2667"/>
      <c r="L63" s="2668"/>
      <c r="M63" s="2667"/>
      <c r="N63" s="2667"/>
      <c r="O63" s="2668"/>
      <c r="P63" s="2667"/>
      <c r="Q63" s="2667"/>
      <c r="R63" s="2669"/>
    </row>
    <row r="64" spans="2:18" s="888" customFormat="1">
      <c r="B64" s="2667"/>
      <c r="C64" s="2667"/>
      <c r="D64" s="2667"/>
      <c r="E64" s="2667"/>
      <c r="F64" s="2667"/>
      <c r="G64" s="2668"/>
      <c r="H64" s="2667"/>
      <c r="I64" s="2668"/>
      <c r="J64" s="2667"/>
      <c r="K64" s="2667"/>
      <c r="L64" s="2668"/>
      <c r="M64" s="2667"/>
      <c r="N64" s="2667"/>
      <c r="O64" s="2668"/>
      <c r="P64" s="2667"/>
      <c r="Q64" s="2667"/>
      <c r="R64" s="2669"/>
    </row>
    <row r="65" spans="2:18" s="888" customFormat="1">
      <c r="B65" s="2667"/>
      <c r="C65" s="2667"/>
      <c r="D65" s="2667"/>
      <c r="E65" s="2667"/>
      <c r="F65" s="2667"/>
      <c r="G65" s="2668"/>
      <c r="H65" s="2667"/>
      <c r="I65" s="2668"/>
      <c r="J65" s="2667"/>
      <c r="K65" s="2667"/>
      <c r="L65" s="2668"/>
      <c r="M65" s="2667"/>
      <c r="N65" s="2667"/>
      <c r="O65" s="2668"/>
      <c r="P65" s="2667"/>
      <c r="Q65" s="2667"/>
      <c r="R65" s="2669"/>
    </row>
    <row r="66" spans="2:18" s="888" customFormat="1">
      <c r="B66" s="2667"/>
      <c r="C66" s="2667"/>
      <c r="D66" s="2667"/>
      <c r="E66" s="2667"/>
      <c r="F66" s="2667"/>
      <c r="G66" s="2668"/>
      <c r="H66" s="2667"/>
      <c r="I66" s="2668"/>
      <c r="J66" s="2667"/>
      <c r="K66" s="2667"/>
      <c r="L66" s="2668"/>
      <c r="M66" s="2667"/>
      <c r="N66" s="2667"/>
      <c r="O66" s="2668"/>
      <c r="P66" s="2667"/>
      <c r="Q66" s="2667"/>
      <c r="R66" s="2669"/>
    </row>
    <row r="67" spans="2:18" s="888" customFormat="1">
      <c r="B67" s="2667"/>
      <c r="C67" s="2667"/>
      <c r="D67" s="2667"/>
      <c r="E67" s="2667"/>
      <c r="F67" s="2667"/>
      <c r="G67" s="2668"/>
      <c r="H67" s="2667"/>
      <c r="I67" s="2668"/>
      <c r="J67" s="2667"/>
      <c r="K67" s="2667"/>
      <c r="L67" s="2668"/>
      <c r="M67" s="2667"/>
      <c r="N67" s="2667"/>
      <c r="O67" s="2668"/>
      <c r="P67" s="2667"/>
      <c r="Q67" s="2667"/>
      <c r="R67" s="2669"/>
    </row>
    <row r="68" spans="2:18" s="888" customFormat="1">
      <c r="B68" s="2667"/>
      <c r="C68" s="2667"/>
      <c r="D68" s="2667"/>
      <c r="E68" s="2667"/>
      <c r="F68" s="2667"/>
      <c r="G68" s="2668"/>
      <c r="H68" s="2667"/>
      <c r="I68" s="2668"/>
      <c r="J68" s="2667"/>
      <c r="K68" s="2667"/>
      <c r="L68" s="2668"/>
      <c r="M68" s="2667"/>
      <c r="N68" s="2667"/>
      <c r="O68" s="2668"/>
      <c r="P68" s="2667"/>
      <c r="Q68" s="2667"/>
      <c r="R68" s="2669"/>
    </row>
    <row r="69" spans="2:18" s="888" customFormat="1">
      <c r="B69" s="2667"/>
      <c r="C69" s="2667"/>
      <c r="D69" s="2667"/>
      <c r="E69" s="2667"/>
      <c r="F69" s="2667"/>
      <c r="G69" s="2668"/>
      <c r="H69" s="2667"/>
      <c r="I69" s="2668"/>
      <c r="J69" s="2667"/>
      <c r="K69" s="2667"/>
      <c r="L69" s="2668"/>
      <c r="M69" s="2667"/>
      <c r="N69" s="2667"/>
      <c r="O69" s="2668"/>
      <c r="P69" s="2667"/>
      <c r="Q69" s="2667"/>
      <c r="R69" s="2669"/>
    </row>
    <row r="70" spans="2:18" s="888" customFormat="1">
      <c r="B70" s="2667"/>
      <c r="C70" s="2667"/>
      <c r="D70" s="2667"/>
      <c r="E70" s="2667"/>
      <c r="F70" s="2667"/>
      <c r="G70" s="2668"/>
      <c r="H70" s="2667"/>
      <c r="I70" s="2668"/>
      <c r="J70" s="2667"/>
      <c r="K70" s="2667"/>
      <c r="L70" s="2668"/>
      <c r="M70" s="2667"/>
      <c r="N70" s="2667"/>
      <c r="O70" s="2668"/>
      <c r="P70" s="2667"/>
      <c r="Q70" s="2667"/>
      <c r="R70" s="2669"/>
    </row>
    <row r="71" spans="2:18" s="888" customFormat="1">
      <c r="B71" s="2667"/>
      <c r="C71" s="2667"/>
      <c r="D71" s="2667"/>
      <c r="E71" s="2667"/>
      <c r="F71" s="2667"/>
      <c r="G71" s="2668"/>
      <c r="H71" s="2667"/>
      <c r="I71" s="2668"/>
      <c r="J71" s="2667"/>
      <c r="K71" s="2667"/>
      <c r="L71" s="2668"/>
      <c r="M71" s="2667"/>
      <c r="N71" s="2667"/>
      <c r="O71" s="2668"/>
      <c r="P71" s="2667"/>
      <c r="Q71" s="2667"/>
      <c r="R71" s="2669"/>
    </row>
    <row r="72" spans="2:18" s="888" customFormat="1">
      <c r="B72" s="2667"/>
      <c r="C72" s="2667"/>
      <c r="D72" s="2667"/>
      <c r="E72" s="2667"/>
      <c r="F72" s="2667"/>
      <c r="G72" s="2668"/>
      <c r="H72" s="2667"/>
      <c r="I72" s="2668"/>
      <c r="J72" s="2667"/>
      <c r="K72" s="2667"/>
      <c r="L72" s="2668"/>
      <c r="M72" s="2667"/>
      <c r="N72" s="2667"/>
      <c r="O72" s="2668"/>
      <c r="P72" s="2667"/>
      <c r="Q72" s="2667"/>
      <c r="R72" s="2669"/>
    </row>
    <row r="73" spans="2:18" s="888" customFormat="1">
      <c r="B73" s="2667"/>
      <c r="C73" s="2667"/>
      <c r="D73" s="2667"/>
      <c r="E73" s="2667"/>
      <c r="F73" s="2667"/>
      <c r="G73" s="2668"/>
      <c r="H73" s="2667"/>
      <c r="I73" s="2668"/>
      <c r="J73" s="2667"/>
      <c r="K73" s="2667"/>
      <c r="L73" s="2668"/>
      <c r="M73" s="2667"/>
      <c r="N73" s="2667"/>
      <c r="O73" s="2668"/>
      <c r="P73" s="2667"/>
      <c r="Q73" s="2667"/>
      <c r="R73" s="2669"/>
    </row>
    <row r="74" spans="2:18" s="888" customFormat="1">
      <c r="B74" s="2667"/>
      <c r="C74" s="2667"/>
      <c r="D74" s="2667"/>
      <c r="E74" s="2667"/>
      <c r="F74" s="2667"/>
      <c r="G74" s="2668"/>
      <c r="H74" s="2667"/>
      <c r="I74" s="2668"/>
      <c r="J74" s="2667"/>
      <c r="K74" s="2667"/>
      <c r="L74" s="2668"/>
      <c r="M74" s="2667"/>
      <c r="N74" s="2667"/>
      <c r="O74" s="2668"/>
      <c r="P74" s="2667"/>
      <c r="Q74" s="2667"/>
      <c r="R74" s="2669"/>
    </row>
    <row r="75" spans="2:18" s="888" customFormat="1">
      <c r="B75" s="2667"/>
      <c r="C75" s="2667"/>
      <c r="D75" s="2667"/>
      <c r="E75" s="2667"/>
      <c r="F75" s="2667"/>
      <c r="G75" s="2668"/>
      <c r="H75" s="2667"/>
      <c r="I75" s="2668"/>
      <c r="J75" s="2667"/>
      <c r="K75" s="2667"/>
      <c r="L75" s="2668"/>
      <c r="M75" s="2667"/>
      <c r="N75" s="2667"/>
      <c r="O75" s="2668"/>
      <c r="P75" s="2667"/>
      <c r="Q75" s="2667"/>
      <c r="R75" s="2669"/>
    </row>
    <row r="76" spans="2:18" s="888" customFormat="1">
      <c r="B76" s="2667"/>
      <c r="C76" s="2667"/>
      <c r="D76" s="2667"/>
      <c r="E76" s="2667"/>
      <c r="F76" s="2667"/>
      <c r="G76" s="2668"/>
      <c r="H76" s="2667"/>
      <c r="I76" s="2668"/>
      <c r="J76" s="2667"/>
      <c r="K76" s="2667"/>
      <c r="L76" s="2668"/>
      <c r="M76" s="2667"/>
      <c r="N76" s="2667"/>
      <c r="O76" s="2668"/>
      <c r="P76" s="2667"/>
      <c r="Q76" s="2667"/>
      <c r="R76" s="2669"/>
    </row>
    <row r="77" spans="2:18" s="888" customFormat="1">
      <c r="B77" s="2667"/>
      <c r="C77" s="2667"/>
      <c r="D77" s="2667"/>
      <c r="E77" s="2667"/>
      <c r="F77" s="2667"/>
      <c r="G77" s="2668"/>
      <c r="H77" s="2667"/>
      <c r="I77" s="2668"/>
      <c r="J77" s="2667"/>
      <c r="K77" s="2667"/>
      <c r="L77" s="2668"/>
      <c r="M77" s="2667"/>
      <c r="N77" s="2667"/>
      <c r="O77" s="2668"/>
      <c r="P77" s="2667"/>
      <c r="Q77" s="2667"/>
      <c r="R77" s="2669"/>
    </row>
    <row r="78" spans="2:18" s="888" customFormat="1">
      <c r="B78" s="2667"/>
      <c r="C78" s="2667"/>
      <c r="D78" s="2667"/>
      <c r="E78" s="2667"/>
      <c r="F78" s="2667"/>
      <c r="G78" s="2668"/>
      <c r="H78" s="2667"/>
      <c r="I78" s="2668"/>
      <c r="J78" s="2667"/>
      <c r="K78" s="2667"/>
      <c r="L78" s="2668"/>
      <c r="M78" s="2667"/>
      <c r="N78" s="2667"/>
      <c r="O78" s="2668"/>
      <c r="P78" s="2667"/>
      <c r="Q78" s="2667"/>
      <c r="R78" s="2669"/>
    </row>
    <row r="79" spans="2:18" s="888" customFormat="1">
      <c r="B79" s="2667"/>
      <c r="C79" s="2667"/>
      <c r="D79" s="2667"/>
      <c r="E79" s="2667"/>
      <c r="F79" s="2667"/>
      <c r="G79" s="2668"/>
      <c r="H79" s="2667"/>
      <c r="I79" s="2668"/>
      <c r="J79" s="2667"/>
      <c r="K79" s="2667"/>
      <c r="L79" s="2668"/>
      <c r="M79" s="2667"/>
      <c r="N79" s="2667"/>
      <c r="O79" s="2668"/>
      <c r="P79" s="2667"/>
      <c r="Q79" s="2667"/>
      <c r="R79" s="2669"/>
    </row>
    <row r="80" spans="2:18" s="888" customFormat="1">
      <c r="B80" s="2667"/>
      <c r="C80" s="2667"/>
      <c r="D80" s="2667"/>
      <c r="E80" s="2667"/>
      <c r="F80" s="2667"/>
      <c r="G80" s="2668"/>
      <c r="H80" s="2667"/>
      <c r="I80" s="2668"/>
      <c r="J80" s="2667"/>
      <c r="K80" s="2667"/>
      <c r="L80" s="2668"/>
      <c r="M80" s="2667"/>
      <c r="N80" s="2667"/>
      <c r="O80" s="2668"/>
      <c r="P80" s="2667"/>
      <c r="Q80" s="2667"/>
      <c r="R80" s="2669"/>
    </row>
    <row r="81" spans="2:18" s="888" customFormat="1">
      <c r="B81" s="2667"/>
      <c r="C81" s="2667"/>
      <c r="D81" s="2667"/>
      <c r="E81" s="2667"/>
      <c r="F81" s="2667"/>
      <c r="G81" s="2668"/>
      <c r="H81" s="2667"/>
      <c r="I81" s="2668"/>
      <c r="J81" s="2667"/>
      <c r="K81" s="2667"/>
      <c r="L81" s="2668"/>
      <c r="M81" s="2667"/>
      <c r="N81" s="2667"/>
      <c r="O81" s="2668"/>
      <c r="P81" s="2667"/>
      <c r="Q81" s="2667"/>
      <c r="R81" s="2669"/>
    </row>
    <row r="82" spans="2:18" s="888" customFormat="1">
      <c r="B82" s="2667"/>
      <c r="C82" s="2667"/>
      <c r="D82" s="2667"/>
      <c r="E82" s="2667"/>
      <c r="F82" s="2667"/>
      <c r="G82" s="2668"/>
      <c r="H82" s="2667"/>
      <c r="I82" s="2668"/>
      <c r="J82" s="2667"/>
      <c r="K82" s="2667"/>
      <c r="L82" s="2668"/>
      <c r="M82" s="2667"/>
      <c r="N82" s="2667"/>
      <c r="O82" s="2668"/>
      <c r="P82" s="2667"/>
      <c r="Q82" s="2667"/>
      <c r="R82" s="2669"/>
    </row>
    <row r="83" spans="2:18" s="888" customFormat="1">
      <c r="B83" s="2667"/>
      <c r="C83" s="2667"/>
      <c r="D83" s="2667"/>
      <c r="E83" s="2667"/>
      <c r="F83" s="2667"/>
      <c r="G83" s="2668"/>
      <c r="H83" s="2667"/>
      <c r="I83" s="2668"/>
      <c r="J83" s="2667"/>
      <c r="K83" s="2667"/>
      <c r="L83" s="2668"/>
      <c r="M83" s="2667"/>
      <c r="N83" s="2667"/>
      <c r="O83" s="2668"/>
      <c r="P83" s="2667"/>
      <c r="Q83" s="2667"/>
      <c r="R83" s="2669"/>
    </row>
    <row r="84" spans="2:18" s="888" customFormat="1">
      <c r="B84" s="2667"/>
      <c r="C84" s="2667"/>
      <c r="D84" s="2667"/>
      <c r="E84" s="2667"/>
      <c r="F84" s="2667"/>
      <c r="G84" s="2668"/>
      <c r="H84" s="2667"/>
      <c r="I84" s="2668"/>
      <c r="J84" s="2667"/>
      <c r="K84" s="2667"/>
      <c r="L84" s="2668"/>
      <c r="M84" s="2667"/>
      <c r="N84" s="2667"/>
      <c r="O84" s="2668"/>
      <c r="P84" s="2667"/>
      <c r="Q84" s="2667"/>
      <c r="R84" s="2669"/>
    </row>
    <row r="85" spans="2:18" s="888" customFormat="1">
      <c r="B85" s="2667"/>
      <c r="C85" s="2667"/>
      <c r="D85" s="2667"/>
      <c r="E85" s="2667"/>
      <c r="F85" s="2667"/>
      <c r="G85" s="2668"/>
      <c r="H85" s="2667"/>
      <c r="I85" s="2668"/>
      <c r="J85" s="2667"/>
      <c r="K85" s="2667"/>
      <c r="L85" s="2668"/>
      <c r="M85" s="2667"/>
      <c r="N85" s="2667"/>
      <c r="O85" s="2668"/>
      <c r="P85" s="2667"/>
      <c r="Q85" s="2667"/>
      <c r="R85" s="2669"/>
    </row>
    <row r="86" spans="2:18" s="888" customFormat="1">
      <c r="B86" s="2667"/>
      <c r="C86" s="2667"/>
      <c r="D86" s="2667"/>
      <c r="E86" s="2667"/>
      <c r="F86" s="2667"/>
      <c r="G86" s="2668"/>
      <c r="H86" s="2667"/>
      <c r="I86" s="2668"/>
      <c r="J86" s="2667"/>
      <c r="K86" s="2667"/>
      <c r="L86" s="2668"/>
      <c r="M86" s="2667"/>
      <c r="N86" s="2667"/>
      <c r="O86" s="2668"/>
      <c r="P86" s="2667"/>
      <c r="Q86" s="2667"/>
      <c r="R86" s="2669"/>
    </row>
    <row r="87" spans="2:18" s="888" customFormat="1">
      <c r="B87" s="2667"/>
      <c r="C87" s="2667"/>
      <c r="D87" s="2667"/>
      <c r="E87" s="2667"/>
      <c r="F87" s="2667"/>
      <c r="G87" s="2668"/>
      <c r="H87" s="2667"/>
      <c r="I87" s="2668"/>
      <c r="J87" s="2667"/>
      <c r="K87" s="2667"/>
      <c r="L87" s="2668"/>
      <c r="M87" s="2667"/>
      <c r="N87" s="2667"/>
      <c r="O87" s="2668"/>
      <c r="P87" s="2667"/>
      <c r="Q87" s="2667"/>
      <c r="R87" s="2669"/>
    </row>
    <row r="88" spans="2:18" s="888" customFormat="1">
      <c r="B88" s="2667"/>
      <c r="C88" s="2667"/>
      <c r="D88" s="2667"/>
      <c r="E88" s="2667"/>
      <c r="F88" s="2667"/>
      <c r="G88" s="2668"/>
      <c r="H88" s="2667"/>
      <c r="I88" s="2668"/>
      <c r="J88" s="2667"/>
      <c r="K88" s="2667"/>
      <c r="L88" s="2668"/>
      <c r="M88" s="2667"/>
      <c r="N88" s="2667"/>
      <c r="O88" s="2668"/>
      <c r="P88" s="2667"/>
      <c r="Q88" s="2667"/>
      <c r="R88" s="2669"/>
    </row>
    <row r="89" spans="2:18" s="888" customFormat="1">
      <c r="B89" s="2667"/>
      <c r="C89" s="2667"/>
      <c r="D89" s="2667"/>
      <c r="E89" s="2667"/>
      <c r="F89" s="2667"/>
      <c r="G89" s="2668"/>
      <c r="H89" s="2667"/>
      <c r="I89" s="2668"/>
      <c r="J89" s="2667"/>
      <c r="K89" s="2667"/>
      <c r="L89" s="2668"/>
      <c r="M89" s="2667"/>
      <c r="N89" s="2667"/>
      <c r="O89" s="2668"/>
      <c r="P89" s="2667"/>
      <c r="Q89" s="2667"/>
      <c r="R89" s="2669"/>
    </row>
    <row r="90" spans="2:18" s="888" customFormat="1">
      <c r="B90" s="2667"/>
      <c r="C90" s="2667"/>
      <c r="D90" s="2667"/>
      <c r="E90" s="2667"/>
      <c r="F90" s="2667"/>
      <c r="G90" s="2668"/>
      <c r="H90" s="2667"/>
      <c r="I90" s="2668"/>
      <c r="J90" s="2667"/>
      <c r="K90" s="2667"/>
      <c r="L90" s="2668"/>
      <c r="M90" s="2667"/>
      <c r="N90" s="2667"/>
      <c r="O90" s="2668"/>
      <c r="P90" s="2667"/>
      <c r="Q90" s="2667"/>
      <c r="R90" s="2669"/>
    </row>
    <row r="91" spans="2:18" s="888" customFormat="1">
      <c r="B91" s="2667"/>
      <c r="C91" s="2667"/>
      <c r="D91" s="2667"/>
      <c r="E91" s="2667"/>
      <c r="F91" s="2667"/>
      <c r="G91" s="2668"/>
      <c r="H91" s="2667"/>
      <c r="I91" s="2668"/>
      <c r="J91" s="2667"/>
      <c r="K91" s="2667"/>
      <c r="L91" s="2668"/>
      <c r="M91" s="2667"/>
      <c r="N91" s="2667"/>
      <c r="O91" s="2668"/>
      <c r="P91" s="2667"/>
      <c r="Q91" s="2667"/>
      <c r="R91" s="2669"/>
    </row>
    <row r="92" spans="2:18" s="888" customFormat="1">
      <c r="B92" s="2667"/>
      <c r="C92" s="2667"/>
      <c r="D92" s="2667"/>
      <c r="E92" s="2667"/>
      <c r="F92" s="2667"/>
      <c r="G92" s="2668"/>
      <c r="H92" s="2667"/>
      <c r="I92" s="2668"/>
      <c r="J92" s="2667"/>
      <c r="K92" s="2667"/>
      <c r="L92" s="2668"/>
      <c r="M92" s="2667"/>
      <c r="N92" s="2667"/>
      <c r="O92" s="2668"/>
      <c r="P92" s="2667"/>
      <c r="Q92" s="2667"/>
      <c r="R92" s="2669"/>
    </row>
    <row r="93" spans="2:18" s="888" customFormat="1">
      <c r="B93" s="2667"/>
      <c r="C93" s="2667"/>
      <c r="D93" s="2667"/>
      <c r="E93" s="2667"/>
      <c r="F93" s="2667"/>
      <c r="G93" s="2668"/>
      <c r="H93" s="2667"/>
      <c r="I93" s="2668"/>
      <c r="J93" s="2667"/>
      <c r="K93" s="2667"/>
      <c r="L93" s="2668"/>
      <c r="M93" s="2667"/>
      <c r="N93" s="2667"/>
      <c r="O93" s="2668"/>
      <c r="P93" s="2667"/>
      <c r="Q93" s="2667"/>
      <c r="R93" s="2669"/>
    </row>
    <row r="94" spans="2:18" s="888" customFormat="1">
      <c r="B94" s="2667"/>
      <c r="C94" s="2667"/>
      <c r="D94" s="2667"/>
      <c r="E94" s="2667"/>
      <c r="F94" s="2667"/>
      <c r="G94" s="2668"/>
      <c r="H94" s="2667"/>
      <c r="I94" s="2668"/>
      <c r="J94" s="2667"/>
      <c r="K94" s="2667"/>
      <c r="L94" s="2668"/>
      <c r="M94" s="2667"/>
      <c r="N94" s="2667"/>
      <c r="O94" s="2668"/>
      <c r="P94" s="2667"/>
      <c r="Q94" s="2667"/>
      <c r="R94" s="2669"/>
    </row>
    <row r="95" spans="2:18" s="888" customFormat="1">
      <c r="B95" s="2667"/>
      <c r="C95" s="2667"/>
      <c r="D95" s="2667"/>
      <c r="E95" s="2667"/>
      <c r="F95" s="2667"/>
      <c r="G95" s="2668"/>
      <c r="H95" s="2667"/>
      <c r="I95" s="2668"/>
      <c r="J95" s="2667"/>
      <c r="K95" s="2667"/>
      <c r="L95" s="2668"/>
      <c r="M95" s="2667"/>
      <c r="N95" s="2667"/>
      <c r="O95" s="2668"/>
      <c r="P95" s="2667"/>
      <c r="Q95" s="2667"/>
      <c r="R95" s="2669"/>
    </row>
    <row r="96" spans="2:18" s="888" customFormat="1">
      <c r="B96" s="2667"/>
      <c r="C96" s="2667"/>
      <c r="D96" s="2667"/>
      <c r="E96" s="2667"/>
      <c r="F96" s="2667"/>
      <c r="G96" s="2668"/>
      <c r="H96" s="2667"/>
      <c r="I96" s="2668"/>
      <c r="J96" s="2667"/>
      <c r="K96" s="2667"/>
      <c r="L96" s="2668"/>
      <c r="M96" s="2667"/>
      <c r="N96" s="2667"/>
      <c r="O96" s="2668"/>
      <c r="P96" s="2667"/>
      <c r="Q96" s="2667"/>
      <c r="R96" s="2669"/>
    </row>
    <row r="97" spans="2:18" s="888" customFormat="1">
      <c r="B97" s="2667"/>
      <c r="C97" s="2667"/>
      <c r="D97" s="2667"/>
      <c r="E97" s="2667"/>
      <c r="F97" s="2667"/>
      <c r="G97" s="2668"/>
      <c r="H97" s="2667"/>
      <c r="I97" s="2668"/>
      <c r="J97" s="2667"/>
      <c r="K97" s="2667"/>
      <c r="L97" s="2668"/>
      <c r="M97" s="2667"/>
      <c r="N97" s="2667"/>
      <c r="O97" s="2668"/>
      <c r="P97" s="2667"/>
      <c r="Q97" s="2667"/>
      <c r="R97" s="2669"/>
    </row>
    <row r="98" spans="2:18" s="888" customFormat="1">
      <c r="B98" s="2667"/>
      <c r="C98" s="2667"/>
      <c r="D98" s="2667"/>
      <c r="E98" s="2667"/>
      <c r="F98" s="2667"/>
      <c r="G98" s="2668"/>
      <c r="H98" s="2667"/>
      <c r="I98" s="2668"/>
      <c r="J98" s="2667"/>
      <c r="K98" s="2667"/>
      <c r="L98" s="2668"/>
      <c r="M98" s="2667"/>
      <c r="N98" s="2667"/>
      <c r="O98" s="2668"/>
      <c r="P98" s="2667"/>
      <c r="Q98" s="2667"/>
      <c r="R98" s="2669"/>
    </row>
    <row r="99" spans="2:18" s="888" customFormat="1">
      <c r="B99" s="2667"/>
      <c r="C99" s="2667"/>
      <c r="D99" s="2667"/>
      <c r="E99" s="2667"/>
      <c r="F99" s="2667"/>
      <c r="G99" s="2668"/>
      <c r="H99" s="2667"/>
      <c r="I99" s="2668"/>
      <c r="J99" s="2667"/>
      <c r="K99" s="2667"/>
      <c r="L99" s="2668"/>
      <c r="M99" s="2667"/>
      <c r="N99" s="2667"/>
      <c r="O99" s="2668"/>
      <c r="P99" s="2667"/>
      <c r="Q99" s="2667"/>
      <c r="R99" s="2669"/>
    </row>
    <row r="100" spans="2:18" s="888" customFormat="1">
      <c r="B100" s="2667"/>
      <c r="C100" s="2667"/>
      <c r="D100" s="2667"/>
      <c r="E100" s="2667"/>
      <c r="F100" s="2667"/>
      <c r="G100" s="2668"/>
      <c r="H100" s="2667"/>
      <c r="I100" s="2668"/>
      <c r="J100" s="2667"/>
      <c r="K100" s="2667"/>
      <c r="L100" s="2668"/>
      <c r="M100" s="2667"/>
      <c r="N100" s="2667"/>
      <c r="O100" s="2668"/>
      <c r="P100" s="2667"/>
      <c r="Q100" s="2667"/>
      <c r="R100" s="2669"/>
    </row>
    <row r="101" spans="2:18" s="888" customFormat="1">
      <c r="B101" s="2667"/>
      <c r="C101" s="2667"/>
      <c r="D101" s="2667"/>
      <c r="E101" s="2667"/>
      <c r="F101" s="2667"/>
      <c r="G101" s="2668"/>
      <c r="H101" s="2667"/>
      <c r="I101" s="2668"/>
      <c r="J101" s="2667"/>
      <c r="K101" s="2667"/>
      <c r="L101" s="2668"/>
      <c r="M101" s="2667"/>
      <c r="N101" s="2667"/>
      <c r="O101" s="2668"/>
      <c r="P101" s="2667"/>
      <c r="Q101" s="2667"/>
      <c r="R101" s="2669"/>
    </row>
    <row r="102" spans="2:18" s="888" customFormat="1">
      <c r="B102" s="2667"/>
      <c r="C102" s="2667"/>
      <c r="D102" s="2667"/>
      <c r="E102" s="2667"/>
      <c r="F102" s="2667"/>
      <c r="G102" s="2668"/>
      <c r="H102" s="2667"/>
      <c r="I102" s="2668"/>
      <c r="J102" s="2667"/>
      <c r="K102" s="2667"/>
      <c r="L102" s="2668"/>
      <c r="M102" s="2667"/>
      <c r="N102" s="2667"/>
      <c r="O102" s="2668"/>
      <c r="P102" s="2667"/>
      <c r="Q102" s="2667"/>
      <c r="R102" s="2669"/>
    </row>
    <row r="103" spans="2:18" s="888" customFormat="1">
      <c r="B103" s="2667"/>
      <c r="C103" s="2667"/>
      <c r="D103" s="2667"/>
      <c r="E103" s="2667"/>
      <c r="F103" s="2667"/>
      <c r="G103" s="2668"/>
      <c r="H103" s="2667"/>
      <c r="I103" s="2668"/>
      <c r="J103" s="2667"/>
      <c r="K103" s="2667"/>
      <c r="L103" s="2668"/>
      <c r="M103" s="2667"/>
      <c r="N103" s="2667"/>
      <c r="O103" s="2668"/>
      <c r="P103" s="2667"/>
      <c r="Q103" s="2667"/>
      <c r="R103" s="2669"/>
    </row>
    <row r="104" spans="2:18" s="888" customFormat="1">
      <c r="B104" s="2667"/>
      <c r="C104" s="2667"/>
      <c r="D104" s="2667"/>
      <c r="E104" s="2667"/>
      <c r="F104" s="2667"/>
      <c r="G104" s="2668"/>
      <c r="H104" s="2667"/>
      <c r="I104" s="2668"/>
      <c r="J104" s="2667"/>
      <c r="K104" s="2667"/>
      <c r="L104" s="2668"/>
      <c r="M104" s="2667"/>
      <c r="N104" s="2667"/>
      <c r="O104" s="2668"/>
      <c r="P104" s="2667"/>
      <c r="Q104" s="2667"/>
      <c r="R104" s="2669"/>
    </row>
    <row r="105" spans="2:18" s="888" customFormat="1">
      <c r="B105" s="2667"/>
      <c r="C105" s="2667"/>
      <c r="D105" s="2667"/>
      <c r="E105" s="2667"/>
      <c r="F105" s="2667"/>
      <c r="G105" s="2668"/>
      <c r="H105" s="2667"/>
      <c r="I105" s="2668"/>
      <c r="J105" s="2667"/>
      <c r="K105" s="2667"/>
      <c r="L105" s="2668"/>
      <c r="M105" s="2667"/>
      <c r="N105" s="2667"/>
      <c r="O105" s="2668"/>
      <c r="P105" s="2667"/>
      <c r="Q105" s="2667"/>
      <c r="R105" s="2669"/>
    </row>
    <row r="106" spans="2:18" s="888" customFormat="1">
      <c r="B106" s="2667"/>
      <c r="C106" s="2667"/>
      <c r="D106" s="2667"/>
      <c r="E106" s="2667"/>
      <c r="F106" s="2667"/>
      <c r="G106" s="2668"/>
      <c r="H106" s="2667"/>
      <c r="I106" s="2668"/>
      <c r="J106" s="2667"/>
      <c r="K106" s="2667"/>
      <c r="L106" s="2668"/>
      <c r="M106" s="2667"/>
      <c r="N106" s="2667"/>
      <c r="O106" s="2668"/>
      <c r="P106" s="2667"/>
      <c r="Q106" s="2667"/>
      <c r="R106" s="2669"/>
    </row>
    <row r="107" spans="2:18" s="888" customFormat="1">
      <c r="B107" s="2667"/>
      <c r="C107" s="2667"/>
      <c r="D107" s="2667"/>
      <c r="E107" s="2667"/>
      <c r="F107" s="2667"/>
      <c r="G107" s="2668"/>
      <c r="H107" s="2667"/>
      <c r="I107" s="2668"/>
      <c r="J107" s="2667"/>
      <c r="K107" s="2667"/>
      <c r="L107" s="2668"/>
      <c r="M107" s="2667"/>
      <c r="N107" s="2667"/>
      <c r="O107" s="2668"/>
      <c r="P107" s="2667"/>
      <c r="Q107" s="2667"/>
      <c r="R107" s="2669"/>
    </row>
    <row r="108" spans="2:18" s="888" customFormat="1">
      <c r="B108" s="2667"/>
      <c r="C108" s="2667"/>
      <c r="D108" s="2667"/>
      <c r="E108" s="2667"/>
      <c r="F108" s="2667"/>
      <c r="G108" s="2668"/>
      <c r="H108" s="2667"/>
      <c r="I108" s="2668"/>
      <c r="J108" s="2667"/>
      <c r="K108" s="2667"/>
      <c r="L108" s="2668"/>
      <c r="M108" s="2667"/>
      <c r="N108" s="2667"/>
      <c r="O108" s="2668"/>
      <c r="P108" s="2667"/>
      <c r="Q108" s="2667"/>
      <c r="R108" s="2669"/>
    </row>
    <row r="109" spans="2:18" s="888" customFormat="1">
      <c r="B109" s="2667"/>
      <c r="C109" s="2667"/>
      <c r="D109" s="2667"/>
      <c r="E109" s="2667"/>
      <c r="F109" s="2667"/>
      <c r="G109" s="2668"/>
      <c r="H109" s="2667"/>
      <c r="I109" s="2668"/>
      <c r="J109" s="2667"/>
      <c r="K109" s="2667"/>
      <c r="L109" s="2668"/>
      <c r="M109" s="2667"/>
      <c r="N109" s="2667"/>
      <c r="O109" s="2668"/>
      <c r="P109" s="2667"/>
      <c r="Q109" s="2667"/>
      <c r="R109" s="2669"/>
    </row>
    <row r="110" spans="2:18" s="888" customFormat="1">
      <c r="B110" s="2667"/>
      <c r="C110" s="2667"/>
      <c r="D110" s="2667"/>
      <c r="E110" s="2667"/>
      <c r="F110" s="2667"/>
      <c r="G110" s="2668"/>
      <c r="H110" s="2667"/>
      <c r="I110" s="2668"/>
      <c r="J110" s="2667"/>
      <c r="K110" s="2667"/>
      <c r="L110" s="2668"/>
      <c r="M110" s="2667"/>
      <c r="N110" s="2667"/>
      <c r="O110" s="2668"/>
      <c r="P110" s="2667"/>
      <c r="Q110" s="2667"/>
      <c r="R110" s="2669"/>
    </row>
    <row r="111" spans="2:18" s="888" customFormat="1">
      <c r="B111" s="2667"/>
      <c r="C111" s="2667"/>
      <c r="D111" s="2667"/>
      <c r="E111" s="2667"/>
      <c r="F111" s="2667"/>
      <c r="G111" s="2668"/>
      <c r="H111" s="2667"/>
      <c r="I111" s="2668"/>
      <c r="J111" s="2667"/>
      <c r="K111" s="2667"/>
      <c r="L111" s="2668"/>
      <c r="M111" s="2667"/>
      <c r="N111" s="2667"/>
      <c r="O111" s="2668"/>
      <c r="P111" s="2667"/>
      <c r="Q111" s="2667"/>
      <c r="R111" s="2669"/>
    </row>
    <row r="112" spans="2:18" s="888" customFormat="1">
      <c r="B112" s="2667"/>
      <c r="C112" s="2667"/>
      <c r="D112" s="2667"/>
      <c r="E112" s="2667"/>
      <c r="F112" s="2667"/>
      <c r="G112" s="2668"/>
      <c r="H112" s="2667"/>
      <c r="I112" s="2668"/>
      <c r="J112" s="2667"/>
      <c r="K112" s="2667"/>
      <c r="L112" s="2668"/>
      <c r="M112" s="2667"/>
      <c r="N112" s="2667"/>
      <c r="O112" s="2668"/>
      <c r="P112" s="2667"/>
      <c r="Q112" s="2667"/>
      <c r="R112" s="2669"/>
    </row>
    <row r="113" spans="2:18" s="888" customFormat="1">
      <c r="B113" s="2667"/>
      <c r="C113" s="2667"/>
      <c r="D113" s="2667"/>
      <c r="E113" s="2667"/>
      <c r="F113" s="2667"/>
      <c r="G113" s="2668"/>
      <c r="H113" s="2667"/>
      <c r="I113" s="2668"/>
      <c r="J113" s="2667"/>
      <c r="K113" s="2667"/>
      <c r="L113" s="2668"/>
      <c r="M113" s="2667"/>
      <c r="N113" s="2667"/>
      <c r="O113" s="2668"/>
      <c r="P113" s="2667"/>
      <c r="Q113" s="2667"/>
      <c r="R113" s="2669"/>
    </row>
    <row r="114" spans="2:18" s="888" customFormat="1">
      <c r="B114" s="2667"/>
      <c r="C114" s="2667"/>
      <c r="D114" s="2667"/>
      <c r="E114" s="2667"/>
      <c r="F114" s="2667"/>
      <c r="G114" s="2668"/>
      <c r="H114" s="2667"/>
      <c r="I114" s="2668"/>
      <c r="J114" s="2667"/>
      <c r="K114" s="2667"/>
      <c r="L114" s="2668"/>
      <c r="M114" s="2667"/>
      <c r="N114" s="2667"/>
      <c r="O114" s="2668"/>
      <c r="P114" s="2667"/>
      <c r="Q114" s="2667"/>
      <c r="R114" s="2669"/>
    </row>
    <row r="115" spans="2:18" s="888" customFormat="1">
      <c r="B115" s="2667"/>
      <c r="C115" s="2667"/>
      <c r="D115" s="2667"/>
      <c r="E115" s="2667"/>
      <c r="F115" s="2667"/>
      <c r="G115" s="2668"/>
      <c r="H115" s="2667"/>
      <c r="I115" s="2668"/>
      <c r="J115" s="2667"/>
      <c r="K115" s="2667"/>
      <c r="L115" s="2668"/>
      <c r="M115" s="2667"/>
      <c r="N115" s="2667"/>
      <c r="O115" s="2668"/>
      <c r="P115" s="2667"/>
      <c r="Q115" s="2667"/>
      <c r="R115" s="2669"/>
    </row>
    <row r="116" spans="2:18" s="888" customFormat="1">
      <c r="B116" s="2667"/>
      <c r="C116" s="2667"/>
      <c r="D116" s="2667"/>
      <c r="E116" s="2667"/>
      <c r="F116" s="2667"/>
      <c r="G116" s="2668"/>
      <c r="H116" s="2667"/>
      <c r="I116" s="2668"/>
      <c r="J116" s="2667"/>
      <c r="K116" s="2667"/>
      <c r="L116" s="2668"/>
      <c r="M116" s="2667"/>
      <c r="N116" s="2667"/>
      <c r="O116" s="2668"/>
      <c r="P116" s="2667"/>
      <c r="Q116" s="2667"/>
      <c r="R116" s="2669"/>
    </row>
    <row r="117" spans="2:18" s="888" customFormat="1">
      <c r="B117" s="2667"/>
      <c r="C117" s="2667"/>
      <c r="D117" s="2667"/>
      <c r="E117" s="2667"/>
      <c r="F117" s="2667"/>
      <c r="G117" s="2668"/>
      <c r="H117" s="2667"/>
      <c r="I117" s="2668"/>
      <c r="J117" s="2667"/>
      <c r="K117" s="2667"/>
      <c r="L117" s="2668"/>
      <c r="M117" s="2667"/>
      <c r="N117" s="2667"/>
      <c r="O117" s="2668"/>
      <c r="P117" s="2667"/>
      <c r="Q117" s="2667"/>
      <c r="R117" s="2669"/>
    </row>
    <row r="118" spans="2:18" s="888" customFormat="1">
      <c r="B118" s="2667"/>
      <c r="C118" s="2667"/>
      <c r="D118" s="2667"/>
      <c r="E118" s="2667"/>
      <c r="F118" s="2667"/>
      <c r="G118" s="2668"/>
      <c r="H118" s="2667"/>
      <c r="I118" s="2668"/>
      <c r="J118" s="2667"/>
      <c r="K118" s="2667"/>
      <c r="L118" s="2668"/>
      <c r="M118" s="2667"/>
      <c r="N118" s="2667"/>
      <c r="O118" s="2668"/>
      <c r="P118" s="2667"/>
      <c r="Q118" s="2667"/>
      <c r="R118" s="2669"/>
    </row>
    <row r="119" spans="2:18" s="888" customFormat="1">
      <c r="B119" s="2667"/>
      <c r="C119" s="2667"/>
      <c r="D119" s="2667"/>
      <c r="E119" s="2667"/>
      <c r="F119" s="2667"/>
      <c r="G119" s="2668"/>
      <c r="H119" s="2667"/>
      <c r="I119" s="2668"/>
      <c r="J119" s="2667"/>
      <c r="K119" s="2667"/>
      <c r="L119" s="2668"/>
      <c r="M119" s="2667"/>
      <c r="N119" s="2667"/>
      <c r="O119" s="2668"/>
      <c r="P119" s="2667"/>
      <c r="Q119" s="2667"/>
      <c r="R119" s="2669"/>
    </row>
    <row r="120" spans="2:18" s="888" customFormat="1">
      <c r="B120" s="2667"/>
      <c r="C120" s="2667"/>
      <c r="D120" s="2667"/>
      <c r="E120" s="2667"/>
      <c r="F120" s="2667"/>
      <c r="G120" s="2668"/>
      <c r="H120" s="2667"/>
      <c r="I120" s="2668"/>
      <c r="J120" s="2667"/>
      <c r="K120" s="2667"/>
      <c r="L120" s="2668"/>
      <c r="M120" s="2667"/>
      <c r="N120" s="2667"/>
      <c r="O120" s="2668"/>
      <c r="P120" s="2667"/>
      <c r="Q120" s="2667"/>
      <c r="R120" s="2669"/>
    </row>
    <row r="121" spans="2:18" s="888" customFormat="1">
      <c r="B121" s="2667"/>
      <c r="C121" s="2667"/>
      <c r="D121" s="2667"/>
      <c r="E121" s="2667"/>
      <c r="F121" s="2667"/>
      <c r="G121" s="2668"/>
      <c r="H121" s="2667"/>
      <c r="I121" s="2668"/>
      <c r="J121" s="2667"/>
      <c r="K121" s="2667"/>
      <c r="L121" s="2668"/>
      <c r="M121" s="2667"/>
      <c r="N121" s="2667"/>
      <c r="O121" s="2668"/>
      <c r="P121" s="2667"/>
      <c r="Q121" s="2667"/>
      <c r="R121" s="2669"/>
    </row>
    <row r="122" spans="2:18" s="888" customFormat="1">
      <c r="B122" s="2667"/>
      <c r="C122" s="2667"/>
      <c r="D122" s="2667"/>
      <c r="E122" s="2667"/>
      <c r="F122" s="2667"/>
      <c r="G122" s="2668"/>
      <c r="H122" s="2667"/>
      <c r="I122" s="2668"/>
      <c r="J122" s="2667"/>
      <c r="K122" s="2667"/>
      <c r="L122" s="2668"/>
      <c r="M122" s="2667"/>
      <c r="N122" s="2667"/>
      <c r="O122" s="2668"/>
      <c r="P122" s="2667"/>
      <c r="Q122" s="2667"/>
      <c r="R122" s="2669"/>
    </row>
    <row r="123" spans="2:18" s="888" customFormat="1">
      <c r="B123" s="2667"/>
      <c r="C123" s="2667"/>
      <c r="D123" s="2667"/>
      <c r="E123" s="2667"/>
      <c r="F123" s="2667"/>
      <c r="G123" s="2668"/>
      <c r="H123" s="2667"/>
      <c r="I123" s="2668"/>
      <c r="J123" s="2667"/>
      <c r="K123" s="2667"/>
      <c r="L123" s="2668"/>
      <c r="M123" s="2667"/>
      <c r="N123" s="2667"/>
      <c r="O123" s="2668"/>
      <c r="P123" s="2667"/>
      <c r="Q123" s="2667"/>
      <c r="R123" s="2669"/>
    </row>
    <row r="124" spans="2:18" s="888" customFormat="1">
      <c r="B124" s="2667"/>
      <c r="C124" s="2667"/>
      <c r="D124" s="2667"/>
      <c r="E124" s="2667"/>
      <c r="F124" s="2667"/>
      <c r="G124" s="2668"/>
      <c r="H124" s="2667"/>
      <c r="I124" s="2668"/>
      <c r="J124" s="2667"/>
      <c r="K124" s="2667"/>
      <c r="L124" s="2668"/>
      <c r="M124" s="2667"/>
      <c r="N124" s="2667"/>
      <c r="O124" s="2668"/>
      <c r="P124" s="2667"/>
      <c r="Q124" s="2667"/>
      <c r="R124" s="2669"/>
    </row>
    <row r="125" spans="2:18" s="888" customFormat="1">
      <c r="B125" s="2667"/>
      <c r="C125" s="2667"/>
      <c r="D125" s="2667"/>
      <c r="E125" s="2667"/>
      <c r="F125" s="2667"/>
      <c r="G125" s="2668"/>
      <c r="H125" s="2667"/>
      <c r="I125" s="2668"/>
      <c r="J125" s="2667"/>
      <c r="K125" s="2667"/>
      <c r="L125" s="2668"/>
      <c r="M125" s="2667"/>
      <c r="N125" s="2667"/>
      <c r="O125" s="2668"/>
      <c r="P125" s="2667"/>
      <c r="Q125" s="2667"/>
      <c r="R125" s="2669"/>
    </row>
    <row r="126" spans="2:18" s="888" customFormat="1">
      <c r="B126" s="2667"/>
      <c r="C126" s="2667"/>
      <c r="D126" s="2667"/>
      <c r="E126" s="2667"/>
      <c r="F126" s="2667"/>
      <c r="G126" s="2668"/>
      <c r="H126" s="2667"/>
      <c r="I126" s="2668"/>
      <c r="J126" s="2667"/>
      <c r="K126" s="2667"/>
      <c r="L126" s="2668"/>
      <c r="M126" s="2667"/>
      <c r="N126" s="2667"/>
      <c r="O126" s="2668"/>
      <c r="P126" s="2667"/>
      <c r="Q126" s="2667"/>
      <c r="R126" s="2669"/>
    </row>
    <row r="127" spans="2:18" s="888" customFormat="1">
      <c r="B127" s="2667"/>
      <c r="C127" s="2667"/>
      <c r="D127" s="2667"/>
      <c r="E127" s="2667"/>
      <c r="F127" s="2667"/>
      <c r="G127" s="2668"/>
      <c r="H127" s="2667"/>
      <c r="I127" s="2668"/>
      <c r="J127" s="2667"/>
      <c r="K127" s="2667"/>
      <c r="L127" s="2668"/>
      <c r="M127" s="2667"/>
      <c r="N127" s="2667"/>
      <c r="O127" s="2668"/>
      <c r="P127" s="2667"/>
      <c r="Q127" s="2667"/>
      <c r="R127" s="2669"/>
    </row>
    <row r="128" spans="2:18" s="888" customFormat="1">
      <c r="B128" s="2667"/>
      <c r="C128" s="2667"/>
      <c r="D128" s="2667"/>
      <c r="E128" s="2667"/>
      <c r="F128" s="2667"/>
      <c r="G128" s="2668"/>
      <c r="H128" s="2667"/>
      <c r="I128" s="2668"/>
      <c r="J128" s="2667"/>
      <c r="K128" s="2667"/>
      <c r="L128" s="2668"/>
      <c r="M128" s="2667"/>
      <c r="N128" s="2667"/>
      <c r="O128" s="2668"/>
      <c r="P128" s="2667"/>
      <c r="Q128" s="2667"/>
      <c r="R128" s="2669"/>
    </row>
    <row r="129" spans="2:18" s="888" customFormat="1">
      <c r="B129" s="2667"/>
      <c r="C129" s="2667"/>
      <c r="D129" s="2667"/>
      <c r="E129" s="2667"/>
      <c r="F129" s="2667"/>
      <c r="G129" s="2668"/>
      <c r="H129" s="2667"/>
      <c r="I129" s="2668"/>
      <c r="J129" s="2667"/>
      <c r="K129" s="2667"/>
      <c r="L129" s="2668"/>
      <c r="M129" s="2667"/>
      <c r="N129" s="2667"/>
      <c r="O129" s="2668"/>
      <c r="P129" s="2667"/>
      <c r="Q129" s="2667"/>
      <c r="R129" s="2669"/>
    </row>
    <row r="130" spans="2:18" s="888" customFormat="1">
      <c r="B130" s="2667"/>
      <c r="C130" s="2667"/>
      <c r="D130" s="2667"/>
      <c r="E130" s="2667"/>
      <c r="F130" s="2667"/>
      <c r="G130" s="2668"/>
      <c r="H130" s="2667"/>
      <c r="I130" s="2668"/>
      <c r="J130" s="2667"/>
      <c r="K130" s="2667"/>
      <c r="L130" s="2668"/>
      <c r="M130" s="2667"/>
      <c r="N130" s="2667"/>
      <c r="O130" s="2668"/>
      <c r="P130" s="2667"/>
      <c r="Q130" s="2667"/>
      <c r="R130" s="2669"/>
    </row>
    <row r="131" spans="2:18" s="888" customFormat="1">
      <c r="B131" s="2667"/>
      <c r="C131" s="2667"/>
      <c r="D131" s="2667"/>
      <c r="E131" s="2667"/>
      <c r="F131" s="2667"/>
      <c r="G131" s="2668"/>
      <c r="H131" s="2667"/>
      <c r="I131" s="2668"/>
      <c r="J131" s="2667"/>
      <c r="K131" s="2667"/>
      <c r="L131" s="2668"/>
      <c r="M131" s="2667"/>
      <c r="N131" s="2667"/>
      <c r="O131" s="2668"/>
      <c r="P131" s="2667"/>
      <c r="Q131" s="2667"/>
      <c r="R131" s="2669"/>
    </row>
    <row r="132" spans="2:18" s="888" customFormat="1">
      <c r="B132" s="2667"/>
      <c r="C132" s="2667"/>
      <c r="D132" s="2667"/>
      <c r="E132" s="2667"/>
      <c r="F132" s="2667"/>
      <c r="G132" s="2668"/>
      <c r="H132" s="2667"/>
      <c r="I132" s="2668"/>
      <c r="J132" s="2667"/>
      <c r="K132" s="2667"/>
      <c r="L132" s="2668"/>
      <c r="M132" s="2667"/>
      <c r="N132" s="2667"/>
      <c r="O132" s="2668"/>
      <c r="P132" s="2667"/>
      <c r="Q132" s="2667"/>
      <c r="R132" s="2669"/>
    </row>
    <row r="133" spans="2:18" s="888" customFormat="1">
      <c r="B133" s="2667"/>
      <c r="C133" s="2667"/>
      <c r="D133" s="2667"/>
      <c r="E133" s="2667"/>
      <c r="F133" s="2667"/>
      <c r="G133" s="2668"/>
      <c r="H133" s="2667"/>
      <c r="I133" s="2668"/>
      <c r="J133" s="2667"/>
      <c r="K133" s="2667"/>
      <c r="L133" s="2668"/>
      <c r="M133" s="2667"/>
      <c r="N133" s="2667"/>
      <c r="O133" s="2668"/>
      <c r="P133" s="2667"/>
      <c r="Q133" s="2667"/>
      <c r="R133" s="2669"/>
    </row>
    <row r="134" spans="2:18" s="888" customFormat="1">
      <c r="B134" s="2667"/>
      <c r="C134" s="2667"/>
      <c r="D134" s="2667"/>
      <c r="E134" s="2667"/>
      <c r="F134" s="2667"/>
      <c r="G134" s="2668"/>
      <c r="H134" s="2667"/>
      <c r="I134" s="2668"/>
      <c r="J134" s="2667"/>
      <c r="K134" s="2667"/>
      <c r="L134" s="2668"/>
      <c r="M134" s="2667"/>
      <c r="N134" s="2667"/>
      <c r="O134" s="2668"/>
      <c r="P134" s="2667"/>
      <c r="Q134" s="2667"/>
      <c r="R134" s="2669"/>
    </row>
    <row r="135" spans="2:18" s="888" customFormat="1">
      <c r="B135" s="2667"/>
      <c r="C135" s="2667"/>
      <c r="D135" s="2667"/>
      <c r="E135" s="2667"/>
      <c r="F135" s="2667"/>
      <c r="G135" s="2668"/>
      <c r="H135" s="2667"/>
      <c r="I135" s="2668"/>
      <c r="J135" s="2667"/>
      <c r="K135" s="2667"/>
      <c r="L135" s="2668"/>
      <c r="M135" s="2667"/>
      <c r="N135" s="2667"/>
      <c r="O135" s="2668"/>
      <c r="P135" s="2667"/>
      <c r="Q135" s="2667"/>
      <c r="R135" s="2669"/>
    </row>
    <row r="136" spans="2:18" s="888" customFormat="1">
      <c r="B136" s="2667"/>
      <c r="C136" s="2667"/>
      <c r="D136" s="2667"/>
      <c r="E136" s="2667"/>
      <c r="F136" s="2667"/>
      <c r="G136" s="2668"/>
      <c r="H136" s="2667"/>
      <c r="I136" s="2668"/>
      <c r="J136" s="2667"/>
      <c r="K136" s="2667"/>
      <c r="L136" s="2668"/>
      <c r="M136" s="2667"/>
      <c r="N136" s="2667"/>
      <c r="O136" s="2668"/>
      <c r="P136" s="2667"/>
      <c r="Q136" s="2667"/>
      <c r="R136" s="2669"/>
    </row>
    <row r="137" spans="2:18" s="888" customFormat="1">
      <c r="B137" s="2667"/>
      <c r="C137" s="2667"/>
      <c r="D137" s="2667"/>
      <c r="E137" s="2667"/>
      <c r="F137" s="2667"/>
      <c r="G137" s="2668"/>
      <c r="H137" s="2667"/>
      <c r="I137" s="2668"/>
      <c r="J137" s="2667"/>
      <c r="K137" s="2667"/>
      <c r="L137" s="2668"/>
      <c r="M137" s="2667"/>
      <c r="N137" s="2667"/>
      <c r="O137" s="2668"/>
      <c r="P137" s="2667"/>
      <c r="Q137" s="2667"/>
      <c r="R137" s="2669"/>
    </row>
    <row r="138" spans="2:18" s="888" customFormat="1">
      <c r="B138" s="2667"/>
      <c r="C138" s="2667"/>
      <c r="D138" s="2667"/>
      <c r="E138" s="2667"/>
      <c r="F138" s="2667"/>
      <c r="G138" s="2668"/>
      <c r="H138" s="2667"/>
      <c r="I138" s="2668"/>
      <c r="J138" s="2667"/>
      <c r="K138" s="2667"/>
      <c r="L138" s="2668"/>
      <c r="M138" s="2667"/>
      <c r="N138" s="2667"/>
      <c r="O138" s="2668"/>
      <c r="P138" s="2667"/>
      <c r="Q138" s="2667"/>
      <c r="R138" s="2669"/>
    </row>
    <row r="139" spans="2:18" s="888" customFormat="1">
      <c r="B139" s="2667"/>
      <c r="C139" s="2667"/>
      <c r="D139" s="2667"/>
      <c r="E139" s="2667"/>
      <c r="F139" s="2667"/>
      <c r="G139" s="2668"/>
      <c r="H139" s="2667"/>
      <c r="I139" s="2668"/>
      <c r="J139" s="2667"/>
      <c r="K139" s="2667"/>
      <c r="L139" s="2668"/>
      <c r="M139" s="2667"/>
      <c r="N139" s="2667"/>
      <c r="O139" s="2668"/>
      <c r="P139" s="2667"/>
      <c r="Q139" s="2667"/>
      <c r="R139" s="2669"/>
    </row>
    <row r="140" spans="2:18" s="888" customFormat="1">
      <c r="B140" s="2667"/>
      <c r="C140" s="2667"/>
      <c r="D140" s="2667"/>
      <c r="E140" s="2667"/>
      <c r="F140" s="2667"/>
      <c r="G140" s="2668"/>
      <c r="H140" s="2667"/>
      <c r="I140" s="2668"/>
      <c r="J140" s="2667"/>
      <c r="K140" s="2667"/>
      <c r="L140" s="2668"/>
      <c r="M140" s="2667"/>
      <c r="N140" s="2667"/>
      <c r="O140" s="2668"/>
      <c r="P140" s="2667"/>
      <c r="Q140" s="2667"/>
      <c r="R140" s="2669"/>
    </row>
    <row r="141" spans="2:18" s="888" customFormat="1">
      <c r="B141" s="2667"/>
      <c r="C141" s="2667"/>
      <c r="D141" s="2667"/>
      <c r="E141" s="2667"/>
      <c r="F141" s="2667"/>
      <c r="G141" s="2668"/>
      <c r="H141" s="2667"/>
      <c r="I141" s="2668"/>
      <c r="J141" s="2667"/>
      <c r="K141" s="2667"/>
      <c r="L141" s="2668"/>
      <c r="M141" s="2667"/>
      <c r="N141" s="2667"/>
      <c r="O141" s="2668"/>
      <c r="P141" s="2667"/>
      <c r="Q141" s="2667"/>
      <c r="R141" s="2669"/>
    </row>
    <row r="142" spans="2:18" s="888" customFormat="1">
      <c r="B142" s="2667"/>
      <c r="C142" s="2667"/>
      <c r="D142" s="2667"/>
      <c r="E142" s="2667"/>
      <c r="F142" s="2667"/>
      <c r="G142" s="2668"/>
      <c r="H142" s="2667"/>
      <c r="I142" s="2668"/>
      <c r="J142" s="2667"/>
      <c r="K142" s="2667"/>
      <c r="L142" s="2668"/>
      <c r="M142" s="2667"/>
      <c r="N142" s="2667"/>
      <c r="O142" s="2668"/>
      <c r="P142" s="2667"/>
      <c r="Q142" s="2667"/>
      <c r="R142" s="2669"/>
    </row>
    <row r="143" spans="2:18" s="888" customFormat="1">
      <c r="B143" s="2667"/>
      <c r="C143" s="2667"/>
      <c r="D143" s="2667"/>
      <c r="E143" s="2667"/>
      <c r="F143" s="2667"/>
      <c r="G143" s="2668"/>
      <c r="H143" s="2667"/>
      <c r="I143" s="2668"/>
      <c r="J143" s="2667"/>
      <c r="K143" s="2667"/>
      <c r="L143" s="2668"/>
      <c r="M143" s="2667"/>
      <c r="N143" s="2667"/>
      <c r="O143" s="2668"/>
      <c r="P143" s="2667"/>
      <c r="Q143" s="2667"/>
      <c r="R143" s="2669"/>
    </row>
    <row r="144" spans="2:18" s="888" customFormat="1">
      <c r="B144" s="2667"/>
      <c r="C144" s="2667"/>
      <c r="D144" s="2667"/>
      <c r="E144" s="2667"/>
      <c r="F144" s="2667"/>
      <c r="G144" s="2668"/>
      <c r="H144" s="2667"/>
      <c r="I144" s="2668"/>
      <c r="J144" s="2667"/>
      <c r="K144" s="2667"/>
      <c r="L144" s="2668"/>
      <c r="M144" s="2667"/>
      <c r="N144" s="2667"/>
      <c r="O144" s="2668"/>
      <c r="P144" s="2667"/>
      <c r="Q144" s="2667"/>
      <c r="R144" s="2669"/>
    </row>
    <row r="145" spans="2:18" s="888" customFormat="1">
      <c r="B145" s="2667"/>
      <c r="C145" s="2667"/>
      <c r="D145" s="2667"/>
      <c r="E145" s="2667"/>
      <c r="F145" s="2667"/>
      <c r="G145" s="2668"/>
      <c r="H145" s="2667"/>
      <c r="I145" s="2668"/>
      <c r="J145" s="2667"/>
      <c r="K145" s="2667"/>
      <c r="L145" s="2668"/>
      <c r="M145" s="2667"/>
      <c r="N145" s="2667"/>
      <c r="O145" s="2668"/>
      <c r="P145" s="2667"/>
      <c r="Q145" s="2667"/>
      <c r="R145" s="2669"/>
    </row>
    <row r="146" spans="2:18" s="888" customFormat="1">
      <c r="B146" s="2667"/>
      <c r="C146" s="2667"/>
      <c r="D146" s="2667"/>
      <c r="E146" s="2667"/>
      <c r="F146" s="2667"/>
      <c r="G146" s="2668"/>
      <c r="H146" s="2667"/>
      <c r="I146" s="2668"/>
      <c r="J146" s="2667"/>
      <c r="K146" s="2667"/>
      <c r="L146" s="2668"/>
      <c r="M146" s="2667"/>
      <c r="N146" s="2667"/>
      <c r="O146" s="2668"/>
      <c r="P146" s="2667"/>
      <c r="Q146" s="2667"/>
      <c r="R146" s="2669"/>
    </row>
    <row r="147" spans="2:18" s="888" customFormat="1">
      <c r="B147" s="2667"/>
      <c r="C147" s="2667"/>
      <c r="D147" s="2667"/>
      <c r="E147" s="2667"/>
      <c r="F147" s="2667"/>
      <c r="G147" s="2668"/>
      <c r="H147" s="2667"/>
      <c r="I147" s="2668"/>
      <c r="J147" s="2667"/>
      <c r="K147" s="2667"/>
      <c r="L147" s="2668"/>
      <c r="M147" s="2667"/>
      <c r="N147" s="2667"/>
      <c r="O147" s="2668"/>
      <c r="P147" s="2667"/>
      <c r="Q147" s="2667"/>
      <c r="R147" s="2669"/>
    </row>
    <row r="148" spans="2:18" s="888" customFormat="1">
      <c r="B148" s="2667"/>
      <c r="C148" s="2667"/>
      <c r="D148" s="2667"/>
      <c r="E148" s="2667"/>
      <c r="F148" s="2667"/>
      <c r="G148" s="2668"/>
      <c r="H148" s="2667"/>
      <c r="I148" s="2668"/>
      <c r="J148" s="2667"/>
      <c r="K148" s="2667"/>
      <c r="L148" s="2668"/>
      <c r="M148" s="2667"/>
      <c r="N148" s="2667"/>
      <c r="O148" s="2668"/>
      <c r="P148" s="2667"/>
      <c r="Q148" s="2667"/>
      <c r="R148" s="2669"/>
    </row>
    <row r="149" spans="2:18" s="888" customFormat="1">
      <c r="B149" s="2667"/>
      <c r="C149" s="2667"/>
      <c r="D149" s="2667"/>
      <c r="E149" s="2667"/>
      <c r="F149" s="2667"/>
      <c r="G149" s="2668"/>
      <c r="H149" s="2667"/>
      <c r="I149" s="2668"/>
      <c r="J149" s="2667"/>
      <c r="K149" s="2667"/>
      <c r="L149" s="2668"/>
      <c r="M149" s="2667"/>
      <c r="N149" s="2667"/>
      <c r="O149" s="2668"/>
      <c r="P149" s="2667"/>
      <c r="Q149" s="2667"/>
      <c r="R149" s="2669"/>
    </row>
    <row r="150" spans="2:18" s="888" customFormat="1">
      <c r="B150" s="2667"/>
      <c r="C150" s="2667"/>
      <c r="D150" s="2667"/>
      <c r="E150" s="2667"/>
      <c r="F150" s="2667"/>
      <c r="G150" s="2668"/>
      <c r="H150" s="2667"/>
      <c r="I150" s="2668"/>
      <c r="J150" s="2667"/>
      <c r="K150" s="2667"/>
      <c r="L150" s="2668"/>
      <c r="M150" s="2667"/>
      <c r="N150" s="2667"/>
      <c r="O150" s="2668"/>
      <c r="P150" s="2667"/>
      <c r="Q150" s="2667"/>
      <c r="R150" s="2669"/>
    </row>
    <row r="151" spans="2:18" s="888" customFormat="1">
      <c r="B151" s="2667"/>
      <c r="C151" s="2667"/>
      <c r="D151" s="2667"/>
      <c r="E151" s="2667"/>
      <c r="F151" s="2667"/>
      <c r="G151" s="2668"/>
      <c r="H151" s="2667"/>
      <c r="I151" s="2668"/>
      <c r="J151" s="2667"/>
      <c r="K151" s="2667"/>
      <c r="L151" s="2668"/>
      <c r="M151" s="2667"/>
      <c r="N151" s="2667"/>
      <c r="O151" s="2668"/>
      <c r="P151" s="2667"/>
      <c r="Q151" s="2667"/>
      <c r="R151" s="2669"/>
    </row>
    <row r="152" spans="2:18" s="888" customFormat="1">
      <c r="B152" s="2667"/>
      <c r="C152" s="2667"/>
      <c r="D152" s="2667"/>
      <c r="E152" s="2667"/>
      <c r="F152" s="2667"/>
      <c r="G152" s="2668"/>
      <c r="H152" s="2667"/>
      <c r="I152" s="2668"/>
      <c r="J152" s="2667"/>
      <c r="K152" s="2667"/>
      <c r="L152" s="2668"/>
      <c r="M152" s="2667"/>
      <c r="N152" s="2667"/>
      <c r="O152" s="2668"/>
      <c r="P152" s="2667"/>
      <c r="Q152" s="2667"/>
      <c r="R152" s="2669"/>
    </row>
    <row r="153" spans="2:18" s="888" customFormat="1">
      <c r="B153" s="2667"/>
      <c r="C153" s="2667"/>
      <c r="D153" s="2667"/>
      <c r="E153" s="2667"/>
      <c r="F153" s="2667"/>
      <c r="G153" s="2668"/>
      <c r="H153" s="2667"/>
      <c r="I153" s="2668"/>
      <c r="J153" s="2667"/>
      <c r="K153" s="2667"/>
      <c r="L153" s="2668"/>
      <c r="M153" s="2667"/>
      <c r="N153" s="2667"/>
      <c r="O153" s="2668"/>
      <c r="P153" s="2667"/>
      <c r="Q153" s="2667"/>
      <c r="R153" s="2669"/>
    </row>
    <row r="154" spans="2:18" s="888" customFormat="1">
      <c r="B154" s="2667"/>
      <c r="C154" s="2667"/>
      <c r="D154" s="2667"/>
      <c r="E154" s="2667"/>
      <c r="F154" s="2667"/>
      <c r="G154" s="2668"/>
      <c r="H154" s="2667"/>
      <c r="I154" s="2668"/>
      <c r="J154" s="2667"/>
      <c r="K154" s="2667"/>
      <c r="L154" s="2668"/>
      <c r="M154" s="2667"/>
      <c r="N154" s="2667"/>
      <c r="O154" s="2668"/>
      <c r="P154" s="2667"/>
      <c r="Q154" s="2667"/>
      <c r="R154" s="2669"/>
    </row>
    <row r="155" spans="2:18" s="888" customFormat="1">
      <c r="B155" s="2667"/>
      <c r="C155" s="2667"/>
      <c r="D155" s="2667"/>
      <c r="E155" s="2667"/>
      <c r="F155" s="2667"/>
      <c r="G155" s="2668"/>
      <c r="H155" s="2667"/>
      <c r="I155" s="2668"/>
      <c r="J155" s="2667"/>
      <c r="K155" s="2667"/>
      <c r="L155" s="2668"/>
      <c r="M155" s="2667"/>
      <c r="N155" s="2667"/>
      <c r="O155" s="2668"/>
      <c r="P155" s="2667"/>
      <c r="Q155" s="2667"/>
      <c r="R155" s="2669"/>
    </row>
    <row r="156" spans="2:18" s="888" customFormat="1">
      <c r="B156" s="2667"/>
      <c r="C156" s="2667"/>
      <c r="D156" s="2667"/>
      <c r="E156" s="2667"/>
      <c r="F156" s="2667"/>
      <c r="G156" s="2668"/>
      <c r="H156" s="2667"/>
      <c r="I156" s="2668"/>
      <c r="J156" s="2667"/>
      <c r="K156" s="2667"/>
      <c r="L156" s="2668"/>
      <c r="M156" s="2667"/>
      <c r="N156" s="2667"/>
      <c r="O156" s="2668"/>
      <c r="P156" s="2667"/>
      <c r="Q156" s="2667"/>
      <c r="R156" s="2669"/>
    </row>
    <row r="157" spans="2:18" s="888" customFormat="1">
      <c r="B157" s="2667"/>
      <c r="C157" s="2667"/>
      <c r="D157" s="2667"/>
      <c r="E157" s="2667"/>
      <c r="F157" s="2667"/>
      <c r="G157" s="2668"/>
      <c r="H157" s="2667"/>
      <c r="I157" s="2668"/>
      <c r="J157" s="2667"/>
      <c r="K157" s="2667"/>
      <c r="L157" s="2668"/>
      <c r="M157" s="2667"/>
      <c r="N157" s="2667"/>
      <c r="O157" s="2668"/>
      <c r="P157" s="2667"/>
      <c r="Q157" s="2667"/>
      <c r="R157" s="2669"/>
    </row>
    <row r="158" spans="2:18" s="888" customFormat="1">
      <c r="B158" s="2667"/>
      <c r="C158" s="2667"/>
      <c r="D158" s="2667"/>
      <c r="E158" s="2667"/>
      <c r="F158" s="2667"/>
      <c r="G158" s="2668"/>
      <c r="H158" s="2667"/>
      <c r="I158" s="2668"/>
      <c r="J158" s="2667"/>
      <c r="K158" s="2667"/>
      <c r="L158" s="2668"/>
      <c r="M158" s="2667"/>
      <c r="N158" s="2667"/>
      <c r="O158" s="2668"/>
      <c r="P158" s="2667"/>
      <c r="Q158" s="2667"/>
      <c r="R158" s="2669"/>
    </row>
    <row r="159" spans="2:18" s="888" customFormat="1">
      <c r="B159" s="2667"/>
      <c r="C159" s="2667"/>
      <c r="D159" s="2667"/>
      <c r="E159" s="2667"/>
      <c r="F159" s="2667"/>
      <c r="G159" s="2668"/>
      <c r="H159" s="2667"/>
      <c r="I159" s="2668"/>
      <c r="J159" s="2667"/>
      <c r="K159" s="2667"/>
      <c r="L159" s="2668"/>
      <c r="M159" s="2667"/>
      <c r="N159" s="2667"/>
      <c r="O159" s="2668"/>
      <c r="P159" s="2667"/>
      <c r="Q159" s="2667"/>
      <c r="R159" s="2669"/>
    </row>
    <row r="160" spans="2:18" s="888" customFormat="1">
      <c r="B160" s="2667"/>
      <c r="C160" s="2667"/>
      <c r="D160" s="2667"/>
      <c r="E160" s="2667"/>
      <c r="F160" s="2667"/>
      <c r="G160" s="2668"/>
      <c r="H160" s="2667"/>
      <c r="I160" s="2668"/>
      <c r="J160" s="2667"/>
      <c r="K160" s="2667"/>
      <c r="L160" s="2668"/>
      <c r="M160" s="2667"/>
      <c r="N160" s="2667"/>
      <c r="O160" s="2668"/>
      <c r="P160" s="2667"/>
      <c r="Q160" s="2667"/>
      <c r="R160" s="2669"/>
    </row>
    <row r="161" spans="2:18" s="888" customFormat="1">
      <c r="B161" s="2667"/>
      <c r="C161" s="2667"/>
      <c r="D161" s="2667"/>
      <c r="E161" s="2667"/>
      <c r="F161" s="2667"/>
      <c r="G161" s="2668"/>
      <c r="H161" s="2667"/>
      <c r="I161" s="2668"/>
      <c r="J161" s="2667"/>
      <c r="K161" s="2667"/>
      <c r="L161" s="2668"/>
      <c r="M161" s="2667"/>
      <c r="N161" s="2667"/>
      <c r="O161" s="2668"/>
      <c r="P161" s="2667"/>
      <c r="Q161" s="2667"/>
      <c r="R161" s="2669"/>
    </row>
    <row r="162" spans="2:18" s="888" customFormat="1">
      <c r="B162" s="2667"/>
      <c r="C162" s="2667"/>
      <c r="D162" s="2667"/>
      <c r="E162" s="2667"/>
      <c r="F162" s="2667"/>
      <c r="G162" s="2668"/>
      <c r="H162" s="2667"/>
      <c r="I162" s="2668"/>
      <c r="J162" s="2667"/>
      <c r="K162" s="2667"/>
      <c r="L162" s="2668"/>
      <c r="M162" s="2667"/>
      <c r="N162" s="2667"/>
      <c r="O162" s="2668"/>
      <c r="P162" s="2667"/>
      <c r="Q162" s="2667"/>
      <c r="R162" s="2669"/>
    </row>
    <row r="163" spans="2:18" s="888" customFormat="1">
      <c r="B163" s="2667"/>
      <c r="C163" s="2667"/>
      <c r="D163" s="2667"/>
      <c r="E163" s="2667"/>
      <c r="F163" s="2667"/>
      <c r="G163" s="2668"/>
      <c r="H163" s="2667"/>
      <c r="I163" s="2668"/>
      <c r="J163" s="2667"/>
      <c r="K163" s="2667"/>
      <c r="L163" s="2668"/>
      <c r="M163" s="2667"/>
      <c r="N163" s="2667"/>
      <c r="O163" s="2668"/>
      <c r="P163" s="2667"/>
      <c r="Q163" s="2667"/>
      <c r="R163" s="2669"/>
    </row>
    <row r="164" spans="2:18" s="888" customFormat="1">
      <c r="B164" s="2667"/>
      <c r="C164" s="2667"/>
      <c r="D164" s="2667"/>
      <c r="E164" s="2667"/>
      <c r="F164" s="2667"/>
      <c r="G164" s="2668"/>
      <c r="H164" s="2667"/>
      <c r="I164" s="2668"/>
      <c r="J164" s="2667"/>
      <c r="K164" s="2667"/>
      <c r="L164" s="2668"/>
      <c r="M164" s="2667"/>
      <c r="N164" s="2667"/>
      <c r="O164" s="2668"/>
      <c r="P164" s="2667"/>
      <c r="Q164" s="2667"/>
      <c r="R164" s="2669"/>
    </row>
    <row r="165" spans="2:18" s="888" customFormat="1">
      <c r="B165" s="2667"/>
      <c r="C165" s="2667"/>
      <c r="D165" s="2667"/>
      <c r="E165" s="2667"/>
      <c r="F165" s="2667"/>
      <c r="G165" s="2668"/>
      <c r="H165" s="2667"/>
      <c r="I165" s="2668"/>
      <c r="J165" s="2667"/>
      <c r="K165" s="2667"/>
      <c r="L165" s="2668"/>
      <c r="M165" s="2667"/>
      <c r="N165" s="2667"/>
      <c r="O165" s="2668"/>
      <c r="P165" s="2667"/>
      <c r="Q165" s="2667"/>
      <c r="R165" s="2669"/>
    </row>
    <row r="166" spans="2:18" s="888" customFormat="1">
      <c r="B166" s="2667"/>
      <c r="C166" s="2667"/>
      <c r="D166" s="2667"/>
      <c r="E166" s="2667"/>
      <c r="F166" s="2667"/>
      <c r="G166" s="2668"/>
      <c r="H166" s="2667"/>
      <c r="I166" s="2668"/>
      <c r="J166" s="2667"/>
      <c r="K166" s="2667"/>
      <c r="L166" s="2668"/>
      <c r="M166" s="2667"/>
      <c r="N166" s="2667"/>
      <c r="O166" s="2668"/>
      <c r="P166" s="2667"/>
      <c r="Q166" s="2667"/>
      <c r="R166" s="2669"/>
    </row>
    <row r="167" spans="2:18" s="888" customFormat="1">
      <c r="B167" s="2667"/>
      <c r="C167" s="2667"/>
      <c r="D167" s="2667"/>
      <c r="E167" s="2667"/>
      <c r="F167" s="2667"/>
      <c r="G167" s="2668"/>
      <c r="H167" s="2667"/>
      <c r="I167" s="2668"/>
      <c r="J167" s="2667"/>
      <c r="K167" s="2667"/>
      <c r="L167" s="2668"/>
      <c r="M167" s="2667"/>
      <c r="N167" s="2667"/>
      <c r="O167" s="2668"/>
      <c r="P167" s="2667"/>
      <c r="Q167" s="2667"/>
      <c r="R167" s="2669"/>
    </row>
    <row r="168" spans="2:18" s="888" customFormat="1">
      <c r="B168" s="2667"/>
      <c r="C168" s="2667"/>
      <c r="D168" s="2667"/>
      <c r="E168" s="2667"/>
      <c r="F168" s="2667"/>
      <c r="G168" s="2668"/>
      <c r="H168" s="2667"/>
      <c r="I168" s="2668"/>
      <c r="J168" s="2667"/>
      <c r="K168" s="2667"/>
      <c r="L168" s="2668"/>
      <c r="M168" s="2667"/>
      <c r="N168" s="2667"/>
      <c r="O168" s="2668"/>
      <c r="P168" s="2667"/>
      <c r="Q168" s="2667"/>
      <c r="R168" s="2669"/>
    </row>
    <row r="169" spans="2:18" s="888" customFormat="1">
      <c r="B169" s="2667"/>
      <c r="C169" s="2667"/>
      <c r="D169" s="2667"/>
      <c r="E169" s="2667"/>
      <c r="F169" s="2667"/>
      <c r="G169" s="2668"/>
      <c r="H169" s="2667"/>
      <c r="I169" s="2668"/>
      <c r="J169" s="2667"/>
      <c r="K169" s="2667"/>
      <c r="L169" s="2668"/>
      <c r="M169" s="2667"/>
      <c r="N169" s="2667"/>
      <c r="O169" s="2668"/>
      <c r="P169" s="2667"/>
      <c r="Q169" s="2667"/>
      <c r="R169" s="2669"/>
    </row>
    <row r="170" spans="2:18" s="888" customFormat="1">
      <c r="B170" s="2667"/>
      <c r="C170" s="2667"/>
      <c r="D170" s="2667"/>
      <c r="E170" s="2667"/>
      <c r="F170" s="2667"/>
      <c r="G170" s="2668"/>
      <c r="H170" s="2667"/>
      <c r="I170" s="2668"/>
      <c r="J170" s="2667"/>
      <c r="K170" s="2667"/>
      <c r="L170" s="2668"/>
      <c r="M170" s="2667"/>
      <c r="N170" s="2667"/>
      <c r="O170" s="2668"/>
      <c r="P170" s="2667"/>
      <c r="Q170" s="2667"/>
      <c r="R170" s="2669"/>
    </row>
    <row r="171" spans="2:18" s="888" customFormat="1">
      <c r="B171" s="2667"/>
      <c r="C171" s="2667"/>
      <c r="D171" s="2667"/>
      <c r="E171" s="2667"/>
      <c r="F171" s="2667"/>
      <c r="G171" s="2668"/>
      <c r="H171" s="2667"/>
      <c r="I171" s="2668"/>
      <c r="J171" s="2667"/>
      <c r="K171" s="2667"/>
      <c r="L171" s="2668"/>
      <c r="M171" s="2667"/>
      <c r="N171" s="2667"/>
      <c r="O171" s="2668"/>
      <c r="P171" s="2667"/>
      <c r="Q171" s="2667"/>
      <c r="R171" s="2669"/>
    </row>
    <row r="172" spans="2:18" s="888" customFormat="1">
      <c r="B172" s="2667"/>
      <c r="C172" s="2667"/>
      <c r="D172" s="2667"/>
      <c r="E172" s="2667"/>
      <c r="F172" s="2667"/>
      <c r="G172" s="2668"/>
      <c r="H172" s="2667"/>
      <c r="I172" s="2668"/>
      <c r="J172" s="2667"/>
      <c r="K172" s="2667"/>
      <c r="L172" s="2668"/>
      <c r="M172" s="2667"/>
      <c r="N172" s="2667"/>
      <c r="O172" s="2668"/>
      <c r="P172" s="2667"/>
      <c r="Q172" s="2667"/>
      <c r="R172" s="2669"/>
    </row>
    <row r="173" spans="2:18" s="888" customFormat="1">
      <c r="B173" s="2667"/>
      <c r="C173" s="2667"/>
      <c r="D173" s="2667"/>
      <c r="E173" s="2667"/>
      <c r="F173" s="2667"/>
      <c r="G173" s="2668"/>
      <c r="H173" s="2667"/>
      <c r="I173" s="2668"/>
      <c r="J173" s="2667"/>
      <c r="K173" s="2667"/>
      <c r="L173" s="2668"/>
      <c r="M173" s="2667"/>
      <c r="N173" s="2667"/>
      <c r="O173" s="2668"/>
      <c r="P173" s="2667"/>
      <c r="Q173" s="2667"/>
      <c r="R173" s="2669"/>
    </row>
    <row r="174" spans="2:18" s="888" customFormat="1">
      <c r="B174" s="2667"/>
      <c r="C174" s="2667"/>
      <c r="D174" s="2667"/>
      <c r="E174" s="2667"/>
      <c r="F174" s="2667"/>
      <c r="G174" s="2668"/>
      <c r="H174" s="2667"/>
      <c r="I174" s="2668"/>
      <c r="J174" s="2667"/>
      <c r="K174" s="2667"/>
      <c r="L174" s="2668"/>
      <c r="M174" s="2667"/>
      <c r="N174" s="2667"/>
      <c r="O174" s="2668"/>
      <c r="P174" s="2667"/>
      <c r="Q174" s="2667"/>
      <c r="R174" s="2669"/>
    </row>
    <row r="175" spans="2:18" s="888" customFormat="1">
      <c r="B175" s="2667"/>
      <c r="C175" s="2667"/>
      <c r="D175" s="2667"/>
      <c r="E175" s="2667"/>
      <c r="F175" s="2667"/>
      <c r="G175" s="2668"/>
      <c r="H175" s="2667"/>
      <c r="I175" s="2668"/>
      <c r="J175" s="2667"/>
      <c r="K175" s="2667"/>
      <c r="L175" s="2668"/>
      <c r="M175" s="2667"/>
      <c r="N175" s="2667"/>
      <c r="O175" s="2668"/>
      <c r="P175" s="2667"/>
      <c r="Q175" s="2667"/>
      <c r="R175" s="2669"/>
    </row>
    <row r="176" spans="2:18" s="888" customFormat="1">
      <c r="B176" s="2667"/>
      <c r="C176" s="2667"/>
      <c r="D176" s="2667"/>
      <c r="E176" s="2667"/>
      <c r="F176" s="2667"/>
      <c r="G176" s="2668"/>
      <c r="H176" s="2667"/>
      <c r="I176" s="2668"/>
      <c r="J176" s="2667"/>
      <c r="K176" s="2667"/>
      <c r="L176" s="2668"/>
      <c r="M176" s="2667"/>
      <c r="N176" s="2667"/>
      <c r="O176" s="2668"/>
      <c r="P176" s="2667"/>
      <c r="Q176" s="2667"/>
      <c r="R176" s="2669"/>
    </row>
    <row r="177" spans="1:18" s="888" customFormat="1">
      <c r="B177" s="2667"/>
      <c r="C177" s="2667"/>
      <c r="D177" s="2667"/>
      <c r="E177" s="2667"/>
      <c r="F177" s="2667"/>
      <c r="G177" s="2668"/>
      <c r="H177" s="2667"/>
      <c r="I177" s="2668"/>
      <c r="J177" s="2667"/>
      <c r="K177" s="2667"/>
      <c r="L177" s="2668"/>
      <c r="M177" s="2667"/>
      <c r="N177" s="2667"/>
      <c r="O177" s="2668"/>
      <c r="P177" s="2667"/>
      <c r="Q177" s="2667"/>
      <c r="R177" s="2669"/>
    </row>
    <row r="178" spans="1:18" s="888" customFormat="1">
      <c r="B178" s="2667"/>
      <c r="C178" s="2667"/>
      <c r="D178" s="2667"/>
      <c r="E178" s="2667"/>
      <c r="F178" s="2667"/>
      <c r="G178" s="2668"/>
      <c r="H178" s="2667"/>
      <c r="I178" s="2668"/>
      <c r="J178" s="2667"/>
      <c r="K178" s="2667"/>
      <c r="L178" s="2668"/>
      <c r="M178" s="2667"/>
      <c r="N178" s="2667"/>
      <c r="O178" s="2668"/>
      <c r="P178" s="2667"/>
      <c r="Q178" s="2667"/>
      <c r="R178" s="2669"/>
    </row>
    <row r="179" spans="1:18" s="888" customFormat="1">
      <c r="B179" s="2667"/>
      <c r="C179" s="2667"/>
      <c r="D179" s="2667"/>
      <c r="E179" s="2667"/>
      <c r="F179" s="2667"/>
      <c r="G179" s="2668"/>
      <c r="H179" s="2667"/>
      <c r="I179" s="2668"/>
      <c r="J179" s="2667"/>
      <c r="K179" s="2667"/>
      <c r="L179" s="2668"/>
      <c r="M179" s="2667"/>
      <c r="N179" s="2667"/>
      <c r="O179" s="2668"/>
      <c r="P179" s="2667"/>
      <c r="Q179" s="2667"/>
      <c r="R179" s="2669"/>
    </row>
    <row r="180" spans="1:18" s="888" customFormat="1">
      <c r="B180" s="2667"/>
      <c r="C180" s="2667"/>
      <c r="D180" s="2667"/>
      <c r="E180" s="2667"/>
      <c r="F180" s="2667"/>
      <c r="G180" s="2668"/>
      <c r="H180" s="2667"/>
      <c r="I180" s="2668"/>
      <c r="J180" s="2667"/>
      <c r="K180" s="2667"/>
      <c r="L180" s="2668"/>
      <c r="M180" s="2667"/>
      <c r="N180" s="2667"/>
      <c r="O180" s="2668"/>
      <c r="P180" s="2667"/>
      <c r="Q180" s="2667"/>
      <c r="R180" s="2669"/>
    </row>
    <row r="181" spans="1:18" s="888" customFormat="1">
      <c r="B181" s="2667"/>
      <c r="C181" s="2667"/>
      <c r="D181" s="2667"/>
      <c r="E181" s="2667"/>
      <c r="F181" s="2667"/>
      <c r="G181" s="2668"/>
      <c r="H181" s="2667"/>
      <c r="I181" s="2668"/>
      <c r="J181" s="2667"/>
      <c r="K181" s="2667"/>
      <c r="L181" s="2668"/>
      <c r="M181" s="2667"/>
      <c r="N181" s="2667"/>
      <c r="O181" s="2668"/>
      <c r="P181" s="2667"/>
      <c r="Q181" s="2667"/>
      <c r="R181" s="2669"/>
    </row>
    <row r="182" spans="1:18" s="888" customFormat="1">
      <c r="B182" s="2667"/>
      <c r="C182" s="2667"/>
      <c r="D182" s="2667"/>
      <c r="E182" s="2667"/>
      <c r="F182" s="2667"/>
      <c r="G182" s="2668"/>
      <c r="H182" s="2667"/>
      <c r="I182" s="2668"/>
      <c r="J182" s="2667"/>
      <c r="K182" s="2667"/>
      <c r="L182" s="2668"/>
      <c r="M182" s="2667"/>
      <c r="N182" s="2667"/>
      <c r="O182" s="2668"/>
      <c r="P182" s="2667"/>
      <c r="Q182" s="2667"/>
      <c r="R182" s="2669"/>
    </row>
    <row r="183" spans="1:18" s="888" customFormat="1">
      <c r="B183" s="2667"/>
      <c r="C183" s="2667"/>
      <c r="D183" s="2667"/>
      <c r="E183" s="2667"/>
      <c r="F183" s="2667"/>
      <c r="G183" s="2668"/>
      <c r="H183" s="2667"/>
      <c r="I183" s="2668"/>
      <c r="J183" s="2667"/>
      <c r="K183" s="2667"/>
      <c r="L183" s="2668"/>
      <c r="M183" s="2667"/>
      <c r="N183" s="2667"/>
      <c r="O183" s="2668"/>
      <c r="P183" s="2667"/>
      <c r="Q183" s="2667"/>
      <c r="R183" s="2669"/>
    </row>
    <row r="184" spans="1:18" s="888" customFormat="1">
      <c r="B184" s="2667"/>
      <c r="C184" s="2667"/>
      <c r="D184" s="2667"/>
      <c r="E184" s="2667"/>
      <c r="F184" s="2667"/>
      <c r="G184" s="2668"/>
      <c r="H184" s="2667"/>
      <c r="I184" s="2668"/>
      <c r="J184" s="2667"/>
      <c r="K184" s="2667"/>
      <c r="L184" s="2668"/>
      <c r="M184" s="2667"/>
      <c r="N184" s="2667"/>
      <c r="O184" s="2668"/>
      <c r="P184" s="2667"/>
      <c r="Q184" s="2667"/>
      <c r="R184" s="2669"/>
    </row>
    <row r="185" spans="1:18" s="888" customFormat="1">
      <c r="B185" s="2667"/>
      <c r="C185" s="2667"/>
      <c r="D185" s="2667"/>
      <c r="E185" s="2667"/>
      <c r="F185" s="2667"/>
      <c r="G185" s="2668"/>
      <c r="H185" s="2667"/>
      <c r="I185" s="2668"/>
      <c r="J185" s="2667"/>
      <c r="K185" s="2667"/>
      <c r="L185" s="2668"/>
      <c r="M185" s="2667"/>
      <c r="N185" s="2667"/>
      <c r="O185" s="2668"/>
      <c r="P185" s="2667"/>
      <c r="Q185" s="2667"/>
      <c r="R185" s="2669"/>
    </row>
    <row r="186" spans="1:18">
      <c r="A186" s="888"/>
      <c r="B186" s="2667"/>
      <c r="C186" s="2667"/>
      <c r="E186" s="2667"/>
      <c r="F186" s="2667"/>
      <c r="G186" s="2668"/>
    </row>
    <row r="187" spans="1:18">
      <c r="A187" s="888"/>
      <c r="B187" s="2667"/>
      <c r="C187" s="2667"/>
      <c r="E187" s="2667"/>
      <c r="F187" s="2667"/>
      <c r="G187" s="266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689" customWidth="1"/>
    <col min="2" max="9" width="15.75" style="2689" customWidth="1"/>
    <col min="10" max="16384" width="9" style="2689"/>
  </cols>
  <sheetData>
    <row r="1" spans="1:11" ht="16.5">
      <c r="A1" s="2688" t="s">
        <v>1090</v>
      </c>
      <c r="B1" s="2688">
        <f>SUM(B14:B23)</f>
        <v>6531.86</v>
      </c>
      <c r="C1" s="2865"/>
      <c r="D1" s="2865"/>
      <c r="E1" s="2865"/>
      <c r="F1" s="2865"/>
      <c r="G1" s="2866"/>
      <c r="H1" s="2867"/>
      <c r="I1" s="2867"/>
      <c r="J1" s="2867"/>
      <c r="K1" s="2867"/>
    </row>
    <row r="2" spans="1:11" ht="16.5">
      <c r="A2" s="2688" t="s">
        <v>1078</v>
      </c>
      <c r="B2" s="2688">
        <f>SUM(C14:C23)</f>
        <v>0</v>
      </c>
      <c r="C2" s="2865"/>
      <c r="D2" s="2865"/>
      <c r="E2" s="2865"/>
      <c r="F2" s="2865"/>
      <c r="G2" s="2866"/>
      <c r="H2" s="2867"/>
      <c r="I2" s="2867"/>
      <c r="J2" s="2867"/>
      <c r="K2" s="2867"/>
    </row>
    <row r="3" spans="1:11" ht="16.5">
      <c r="A3" s="2688" t="s">
        <v>1087</v>
      </c>
      <c r="B3" s="2690">
        <f>项目基本情况!D3</f>
        <v>44869</v>
      </c>
      <c r="C3" s="2865"/>
      <c r="D3" s="2865"/>
      <c r="E3" s="2865"/>
      <c r="F3" s="2865"/>
      <c r="G3" s="2866"/>
      <c r="H3" s="2867"/>
      <c r="I3" s="2867"/>
      <c r="J3" s="2867"/>
      <c r="K3" s="2867"/>
    </row>
    <row r="4" spans="1:11" ht="33">
      <c r="A4" s="2688" t="s">
        <v>1086</v>
      </c>
      <c r="B4" s="2688" t="s">
        <v>1085</v>
      </c>
      <c r="C4" s="2688" t="s">
        <v>1084</v>
      </c>
      <c r="D4" s="2688" t="s">
        <v>1083</v>
      </c>
      <c r="E4" s="2865"/>
      <c r="F4" s="2866"/>
      <c r="G4" s="2866"/>
      <c r="H4" s="2867"/>
      <c r="I4" s="2867"/>
      <c r="J4" s="2867"/>
      <c r="K4" s="2867"/>
    </row>
    <row r="5" spans="1:11" ht="16.5">
      <c r="A5" s="2688" t="s">
        <v>1082</v>
      </c>
      <c r="B5" s="2688">
        <f ca="1">SUM(D14:D23)</f>
        <v>18063</v>
      </c>
      <c r="C5" s="2688">
        <f ca="1">ROUND(B5*10000/$B$1,0)</f>
        <v>27654</v>
      </c>
      <c r="D5" s="2688" t="e">
        <f ca="1">ROUND(B5*10000/$B$2,0)</f>
        <v>#DIV/0!</v>
      </c>
      <c r="E5" s="2865"/>
      <c r="F5" s="2866"/>
      <c r="G5" s="2866"/>
      <c r="H5" s="2867"/>
      <c r="I5" s="2867"/>
      <c r="J5" s="2867"/>
      <c r="K5" s="2867"/>
    </row>
    <row r="6" spans="1:11" ht="16.5">
      <c r="A6" s="2688" t="s">
        <v>1081</v>
      </c>
      <c r="B6" s="2688">
        <f ca="1">SUM(G14:G23)</f>
        <v>14855</v>
      </c>
      <c r="C6" s="2688">
        <f ca="1">ROUND(B6*10000/$B$1,0)</f>
        <v>22742</v>
      </c>
      <c r="D6" s="2688" t="e">
        <f ca="1">ROUND(B6*10000/$B$2,0)</f>
        <v>#DIV/0!</v>
      </c>
      <c r="E6" s="2865"/>
      <c r="F6" s="2866"/>
      <c r="G6" s="2866"/>
      <c r="H6" s="2867"/>
      <c r="I6" s="2867"/>
      <c r="J6" s="2867"/>
      <c r="K6" s="2867"/>
    </row>
    <row r="7" spans="1:11" ht="16.5">
      <c r="A7" s="2688" t="s">
        <v>1089</v>
      </c>
      <c r="B7" s="2688">
        <f>SUM(H14:H23)</f>
        <v>0</v>
      </c>
      <c r="C7" s="2688">
        <f>ROUND(B7*10000/$B$1,0)</f>
        <v>0</v>
      </c>
      <c r="D7" s="2688" t="e">
        <f>ROUND(B7*10000/$B$2,0)</f>
        <v>#DIV/0!</v>
      </c>
      <c r="E7" s="2865"/>
      <c r="F7" s="2866"/>
      <c r="G7" s="2866"/>
      <c r="H7" s="2867"/>
      <c r="I7" s="2867"/>
      <c r="J7" s="2867"/>
      <c r="K7" s="2867"/>
    </row>
    <row r="8" spans="1:11" ht="16.5">
      <c r="A8" s="2688" t="s">
        <v>1012</v>
      </c>
      <c r="B8" s="2688">
        <f>SUM(I14:I23)</f>
        <v>0</v>
      </c>
      <c r="C8" s="2688">
        <f>ROUND(B8*10000/$B$1,0)</f>
        <v>0</v>
      </c>
      <c r="D8" s="2688" t="e">
        <f>ROUND(B8*10000/$B$2,0)</f>
        <v>#DIV/0!</v>
      </c>
      <c r="E8" s="2865"/>
      <c r="F8" s="2866"/>
      <c r="G8" s="2866"/>
      <c r="H8" s="2867"/>
      <c r="I8" s="2867"/>
      <c r="J8" s="2867"/>
      <c r="K8" s="2867"/>
    </row>
    <row r="9" spans="1:11" ht="16.5">
      <c r="A9" s="2688" t="s">
        <v>1080</v>
      </c>
      <c r="B9" s="2696"/>
      <c r="C9" s="2865"/>
      <c r="D9" s="2865"/>
      <c r="E9" s="2865"/>
      <c r="F9" s="2866"/>
      <c r="G9" s="2866"/>
      <c r="H9" s="2867"/>
      <c r="I9" s="2867"/>
      <c r="J9" s="2867"/>
      <c r="K9" s="2867"/>
    </row>
    <row r="10" spans="1:11" ht="16.5">
      <c r="A10" s="2688" t="s">
        <v>1079</v>
      </c>
      <c r="B10" s="2696"/>
      <c r="C10" s="2865"/>
      <c r="D10" s="2865"/>
      <c r="E10" s="2865"/>
      <c r="F10" s="2866"/>
      <c r="G10" s="2866"/>
      <c r="H10" s="2867"/>
      <c r="I10" s="2867"/>
      <c r="J10" s="2867"/>
      <c r="K10" s="2867"/>
    </row>
    <row r="11" spans="1:11" ht="16.5">
      <c r="A11" s="2688" t="s">
        <v>1095</v>
      </c>
      <c r="B11" s="2696"/>
      <c r="C11" s="2865"/>
      <c r="D11" s="2865"/>
      <c r="E11" s="2865"/>
      <c r="F11" s="2866"/>
      <c r="G11" s="2866"/>
      <c r="H11" s="2867"/>
      <c r="I11" s="2867"/>
      <c r="J11" s="2867"/>
      <c r="K11" s="2867"/>
    </row>
    <row r="12" spans="1:11" ht="16.5">
      <c r="A12" s="2865"/>
      <c r="B12" s="2865"/>
      <c r="C12" s="2865"/>
      <c r="D12" s="2865"/>
      <c r="E12" s="2865"/>
      <c r="F12" s="2866"/>
      <c r="G12" s="2866"/>
      <c r="H12" s="2867"/>
      <c r="I12" s="2867"/>
      <c r="J12" s="2867"/>
      <c r="K12" s="2867"/>
    </row>
    <row r="13" spans="1:11" ht="33">
      <c r="A13" s="2691" t="s">
        <v>1094</v>
      </c>
      <c r="B13" s="2692" t="s">
        <v>1091</v>
      </c>
      <c r="C13" s="2692" t="s">
        <v>1093</v>
      </c>
      <c r="D13" s="2692" t="s">
        <v>1092</v>
      </c>
      <c r="E13" s="2688" t="s">
        <v>1084</v>
      </c>
      <c r="F13" s="2688" t="s">
        <v>1083</v>
      </c>
      <c r="G13" s="2692" t="s">
        <v>1077</v>
      </c>
      <c r="H13" s="2692" t="s">
        <v>1088</v>
      </c>
      <c r="I13" s="2692" t="s">
        <v>1076</v>
      </c>
      <c r="J13" s="2866"/>
      <c r="K13" s="2867"/>
    </row>
    <row r="14" spans="1:11" ht="16.5">
      <c r="A14" s="2693" t="s">
        <v>1075</v>
      </c>
      <c r="B14" s="2694">
        <f>结果表!B118</f>
        <v>6531.86</v>
      </c>
      <c r="C14" s="2694">
        <f>结果表!C118</f>
        <v>0</v>
      </c>
      <c r="D14" s="2694">
        <f ca="1">结果表!H118</f>
        <v>18063</v>
      </c>
      <c r="E14" s="2694">
        <f ca="1">ROUND(D14*10000/B14,0)</f>
        <v>27654</v>
      </c>
      <c r="F14" s="2694" t="e">
        <f ca="1">ROUND(D14*10000/C14,0)</f>
        <v>#DIV/0!</v>
      </c>
      <c r="G14" s="2694">
        <f ca="1">结果表!D122</f>
        <v>14855</v>
      </c>
      <c r="H14" s="2694" t="str">
        <f>结果表!D124</f>
        <v>——</v>
      </c>
      <c r="I14" s="2694" t="str">
        <f>结果表!D126</f>
        <v>——</v>
      </c>
      <c r="J14" s="2866"/>
      <c r="K14" s="2867"/>
    </row>
    <row r="15" spans="1:11" ht="16.5">
      <c r="A15" s="2693" t="s">
        <v>1074</v>
      </c>
      <c r="B15" s="2695"/>
      <c r="C15" s="2695"/>
      <c r="D15" s="2695"/>
      <c r="E15" s="2694" t="e">
        <f t="shared" ref="E15:E23" si="0">ROUND(D15*10000/B15,0)</f>
        <v>#DIV/0!</v>
      </c>
      <c r="F15" s="2694" t="e">
        <f t="shared" ref="F15:F23" si="1">ROUND(D15*10000/C15,0)</f>
        <v>#DIV/0!</v>
      </c>
      <c r="G15" s="1452"/>
      <c r="H15" s="1452"/>
      <c r="I15" s="2695"/>
      <c r="J15" s="2866"/>
      <c r="K15" s="2867"/>
    </row>
    <row r="16" spans="1:11" ht="16.5">
      <c r="A16" s="2693" t="s">
        <v>1073</v>
      </c>
      <c r="B16" s="2695"/>
      <c r="C16" s="2695"/>
      <c r="D16" s="2695"/>
      <c r="E16" s="2694" t="e">
        <f t="shared" si="0"/>
        <v>#DIV/0!</v>
      </c>
      <c r="F16" s="2694" t="e">
        <f t="shared" si="1"/>
        <v>#DIV/0!</v>
      </c>
      <c r="G16" s="1452"/>
      <c r="H16" s="1452"/>
      <c r="I16" s="2695"/>
      <c r="J16" s="2867"/>
      <c r="K16" s="2867"/>
    </row>
    <row r="17" spans="1:11" ht="16.5">
      <c r="A17" s="2693" t="s">
        <v>1072</v>
      </c>
      <c r="B17" s="2695"/>
      <c r="C17" s="2695"/>
      <c r="D17" s="2695"/>
      <c r="E17" s="2694" t="e">
        <f t="shared" si="0"/>
        <v>#DIV/0!</v>
      </c>
      <c r="F17" s="2694" t="e">
        <f t="shared" si="1"/>
        <v>#DIV/0!</v>
      </c>
      <c r="G17" s="1452"/>
      <c r="H17" s="1452"/>
      <c r="I17" s="2695"/>
      <c r="J17" s="2867"/>
      <c r="K17" s="2867"/>
    </row>
    <row r="18" spans="1:11" ht="16.5">
      <c r="A18" s="2693" t="s">
        <v>1071</v>
      </c>
      <c r="B18" s="2695"/>
      <c r="C18" s="2695"/>
      <c r="D18" s="2695"/>
      <c r="E18" s="2694" t="e">
        <f t="shared" si="0"/>
        <v>#DIV/0!</v>
      </c>
      <c r="F18" s="2694" t="e">
        <f t="shared" si="1"/>
        <v>#DIV/0!</v>
      </c>
      <c r="G18" s="2695"/>
      <c r="H18" s="2695"/>
      <c r="I18" s="2695"/>
      <c r="J18" s="2867"/>
      <c r="K18" s="2867"/>
    </row>
    <row r="19" spans="1:11" ht="16.5">
      <c r="A19" s="2693" t="s">
        <v>1070</v>
      </c>
      <c r="B19" s="2695"/>
      <c r="C19" s="2695"/>
      <c r="D19" s="2695"/>
      <c r="E19" s="2694" t="e">
        <f t="shared" si="0"/>
        <v>#DIV/0!</v>
      </c>
      <c r="F19" s="2694" t="e">
        <f t="shared" si="1"/>
        <v>#DIV/0!</v>
      </c>
      <c r="G19" s="2695"/>
      <c r="H19" s="2695"/>
      <c r="I19" s="2695"/>
      <c r="J19" s="2867"/>
      <c r="K19" s="2867"/>
    </row>
    <row r="20" spans="1:11" ht="16.5">
      <c r="A20" s="2693" t="s">
        <v>1069</v>
      </c>
      <c r="B20" s="2695"/>
      <c r="C20" s="2695"/>
      <c r="D20" s="2695"/>
      <c r="E20" s="2694" t="e">
        <f t="shared" si="0"/>
        <v>#DIV/0!</v>
      </c>
      <c r="F20" s="2694" t="e">
        <f t="shared" si="1"/>
        <v>#DIV/0!</v>
      </c>
      <c r="G20" s="2695"/>
      <c r="H20" s="2695"/>
      <c r="I20" s="2695"/>
      <c r="J20" s="2867"/>
      <c r="K20" s="2867"/>
    </row>
    <row r="21" spans="1:11" ht="16.5">
      <c r="A21" s="2693" t="s">
        <v>1068</v>
      </c>
      <c r="B21" s="2695"/>
      <c r="C21" s="2695"/>
      <c r="D21" s="2695"/>
      <c r="E21" s="2694" t="e">
        <f t="shared" si="0"/>
        <v>#DIV/0!</v>
      </c>
      <c r="F21" s="2694" t="e">
        <f t="shared" si="1"/>
        <v>#DIV/0!</v>
      </c>
      <c r="G21" s="2695"/>
      <c r="H21" s="2695"/>
      <c r="I21" s="2695"/>
      <c r="J21" s="2867"/>
      <c r="K21" s="2867"/>
    </row>
    <row r="22" spans="1:11" ht="16.5">
      <c r="A22" s="2693" t="s">
        <v>1067</v>
      </c>
      <c r="B22" s="2695"/>
      <c r="C22" s="2695"/>
      <c r="D22" s="2695"/>
      <c r="E22" s="2694" t="e">
        <f t="shared" si="0"/>
        <v>#DIV/0!</v>
      </c>
      <c r="F22" s="2694" t="e">
        <f t="shared" si="1"/>
        <v>#DIV/0!</v>
      </c>
      <c r="G22" s="2695"/>
      <c r="H22" s="2695"/>
      <c r="I22" s="2695"/>
      <c r="J22" s="2867"/>
      <c r="K22" s="2867"/>
    </row>
    <row r="23" spans="1:11" ht="16.5">
      <c r="A23" s="2693" t="s">
        <v>1066</v>
      </c>
      <c r="B23" s="2695"/>
      <c r="C23" s="2695"/>
      <c r="D23" s="2695"/>
      <c r="E23" s="2696" t="e">
        <f t="shared" si="0"/>
        <v>#DIV/0!</v>
      </c>
      <c r="F23" s="2696" t="e">
        <f t="shared" si="1"/>
        <v>#DIV/0!</v>
      </c>
      <c r="G23" s="2695"/>
      <c r="H23" s="2695"/>
      <c r="I23" s="2695"/>
      <c r="J23" s="2867"/>
      <c r="K23" s="2867"/>
    </row>
    <row r="24" spans="1:11">
      <c r="A24" s="2867"/>
      <c r="B24" s="2867"/>
      <c r="C24" s="2867"/>
      <c r="D24" s="2867"/>
      <c r="E24" s="2867"/>
      <c r="F24" s="2867"/>
      <c r="G24" s="2867"/>
      <c r="H24" s="2867"/>
      <c r="I24" s="2867"/>
      <c r="J24" s="2867"/>
      <c r="K24" s="2867"/>
    </row>
    <row r="25" spans="1:11">
      <c r="A25" s="2867"/>
      <c r="B25" s="2867"/>
      <c r="C25" s="2867"/>
      <c r="D25" s="2867"/>
      <c r="E25" s="2867"/>
      <c r="F25" s="2867"/>
      <c r="G25" s="2867"/>
      <c r="H25" s="2867"/>
      <c r="I25" s="2867"/>
      <c r="J25" s="2867"/>
      <c r="K25" s="2867"/>
    </row>
    <row r="26" spans="1:11">
      <c r="A26" s="2867"/>
      <c r="B26" s="2867"/>
      <c r="C26" s="2867"/>
      <c r="D26" s="2867"/>
      <c r="E26" s="2867"/>
      <c r="F26" s="2867"/>
      <c r="G26" s="2867"/>
      <c r="H26" s="2867"/>
      <c r="I26" s="2867"/>
      <c r="J26" s="2867"/>
      <c r="K26" s="286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70" zoomScaleNormal="100" zoomScaleSheetLayoutView="70" zoomScalePageLayoutView="80" workbookViewId="0">
      <selection activeCell="F29" sqref="F29"/>
    </sheetView>
  </sheetViews>
  <sheetFormatPr defaultColWidth="12.625" defaultRowHeight="21.75" customHeight="1"/>
  <cols>
    <col min="1" max="2" width="12.625" style="1890"/>
    <col min="3" max="4" width="12.625" style="1890" customWidth="1"/>
    <col min="5" max="9" width="12.625" style="1890"/>
    <col min="10" max="11" width="12.625" style="734" customWidth="1"/>
    <col min="12" max="12" width="12.625" style="734"/>
    <col min="13" max="13" width="14.125" style="734" bestFit="1" customWidth="1"/>
    <col min="14" max="26" width="12.625" style="734"/>
    <col min="27" max="35" width="12.625" style="1889"/>
    <col min="36" max="16384" width="12.625" style="1890"/>
  </cols>
  <sheetData>
    <row r="1" spans="1:12" ht="21.75" customHeight="1" thickBot="1">
      <c r="A1" s="1773" t="s">
        <v>1706</v>
      </c>
      <c r="B1" s="1884"/>
      <c r="C1" s="1885"/>
      <c r="D1" s="1884"/>
      <c r="E1" s="1884"/>
      <c r="F1" s="1886" t="s">
        <v>1707</v>
      </c>
      <c r="G1" s="1697"/>
      <c r="H1" s="1887" t="str">
        <f>IF(G1="现房","——","估价对象范围")</f>
        <v>估价对象范围</v>
      </c>
      <c r="I1" s="1888"/>
    </row>
    <row r="2" spans="1:12" ht="21.75" customHeight="1" thickBot="1">
      <c r="A2" s="3394" t="str">
        <f>项目基本情况!S2</f>
        <v>北京市房地产</v>
      </c>
      <c r="B2" s="3395"/>
      <c r="C2" s="3395"/>
      <c r="D2" s="3395"/>
      <c r="E2" s="3395"/>
      <c r="F2" s="3395"/>
      <c r="G2" s="3395"/>
      <c r="H2" s="3395"/>
      <c r="I2" s="3396"/>
    </row>
    <row r="3" spans="1:12" ht="12.75">
      <c r="A3" s="3398" t="s">
        <v>1708</v>
      </c>
      <c r="B3" s="3399"/>
      <c r="C3" s="3399"/>
      <c r="D3" s="3399"/>
      <c r="E3" s="3399"/>
      <c r="F3" s="3399"/>
      <c r="G3" s="3399"/>
      <c r="H3" s="3399"/>
      <c r="I3" s="3399"/>
    </row>
    <row r="4" spans="1:12" ht="14.25">
      <c r="A4" s="1891" t="s">
        <v>1709</v>
      </c>
      <c r="B4" s="1892" t="s">
        <v>1710</v>
      </c>
      <c r="C4" s="1893" t="s">
        <v>3192</v>
      </c>
      <c r="D4" s="1893" t="s">
        <v>3185</v>
      </c>
      <c r="E4" s="3403" t="s">
        <v>1711</v>
      </c>
      <c r="F4" s="3404"/>
      <c r="G4" s="3404"/>
      <c r="H4" s="3404"/>
      <c r="I4" s="3405"/>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39" t="s">
        <v>1712</v>
      </c>
      <c r="B5" s="3397">
        <v>25</v>
      </c>
      <c r="C5" s="3400"/>
      <c r="D5" s="3388"/>
      <c r="E5" s="136" t="s">
        <v>1713</v>
      </c>
      <c r="F5" s="1894"/>
      <c r="G5" s="1894"/>
      <c r="H5" s="1894"/>
      <c r="I5" s="1508"/>
    </row>
    <row r="6" spans="1:12" ht="12.75">
      <c r="A6" s="3339"/>
      <c r="B6" s="3397"/>
      <c r="C6" s="3402"/>
      <c r="D6" s="3388"/>
      <c r="E6" s="136" t="s">
        <v>1714</v>
      </c>
      <c r="F6" s="1894"/>
      <c r="G6" s="1894"/>
      <c r="H6" s="1894"/>
      <c r="I6" s="1508"/>
    </row>
    <row r="7" spans="1:12" ht="12.75">
      <c r="A7" s="3339"/>
      <c r="B7" s="3397"/>
      <c r="C7" s="3401"/>
      <c r="D7" s="3388"/>
      <c r="E7" s="136" t="s">
        <v>1715</v>
      </c>
      <c r="F7" s="1894"/>
      <c r="G7" s="1894"/>
      <c r="H7" s="1894"/>
      <c r="I7" s="1508"/>
    </row>
    <row r="8" spans="1:12" ht="12.75">
      <c r="A8" s="3339" t="s">
        <v>1716</v>
      </c>
      <c r="B8" s="3397">
        <v>15</v>
      </c>
      <c r="C8" s="3400"/>
      <c r="D8" s="3388"/>
      <c r="E8" s="136" t="s">
        <v>1717</v>
      </c>
      <c r="F8" s="1894"/>
      <c r="G8" s="1894"/>
      <c r="H8" s="1894"/>
      <c r="I8" s="1508"/>
    </row>
    <row r="9" spans="1:12" ht="12.75">
      <c r="A9" s="3339"/>
      <c r="B9" s="3397"/>
      <c r="C9" s="3401"/>
      <c r="D9" s="3388"/>
      <c r="E9" s="136" t="s">
        <v>1718</v>
      </c>
      <c r="F9" s="1894"/>
      <c r="G9" s="1894"/>
      <c r="H9" s="1894"/>
      <c r="I9" s="1508"/>
    </row>
    <row r="10" spans="1:12" ht="12.75">
      <c r="A10" s="3339" t="s">
        <v>1719</v>
      </c>
      <c r="B10" s="3397">
        <v>15</v>
      </c>
      <c r="C10" s="3400"/>
      <c r="D10" s="3388"/>
      <c r="E10" s="136" t="s">
        <v>1720</v>
      </c>
      <c r="F10" s="1894"/>
      <c r="G10" s="1894"/>
      <c r="H10" s="1894"/>
      <c r="I10" s="1508"/>
    </row>
    <row r="11" spans="1:12" ht="12.75">
      <c r="A11" s="3339"/>
      <c r="B11" s="3397"/>
      <c r="C11" s="3401"/>
      <c r="D11" s="3388"/>
      <c r="E11" s="136" t="s">
        <v>1721</v>
      </c>
      <c r="F11" s="1894"/>
      <c r="G11" s="1894"/>
      <c r="H11" s="1894"/>
      <c r="I11" s="1508"/>
    </row>
    <row r="12" spans="1:12" ht="12.75">
      <c r="A12" s="3339" t="s">
        <v>1722</v>
      </c>
      <c r="B12" s="3397">
        <v>15</v>
      </c>
      <c r="C12" s="3400"/>
      <c r="D12" s="3388"/>
      <c r="E12" s="136" t="s">
        <v>1723</v>
      </c>
      <c r="F12" s="1894"/>
      <c r="G12" s="1894"/>
      <c r="H12" s="1894"/>
      <c r="I12" s="1508"/>
    </row>
    <row r="13" spans="1:12" ht="12.75">
      <c r="A13" s="3339"/>
      <c r="B13" s="3397"/>
      <c r="C13" s="3401"/>
      <c r="D13" s="3388"/>
      <c r="E13" s="136" t="s">
        <v>1724</v>
      </c>
      <c r="F13" s="1894"/>
      <c r="G13" s="1894"/>
      <c r="H13" s="1894"/>
      <c r="I13" s="1508"/>
    </row>
    <row r="14" spans="1:12" ht="12.75">
      <c r="A14" s="3339" t="s">
        <v>1725</v>
      </c>
      <c r="B14" s="3397">
        <v>30</v>
      </c>
      <c r="C14" s="3400">
        <v>4</v>
      </c>
      <c r="D14" s="3388">
        <v>6</v>
      </c>
      <c r="E14" s="136" t="s">
        <v>1726</v>
      </c>
      <c r="F14" s="1894"/>
      <c r="G14" s="1894"/>
      <c r="H14" s="1894"/>
      <c r="I14" s="1508"/>
    </row>
    <row r="15" spans="1:12" ht="12.75">
      <c r="A15" s="3339"/>
      <c r="B15" s="3397"/>
      <c r="C15" s="3402"/>
      <c r="D15" s="3388"/>
      <c r="E15" s="136" t="s">
        <v>1727</v>
      </c>
      <c r="F15" s="1894"/>
      <c r="G15" s="1894"/>
      <c r="H15" s="1894"/>
      <c r="I15" s="1508"/>
    </row>
    <row r="16" spans="1:12" ht="12.75">
      <c r="A16" s="3339"/>
      <c r="B16" s="3397"/>
      <c r="C16" s="3401"/>
      <c r="D16" s="3388"/>
      <c r="E16" s="136" t="s">
        <v>1728</v>
      </c>
      <c r="F16" s="1894"/>
      <c r="G16" s="1894"/>
      <c r="H16" s="1894"/>
      <c r="I16" s="1508"/>
    </row>
    <row r="17" spans="1:36" ht="15">
      <c r="A17" s="1895" t="s">
        <v>1729</v>
      </c>
      <c r="B17" s="60"/>
      <c r="C17" s="137">
        <f>SUM(C5:C16)</f>
        <v>4</v>
      </c>
      <c r="D17" s="137">
        <f>SUM(D5:D16)</f>
        <v>6</v>
      </c>
      <c r="E17" s="134"/>
      <c r="F17" s="134"/>
      <c r="G17" s="134"/>
      <c r="H17" s="134"/>
      <c r="I17" s="134"/>
      <c r="K17" s="308"/>
      <c r="L17" s="308" t="s">
        <v>1730</v>
      </c>
      <c r="M17" s="308" t="s">
        <v>1731</v>
      </c>
    </row>
    <row r="18" spans="1:36" ht="31.9" customHeight="1" thickBot="1">
      <c r="A18" s="1896" t="s">
        <v>1732</v>
      </c>
      <c r="B18" s="1897"/>
      <c r="C18" s="138">
        <f>ROUND(C17/SUM(C17:D17),2)</f>
        <v>0.4</v>
      </c>
      <c r="D18" s="138">
        <f>1-C18</f>
        <v>0.6</v>
      </c>
      <c r="E18" s="3419" t="s">
        <v>2631</v>
      </c>
      <c r="F18" s="3420"/>
      <c r="G18" s="3420"/>
      <c r="H18" s="3420"/>
      <c r="I18" s="3420"/>
      <c r="K18" s="308" t="s">
        <v>1733</v>
      </c>
      <c r="L18" s="308">
        <f>IF(C1="",'数据-汇总表'!E3,SUMIF(项目类型,C1,'数据-汇总表'!E17:E26)+SUMIF(项目类型,C1,'数据-汇总表'!I17:I26))</f>
        <v>6531.86</v>
      </c>
      <c r="M18" s="308">
        <f>IF(C1="",'数据-汇总表'!E3,SUMIF(项目类型,C1,'数据-汇总表'!E17:E26))</f>
        <v>6531.86</v>
      </c>
    </row>
    <row r="19" spans="1:36" ht="15">
      <c r="A19" s="1898" t="s">
        <v>1734</v>
      </c>
      <c r="B19" s="1899" t="s">
        <v>1735</v>
      </c>
      <c r="C19" s="139">
        <f ca="1">SUMIF(INDIRECT("'"&amp;C4&amp;"'"&amp;"!A:A"),结果表!B19,INDIRECT("'"&amp;C4&amp;"'"&amp;"!B:B"))</f>
        <v>21778</v>
      </c>
      <c r="D19" s="140">
        <f ca="1">SUMIF(INDIRECT("'"&amp;D4&amp;"'"&amp;"!A:A"),结果表!B19,INDIRECT("'"&amp;D4&amp;"'"&amp;"!B:B"))</f>
        <v>15586</v>
      </c>
      <c r="E19" s="1898" t="s">
        <v>1736</v>
      </c>
      <c r="F19" s="1899" t="s">
        <v>1735</v>
      </c>
      <c r="G19" s="141">
        <f ca="1">ROUND(C19*$C$18+D19*$D$18,0)</f>
        <v>18063</v>
      </c>
      <c r="H19" s="1900" t="s">
        <v>1737</v>
      </c>
      <c r="I19" s="134"/>
      <c r="K19" s="308" t="s">
        <v>1738</v>
      </c>
      <c r="L19" s="308">
        <f>IF(C1="",'数据-汇总表'!D3,SUMIF(项目类型,C1,'数据-汇总表'!D17:D26)+SUMIF(项目类型,C1,'数据-汇总表'!H17:H27))</f>
        <v>0</v>
      </c>
      <c r="M19" s="308">
        <f>IF(C1="",'数据-汇总表'!D3,SUMIF(项目类型,C1,'数据-汇总表'!D17:D26))</f>
        <v>0</v>
      </c>
    </row>
    <row r="20" spans="1:36" ht="15">
      <c r="A20" s="1901"/>
      <c r="B20" s="1138" t="s">
        <v>1739</v>
      </c>
      <c r="C20" s="142">
        <f ca="1">SUMIF(INDIRECT("'"&amp;C4&amp;"'"&amp;"!A:A"),结果表!B20,INDIRECT("'"&amp;C4&amp;"'"&amp;"!B:B"))</f>
        <v>33341</v>
      </c>
      <c r="D20" s="143">
        <f ca="1">SUMIF(INDIRECT("'"&amp;D4&amp;"'"&amp;"!A:A"),结果表!B20,INDIRECT("'"&amp;D4&amp;"'"&amp;"!B:B"))</f>
        <v>28791</v>
      </c>
      <c r="E20" s="1901"/>
      <c r="F20" s="1138" t="s">
        <v>1739</v>
      </c>
      <c r="G20" s="144">
        <f ca="1">ROUND(C20*$C$18+D20*$D$18,0)</f>
        <v>30611</v>
      </c>
      <c r="H20" s="898" t="s">
        <v>1740</v>
      </c>
      <c r="I20" s="134"/>
    </row>
    <row r="21" spans="1:36" ht="15" customHeight="1" thickBot="1">
      <c r="A21" s="918"/>
      <c r="B21" s="1902" t="s">
        <v>1741</v>
      </c>
      <c r="C21" s="728" t="e">
        <f ca="1">ROUND(C19*10000/L19,0)</f>
        <v>#DIV/0!</v>
      </c>
      <c r="D21" s="729" t="e">
        <f ca="1">ROUND(D19*10000/L19,0)</f>
        <v>#DIV/0!</v>
      </c>
      <c r="E21" s="918"/>
      <c r="F21" s="1902" t="s">
        <v>1741</v>
      </c>
      <c r="G21" s="145" t="e">
        <f ca="1">ROUND(G19*10000/L19,0)</f>
        <v>#DIV/0!</v>
      </c>
      <c r="H21" s="1903" t="s">
        <v>1740</v>
      </c>
      <c r="I21" s="134"/>
    </row>
    <row r="22" spans="1:36" ht="15" thickBot="1">
      <c r="A22" s="1825" t="s">
        <v>1742</v>
      </c>
      <c r="B22" s="1904"/>
      <c r="C22" s="1905"/>
      <c r="D22" s="730">
        <f ca="1">IF(C19&lt;D19,D19/C19-1,C19/D19-1)</f>
        <v>0.39727960990632627</v>
      </c>
      <c r="E22" s="134"/>
      <c r="F22" s="134"/>
      <c r="G22" s="134"/>
      <c r="H22" s="134"/>
      <c r="I22" s="134"/>
    </row>
    <row r="23" spans="1:36" ht="13.5" thickBot="1">
      <c r="A23" s="1884"/>
      <c r="B23" s="1884"/>
      <c r="C23" s="1884"/>
      <c r="D23" s="1884"/>
      <c r="E23" s="134"/>
      <c r="F23" s="134"/>
      <c r="G23" s="134"/>
      <c r="H23" s="134"/>
      <c r="I23" s="134"/>
    </row>
    <row r="24" spans="1:36" ht="14.25">
      <c r="A24" s="3412" t="s">
        <v>1743</v>
      </c>
      <c r="B24" s="1899" t="s">
        <v>1735</v>
      </c>
      <c r="C24" s="141">
        <f>IF(B30=0,0,D30)</f>
        <v>0</v>
      </c>
      <c r="D24" s="1906"/>
      <c r="E24" s="134"/>
      <c r="F24" s="134"/>
      <c r="G24" s="134"/>
      <c r="H24" s="134"/>
      <c r="I24" s="134"/>
    </row>
    <row r="25" spans="1:36" ht="14.25">
      <c r="A25" s="3413"/>
      <c r="B25" s="1138" t="s">
        <v>1739</v>
      </c>
      <c r="C25" s="146">
        <f>IF(B30=0,0,C30)</f>
        <v>0</v>
      </c>
      <c r="D25" s="1907"/>
      <c r="E25" s="134"/>
      <c r="F25" s="134"/>
      <c r="G25" s="134"/>
      <c r="H25" s="134"/>
      <c r="I25" s="134"/>
    </row>
    <row r="26" spans="1:36" ht="13.5" customHeight="1">
      <c r="A26" s="1908" t="s">
        <v>1744</v>
      </c>
      <c r="B26" s="147" t="s">
        <v>1745</v>
      </c>
      <c r="C26" s="147" t="s">
        <v>1746</v>
      </c>
      <c r="D26" s="148" t="s">
        <v>1747</v>
      </c>
      <c r="E26" s="134"/>
      <c r="F26" s="134"/>
      <c r="G26" s="134"/>
      <c r="H26" s="134"/>
      <c r="I26" s="134"/>
    </row>
    <row r="27" spans="1:36" ht="15">
      <c r="A27" s="3580"/>
      <c r="B27" s="147"/>
      <c r="C27" s="147"/>
      <c r="D27" s="148"/>
      <c r="E27" s="134"/>
      <c r="F27" s="134"/>
      <c r="G27" s="134"/>
      <c r="H27" s="134"/>
      <c r="I27" s="134"/>
    </row>
    <row r="28" spans="1:36" ht="14.25">
      <c r="A28" s="1908"/>
      <c r="B28" s="147"/>
      <c r="C28" s="147"/>
      <c r="D28" s="148"/>
      <c r="E28" s="134"/>
      <c r="F28" s="134"/>
      <c r="G28" s="134"/>
      <c r="H28" s="134"/>
      <c r="I28" s="134"/>
    </row>
    <row r="29" spans="1:36" ht="14.25">
      <c r="A29" s="1908"/>
      <c r="B29" s="147"/>
      <c r="C29" s="147"/>
      <c r="D29" s="148"/>
      <c r="E29" s="134"/>
      <c r="F29" s="134"/>
      <c r="G29" s="134"/>
      <c r="H29" s="134"/>
      <c r="I29" s="134"/>
    </row>
    <row r="30" spans="1:36" ht="15" thickBot="1">
      <c r="A30" s="147" t="s">
        <v>1748</v>
      </c>
      <c r="B30" s="147"/>
      <c r="C30" s="147"/>
      <c r="D30" s="147"/>
      <c r="E30" s="2472" t="s">
        <v>2632</v>
      </c>
      <c r="F30" s="134"/>
      <c r="G30" s="134"/>
      <c r="H30" s="134"/>
      <c r="I30" s="134"/>
    </row>
    <row r="31" spans="1:36" s="2478" customFormat="1" ht="26.45" customHeight="1" thickTop="1" thickBot="1">
      <c r="A31" s="2473"/>
      <c r="B31" s="2474"/>
      <c r="C31" s="2474"/>
      <c r="D31" s="2474"/>
      <c r="E31" s="2474"/>
      <c r="F31" s="2474"/>
      <c r="G31" s="2474"/>
      <c r="H31" s="2474"/>
      <c r="I31" s="2475" t="s">
        <v>2633</v>
      </c>
      <c r="J31" s="2868"/>
      <c r="K31" s="2476"/>
      <c r="L31" s="2476"/>
      <c r="M31" s="2476"/>
      <c r="N31" s="2476"/>
      <c r="O31" s="2476"/>
      <c r="P31" s="2476"/>
      <c r="Q31" s="2476"/>
      <c r="R31" s="2476"/>
      <c r="S31" s="2476"/>
      <c r="T31" s="2476"/>
      <c r="U31" s="2476"/>
      <c r="V31" s="2476"/>
      <c r="W31" s="2476"/>
      <c r="X31" s="2476"/>
      <c r="Y31" s="2476"/>
      <c r="Z31" s="2476"/>
      <c r="AA31" s="2476"/>
      <c r="AB31" s="2477"/>
      <c r="AC31" s="2477"/>
      <c r="AD31" s="2477"/>
      <c r="AE31" s="2477"/>
      <c r="AF31" s="2477"/>
      <c r="AG31" s="2477"/>
      <c r="AH31" s="2477"/>
      <c r="AI31" s="2477"/>
      <c r="AJ31" s="2477"/>
    </row>
    <row r="32" spans="1:36" ht="16.5" thickTop="1" thickBot="1">
      <c r="A32" s="1910" t="s">
        <v>1749</v>
      </c>
      <c r="B32" s="1911"/>
      <c r="C32" s="149">
        <f ca="1">IF(D32="总价",G19-C24,G20-C25)</f>
        <v>18063</v>
      </c>
      <c r="D32" s="1912" t="s">
        <v>3193</v>
      </c>
      <c r="E32" s="134"/>
      <c r="F32" s="134"/>
      <c r="G32" s="134"/>
      <c r="H32" s="134"/>
      <c r="I32" s="134"/>
    </row>
    <row r="33" spans="1:15" ht="15">
      <c r="A33" s="875" t="s">
        <v>1750</v>
      </c>
      <c r="B33" s="1913"/>
      <c r="C33" s="1914" t="s">
        <v>3194</v>
      </c>
      <c r="D33" s="1915" t="s">
        <v>3192</v>
      </c>
      <c r="E33" s="1916" t="s">
        <v>1751</v>
      </c>
      <c r="F33" s="1917" t="str">
        <f>IF(D32="楼面单价","取值（单价）","取值（总价）")</f>
        <v>取值（总价）</v>
      </c>
      <c r="G33" s="134"/>
      <c r="H33" s="134"/>
      <c r="I33" s="134"/>
    </row>
    <row r="34" spans="1:15" ht="15">
      <c r="A34" s="1918"/>
      <c r="B34" s="1919" t="s">
        <v>1752</v>
      </c>
      <c r="C34" s="153">
        <f ca="1">IF(C33="自定义",F34,C32-C35)</f>
        <v>16383</v>
      </c>
      <c r="D34" s="951">
        <f ca="1">IF(C33="自定义",ROUND(C34/C32,3),IF(C33="收益比率",SUMIF(INDIRECT("'"&amp;D33&amp;"'"&amp;"!b:b"),"土地收益比率",INDIRECT("'"&amp;D33&amp;"'"&amp;"!c:c")),SUMIF(INDIRECT("'"&amp;D33&amp;"'"&amp;"!b:b"),"土地成本比率",INDIRECT("'"&amp;D33&amp;"'"&amp;"!c:c"))))</f>
        <v>0.90700000000000003</v>
      </c>
      <c r="E34" s="1920" t="s">
        <v>1753</v>
      </c>
      <c r="F34" s="1451"/>
      <c r="G34" s="134"/>
      <c r="H34" s="134"/>
      <c r="I34" s="134"/>
    </row>
    <row r="35" spans="1:15" ht="15.75" thickBot="1">
      <c r="A35" s="1921"/>
      <c r="B35" s="1922" t="s">
        <v>1754</v>
      </c>
      <c r="C35" s="1285">
        <f ca="1">IF(C33="自定义",F35,ROUND(C32*D35,0))</f>
        <v>1680</v>
      </c>
      <c r="D35" s="1286">
        <f ca="1">IF(C33="自定义",ROUND(C35/C32,3),IF(C33="收益比率",SUMIF(INDIRECT("'"&amp;D33&amp;"'"&amp;"!b:b"),"建筑物收益比率",INDIRECT("'"&amp;D33&amp;"'"&amp;"!c:c")),SUMIF(INDIRECT("'"&amp;D33&amp;"'"&amp;"!b:b"),"建筑物成本比率",INDIRECT("'"&amp;D33&amp;"'"&amp;"!c:c"))))</f>
        <v>9.2999999999999999E-2</v>
      </c>
      <c r="E35" s="1923" t="s">
        <v>1755</v>
      </c>
      <c r="F35" s="159"/>
      <c r="G35" s="134"/>
      <c r="H35" s="134"/>
      <c r="I35" s="134"/>
    </row>
    <row r="36" spans="1:15" ht="15.75" thickBot="1">
      <c r="A36" s="3389" t="s">
        <v>1756</v>
      </c>
      <c r="B36" s="1924" t="s">
        <v>1757</v>
      </c>
      <c r="C36" s="150"/>
      <c r="D36" s="1925"/>
      <c r="E36" s="1926"/>
      <c r="F36" s="1927"/>
      <c r="G36" s="134"/>
      <c r="H36" s="134"/>
      <c r="I36" s="134"/>
    </row>
    <row r="37" spans="1:15" ht="15.75" thickBot="1">
      <c r="A37" s="3390"/>
      <c r="B37" s="1811" t="s">
        <v>1758</v>
      </c>
      <c r="C37" s="152"/>
      <c r="D37" s="1254"/>
      <c r="E37" s="1254"/>
      <c r="F37" s="1927"/>
      <c r="G37" s="134"/>
      <c r="H37" s="134"/>
      <c r="I37" s="134"/>
    </row>
    <row r="38" spans="1:15" ht="15.75" thickBot="1">
      <c r="A38" s="3391"/>
      <c r="B38" s="1928" t="s">
        <v>1759</v>
      </c>
      <c r="C38" s="683">
        <f>E40</f>
        <v>3208</v>
      </c>
      <c r="D38" s="1929" t="s">
        <v>1760</v>
      </c>
      <c r="E38" s="1254"/>
      <c r="F38" s="1927"/>
      <c r="G38" s="134"/>
      <c r="H38" s="134"/>
      <c r="I38" s="134"/>
    </row>
    <row r="39" spans="1:15" ht="15">
      <c r="A39" s="1901" t="s">
        <v>1761</v>
      </c>
      <c r="B39" s="1930" t="s">
        <v>1762</v>
      </c>
      <c r="C39" s="1931" t="s">
        <v>1763</v>
      </c>
      <c r="D39" s="1931" t="s">
        <v>1764</v>
      </c>
      <c r="E39" s="1932" t="s">
        <v>1765</v>
      </c>
      <c r="F39" s="1927"/>
      <c r="G39" s="134"/>
      <c r="H39" s="134"/>
      <c r="I39" s="134"/>
    </row>
    <row r="40" spans="1:15" ht="14.25">
      <c r="A40" s="1933" t="s">
        <v>1766</v>
      </c>
      <c r="B40" s="154">
        <f>'数据-汇总表'!F19</f>
        <v>5413.53</v>
      </c>
      <c r="C40" s="155">
        <f>[2]基准地价修正!$C$6*0.25</f>
        <v>5750</v>
      </c>
      <c r="D40" s="155">
        <v>1.0305</v>
      </c>
      <c r="E40" s="156">
        <f>ROUND(B40*C40*D40/10000,0)</f>
        <v>3208</v>
      </c>
      <c r="F40" s="1927"/>
      <c r="G40" s="134"/>
      <c r="H40" s="134"/>
      <c r="I40" s="134"/>
    </row>
    <row r="41" spans="1:15" ht="14.25">
      <c r="A41" s="1933" t="s">
        <v>1767</v>
      </c>
      <c r="B41" s="154"/>
      <c r="C41" s="155"/>
      <c r="D41" s="155"/>
      <c r="E41" s="156"/>
      <c r="F41" s="1927"/>
      <c r="G41" s="134"/>
      <c r="H41" s="134"/>
      <c r="I41" s="134"/>
    </row>
    <row r="42" spans="1:15" ht="15" thickBot="1">
      <c r="A42" s="1934"/>
      <c r="B42" s="157"/>
      <c r="C42" s="158"/>
      <c r="D42" s="158"/>
      <c r="E42" s="159"/>
      <c r="F42" s="1927"/>
      <c r="G42" s="134"/>
      <c r="H42" s="134"/>
      <c r="I42" s="134"/>
    </row>
    <row r="43" spans="1:15" ht="12.75">
      <c r="A43" s="1713"/>
      <c r="B43" s="1713"/>
      <c r="C43" s="1713"/>
      <c r="D43" s="1713"/>
      <c r="E43" s="1713"/>
      <c r="F43" s="1935"/>
      <c r="G43" s="1935"/>
      <c r="H43" s="1935"/>
      <c r="I43" s="1936"/>
    </row>
    <row r="44" spans="1:15" ht="18.75">
      <c r="A44" s="1937" t="s">
        <v>1768</v>
      </c>
      <c r="B44" s="1938"/>
      <c r="C44" s="1938"/>
      <c r="D44" s="1939"/>
      <c r="E44" s="1939"/>
      <c r="F44" s="1940"/>
      <c r="G44" s="1940"/>
      <c r="H44" s="1940"/>
      <c r="I44" s="1940"/>
      <c r="J44" s="1941" t="s">
        <v>1769</v>
      </c>
      <c r="K44" s="1942"/>
      <c r="L44" s="1942"/>
      <c r="M44" s="1942"/>
      <c r="N44" s="1942"/>
      <c r="O44" s="1942"/>
    </row>
    <row r="45" spans="1:15" ht="14.25" customHeight="1" thickBot="1">
      <c r="A45" s="3409" t="s">
        <v>1770</v>
      </c>
      <c r="B45" s="3410"/>
      <c r="C45" s="3411"/>
      <c r="D45" s="160">
        <f ca="1">ROUND(H101*F45,0)</f>
        <v>18063</v>
      </c>
      <c r="E45" s="161" t="s">
        <v>1771</v>
      </c>
      <c r="F45" s="162">
        <v>1</v>
      </c>
      <c r="G45" s="163" t="s">
        <v>1772</v>
      </c>
      <c r="H45" s="134"/>
      <c r="I45" s="134"/>
      <c r="J45" s="3326" t="s">
        <v>1773</v>
      </c>
      <c r="K45" s="3326"/>
      <c r="L45" s="3326"/>
      <c r="M45" s="3326"/>
      <c r="N45" s="3326"/>
      <c r="O45" s="3326"/>
    </row>
    <row r="46" spans="1:15" ht="14.25" customHeight="1">
      <c r="A46" s="3406" t="s">
        <v>1774</v>
      </c>
      <c r="B46" s="3407"/>
      <c r="C46" s="3407"/>
      <c r="D46" s="3407"/>
      <c r="E46" s="3407"/>
      <c r="F46" s="3407"/>
      <c r="G46" s="3408"/>
      <c r="H46" s="1943"/>
      <c r="I46" s="164"/>
      <c r="J46" s="2699">
        <v>1</v>
      </c>
      <c r="K46" s="3327" t="s">
        <v>1775</v>
      </c>
      <c r="L46" s="3327"/>
      <c r="M46" s="3328"/>
      <c r="N46" s="3328"/>
      <c r="O46" s="3328"/>
    </row>
    <row r="47" spans="1:15" ht="12" customHeight="1">
      <c r="A47" s="165" t="s">
        <v>1776</v>
      </c>
      <c r="B47" s="166"/>
      <c r="C47" s="167"/>
      <c r="D47" s="1200" t="s">
        <v>1777</v>
      </c>
      <c r="E47" s="308" t="s">
        <v>1778</v>
      </c>
      <c r="F47" s="168" t="s">
        <v>1779</v>
      </c>
      <c r="G47" s="2722" t="s">
        <v>1780</v>
      </c>
      <c r="H47" s="2723"/>
      <c r="I47" s="164"/>
      <c r="J47" s="2699">
        <v>2</v>
      </c>
      <c r="K47" s="3327" t="s">
        <v>1781</v>
      </c>
      <c r="L47" s="3327"/>
      <c r="M47" s="3329">
        <f>'数据-取费表'!B2</f>
        <v>44869</v>
      </c>
      <c r="N47" s="3329"/>
      <c r="O47" s="3329"/>
    </row>
    <row r="48" spans="1:15" ht="25.5">
      <c r="A48" s="3392" t="s">
        <v>1782</v>
      </c>
      <c r="B48" s="3393"/>
      <c r="C48" s="3393"/>
      <c r="D48" s="2498" t="b">
        <f>IF(H48="情况1",0,IF(H48="情况2",D52,IF(H48="情况3",D53,IF(H48="情况4",D54))))</f>
        <v>0</v>
      </c>
      <c r="E48" s="2508" t="str">
        <f>IF(H48="情况4","(销售额-原购置价)×税（费）率","销售额×税（费）率")</f>
        <v>销售额×税（费）率</v>
      </c>
      <c r="F48" s="2724">
        <f>IF(H48="情况1","免征",'数据-取费表'!B41)</f>
        <v>5.6000000000000001E-2</v>
      </c>
      <c r="G48" s="2725" t="s">
        <v>1783</v>
      </c>
      <c r="H48" s="2726"/>
      <c r="I48" s="1943"/>
      <c r="J48" s="2699">
        <v>3</v>
      </c>
      <c r="K48" s="3327" t="s">
        <v>1784</v>
      </c>
      <c r="L48" s="3327"/>
      <c r="M48" s="3330">
        <f ca="1">H101</f>
        <v>18063</v>
      </c>
      <c r="N48" s="3330"/>
      <c r="O48" s="3330"/>
    </row>
    <row r="49" spans="1:35" ht="25.5" customHeight="1">
      <c r="A49" s="2507" t="s">
        <v>1785</v>
      </c>
      <c r="B49" s="3375" t="s">
        <v>1786</v>
      </c>
      <c r="C49" s="3375"/>
      <c r="D49" s="1726">
        <v>0</v>
      </c>
      <c r="E49" s="330" t="s">
        <v>1787</v>
      </c>
      <c r="F49" s="2600" t="s">
        <v>34</v>
      </c>
      <c r="G49" s="3358"/>
      <c r="H49" s="2479" t="s">
        <v>2634</v>
      </c>
      <c r="I49" s="2480"/>
      <c r="J49" s="2699">
        <v>4</v>
      </c>
      <c r="K49" s="3327" t="str">
        <f>IF(项目基本情况!E8="房地产抵押价值","房地产抵押价值","抵押担保权已注销时的房地产抵押价值")</f>
        <v>房地产抵押价值</v>
      </c>
      <c r="L49" s="3327"/>
      <c r="M49" s="3330">
        <f ca="1">IF(项目基本情况!E8="房地产抵押价值",H107,H109)</f>
        <v>14855</v>
      </c>
      <c r="N49" s="3330"/>
      <c r="O49" s="3330"/>
    </row>
    <row r="50" spans="1:35" ht="25.5" customHeight="1">
      <c r="A50" s="2727"/>
      <c r="B50" s="3375" t="s">
        <v>1788</v>
      </c>
      <c r="C50" s="3375"/>
      <c r="D50" s="2728"/>
      <c r="E50" s="338"/>
      <c r="F50" s="2600"/>
      <c r="G50" s="3359"/>
      <c r="H50" s="2481" t="s">
        <v>2635</v>
      </c>
      <c r="I50" s="2480"/>
      <c r="J50" s="3326" t="s">
        <v>1789</v>
      </c>
      <c r="K50" s="3326"/>
      <c r="L50" s="3326"/>
      <c r="M50" s="3326"/>
      <c r="N50" s="3326"/>
      <c r="O50" s="3326"/>
    </row>
    <row r="51" spans="1:35" ht="20.45" customHeight="1">
      <c r="A51" s="2729"/>
      <c r="B51" s="3375" t="s">
        <v>1790</v>
      </c>
      <c r="C51" s="3375"/>
      <c r="D51" s="1200"/>
      <c r="E51" s="333"/>
      <c r="F51" s="2600"/>
      <c r="G51" s="3360"/>
      <c r="H51" s="2481" t="s">
        <v>2636</v>
      </c>
      <c r="I51" s="2480"/>
      <c r="J51" s="2700" t="s">
        <v>1791</v>
      </c>
      <c r="K51" s="3327" t="s">
        <v>1792</v>
      </c>
      <c r="L51" s="3327"/>
      <c r="M51" s="2700" t="s">
        <v>1793</v>
      </c>
      <c r="N51" s="2700" t="s">
        <v>1794</v>
      </c>
      <c r="O51" s="2700" t="s">
        <v>1795</v>
      </c>
    </row>
    <row r="52" spans="1:35" ht="24" customHeight="1">
      <c r="A52" s="2509" t="s">
        <v>1796</v>
      </c>
      <c r="B52" s="3375" t="s">
        <v>1797</v>
      </c>
      <c r="C52" s="3375"/>
      <c r="D52" s="1200">
        <f ca="1">ROUND(D45*'数据-取费表'!B41/(1+'数据-取费表'!C42),0)</f>
        <v>963</v>
      </c>
      <c r="E52" s="2508" t="s">
        <v>1798</v>
      </c>
      <c r="F52" s="2730">
        <f>'数据-取费表'!B41</f>
        <v>5.6000000000000001E-2</v>
      </c>
      <c r="G52" s="2731"/>
      <c r="H52" s="2720"/>
      <c r="I52" s="1944"/>
      <c r="J52" s="2699">
        <v>1</v>
      </c>
      <c r="K52" s="3352" t="s">
        <v>1799</v>
      </c>
      <c r="L52" s="3352"/>
      <c r="M52" s="2701" t="b">
        <f>D48</f>
        <v>0</v>
      </c>
      <c r="N52" s="2699" t="str">
        <f>E48</f>
        <v>销售额×税（费）率</v>
      </c>
      <c r="O52" s="2702">
        <f>F48</f>
        <v>5.6000000000000001E-2</v>
      </c>
    </row>
    <row r="53" spans="1:35" ht="12" customHeight="1">
      <c r="A53" s="2509" t="s">
        <v>1800</v>
      </c>
      <c r="B53" s="3376" t="s">
        <v>2791</v>
      </c>
      <c r="C53" s="3377"/>
      <c r="D53" s="1200">
        <f ca="1">ROUND(D45*'数据-取费表'!B41/(1+'数据-取费表'!C42),0)</f>
        <v>963</v>
      </c>
      <c r="E53" s="2508" t="s">
        <v>1798</v>
      </c>
      <c r="F53" s="2730">
        <f>'数据-取费表'!B41</f>
        <v>5.6000000000000001E-2</v>
      </c>
      <c r="G53" s="2731"/>
      <c r="H53" s="2720"/>
      <c r="I53" s="1944"/>
      <c r="J53" s="2699">
        <v>2</v>
      </c>
      <c r="K53" s="3352" t="s">
        <v>1801</v>
      </c>
      <c r="L53" s="3352"/>
      <c r="M53" s="2701">
        <f t="shared" ref="M53:O54" ca="1" si="0">D55</f>
        <v>9</v>
      </c>
      <c r="N53" s="2699" t="str">
        <f t="shared" si="0"/>
        <v>销售额×税（费）率</v>
      </c>
      <c r="O53" s="2702" t="str">
        <f t="shared" si="0"/>
        <v>免征</v>
      </c>
    </row>
    <row r="54" spans="1:35" ht="12" customHeight="1">
      <c r="A54" s="2509" t="s">
        <v>1802</v>
      </c>
      <c r="B54" s="3376" t="s">
        <v>2792</v>
      </c>
      <c r="C54" s="3377"/>
      <c r="D54" s="1200">
        <f ca="1">C68</f>
        <v>963</v>
      </c>
      <c r="E54" s="333" t="s">
        <v>1803</v>
      </c>
      <c r="F54" s="2730">
        <f>'数据-取费表'!B41</f>
        <v>5.6000000000000001E-2</v>
      </c>
      <c r="G54" s="2731"/>
      <c r="H54" s="2732"/>
      <c r="I54" s="1944"/>
      <c r="J54" s="2699">
        <v>3</v>
      </c>
      <c r="K54" s="3352" t="s">
        <v>1804</v>
      </c>
      <c r="L54" s="3352"/>
      <c r="M54" s="2701">
        <f t="shared" ca="1" si="0"/>
        <v>10224</v>
      </c>
      <c r="N54" s="2699" t="str">
        <f t="shared" si="0"/>
        <v>增值额×税（费）率</v>
      </c>
      <c r="O54" s="2703" t="str">
        <f t="shared" si="0"/>
        <v>免征</v>
      </c>
    </row>
    <row r="55" spans="1:35" ht="24" customHeight="1">
      <c r="A55" s="3415" t="s">
        <v>1805</v>
      </c>
      <c r="B55" s="3393"/>
      <c r="C55" s="3393"/>
      <c r="D55" s="2498">
        <f ca="1">IF(H55="个人住宅",0,ROUND(D45*I55,0))</f>
        <v>9</v>
      </c>
      <c r="E55" s="2508" t="s">
        <v>1806</v>
      </c>
      <c r="F55" s="2730" t="str">
        <f>IF(H55="正常",I55,"免征")</f>
        <v>免征</v>
      </c>
      <c r="G55" s="2731"/>
      <c r="H55" s="2726"/>
      <c r="I55" s="170">
        <f>'数据-取费表'!B49</f>
        <v>5.0000000000000001E-4</v>
      </c>
      <c r="J55" s="2699">
        <f>IF(H59="非个人房产","",4)</f>
        <v>4</v>
      </c>
      <c r="K55" s="3352" t="str">
        <f>IF(H59="非个人房产","——","个人所得税")</f>
        <v>个人所得税</v>
      </c>
      <c r="L55" s="3352"/>
      <c r="M55" s="2704">
        <f ca="1">D59</f>
        <v>172</v>
      </c>
      <c r="N55" s="2179" t="str">
        <f>E59</f>
        <v>差额计税</v>
      </c>
      <c r="O55" s="2705">
        <f>F59</f>
        <v>0.01</v>
      </c>
    </row>
    <row r="56" spans="1:35" ht="24.75">
      <c r="A56" s="3415" t="s">
        <v>1807</v>
      </c>
      <c r="B56" s="3393"/>
      <c r="C56" s="3393"/>
      <c r="D56" s="2498">
        <f ca="1">IF(H56="个人住宅",D57,D58)</f>
        <v>10224</v>
      </c>
      <c r="E56" s="2508" t="s">
        <v>1808</v>
      </c>
      <c r="F56" s="2730" t="str">
        <f>IF(H56="正常",F58,"免征")</f>
        <v>免征</v>
      </c>
      <c r="G56" s="2733" t="s">
        <v>1809</v>
      </c>
      <c r="H56" s="2734"/>
      <c r="I56" s="1945"/>
      <c r="J56" s="2699" t="str">
        <f>IF(项目基本情况!K6="上海银行",IF(J55="",4,J55+1),"")</f>
        <v/>
      </c>
      <c r="K56" s="3333" t="str">
        <f>IF(项目基本情况!K6="上海银行","其他处置费用","")</f>
        <v/>
      </c>
      <c r="L56" s="3334"/>
      <c r="M56" s="2701" t="str">
        <f>IF(项目基本情况!K6="上海银行",M69,"")</f>
        <v/>
      </c>
      <c r="N56" s="3333" t="str">
        <f>IF(项目基本情况!K6="上海银行","包含处置中涉及的律师、诉讼、拍卖、评估等费用","")</f>
        <v/>
      </c>
      <c r="O56" s="3336"/>
    </row>
    <row r="57" spans="1:35" ht="12.75">
      <c r="A57" s="2509" t="s">
        <v>1785</v>
      </c>
      <c r="B57" s="3376" t="s">
        <v>1810</v>
      </c>
      <c r="C57" s="3377"/>
      <c r="D57" s="1726">
        <v>0</v>
      </c>
      <c r="E57" s="330" t="s">
        <v>1787</v>
      </c>
      <c r="F57" s="308"/>
      <c r="G57" s="2731"/>
      <c r="H57" s="2735"/>
      <c r="I57" s="1945"/>
      <c r="J57" s="3352">
        <f>IF(AND(J55="",J56=""),4,IF(项目基本情况!K6="上海银行",结果表!J56+1,结果表!J55+1))</f>
        <v>5</v>
      </c>
      <c r="K57" s="3352" t="s">
        <v>1811</v>
      </c>
      <c r="L57" s="2706" t="s">
        <v>1812</v>
      </c>
      <c r="M57" s="2707"/>
      <c r="N57" s="2708">
        <f ca="1">SUMIF(M52:M56,"&lt;9e307")</f>
        <v>10405</v>
      </c>
      <c r="O57" s="2709"/>
      <c r="P57" s="2869">
        <f ca="1">N57/M49</f>
        <v>0.700437563110064</v>
      </c>
    </row>
    <row r="58" spans="1:35" ht="24.75">
      <c r="A58" s="2509" t="s">
        <v>1796</v>
      </c>
      <c r="B58" s="3376" t="s">
        <v>1813</v>
      </c>
      <c r="C58" s="3375"/>
      <c r="D58" s="2498">
        <f ca="1">IF(H58="转让取得",C81,C97)</f>
        <v>10224</v>
      </c>
      <c r="E58" s="2508" t="s">
        <v>1808</v>
      </c>
      <c r="F58" s="308" t="s">
        <v>34</v>
      </c>
      <c r="G58" s="2731"/>
      <c r="H58" s="2734"/>
      <c r="I58" s="1945"/>
      <c r="J58" s="3352"/>
      <c r="K58" s="3352"/>
      <c r="L58" s="2706" t="s">
        <v>1814</v>
      </c>
      <c r="M58" s="2710"/>
      <c r="N58" s="2711" t="str">
        <f ca="1">NUMBERSTRING(INT(N57*10000),2)&amp;"元整"</f>
        <v>壹亿零肆佰零伍万元整</v>
      </c>
      <c r="O58" s="2712"/>
    </row>
    <row r="59" spans="1:35" ht="24.75" thickBot="1">
      <c r="A59" s="3356" t="s">
        <v>1815</v>
      </c>
      <c r="B59" s="3357"/>
      <c r="C59" s="3357"/>
      <c r="D59" s="2736">
        <f ca="1">IF(H59="非个人房产","——",IF(H59="个人住宅（满五唯一有凭证）",0,IF(H59="个人其他（无凭证）",ROUND(D45*F59,0),ROUND(C67*F59,0))))</f>
        <v>172</v>
      </c>
      <c r="E59" s="2737" t="str">
        <f>IF(H59="非个人房产","——",IF(H59="个人其他（无凭证）","销售额×税（费）率",IF(H59="个人住宅（满五唯一有凭证）","免征","差额计税")))</f>
        <v>差额计税</v>
      </c>
      <c r="F59" s="2738">
        <f>IF(OR(H59="非个人房产",H59="个人住宅（满五唯一有凭证）"),"——",IF(H59="个人其他（有凭证）",20%,1%))</f>
        <v>0.01</v>
      </c>
      <c r="G59" s="2739" t="s">
        <v>1809</v>
      </c>
      <c r="H59" s="2483"/>
      <c r="I59" s="2482" t="s">
        <v>2637</v>
      </c>
      <c r="J59" s="3354">
        <f>J57+1</f>
        <v>6</v>
      </c>
      <c r="K59" s="3352" t="s">
        <v>1816</v>
      </c>
      <c r="L59" s="2699" t="s">
        <v>1812</v>
      </c>
      <c r="M59" s="2713"/>
      <c r="N59" s="2714">
        <f ca="1">M49-N57</f>
        <v>4450</v>
      </c>
      <c r="O59" s="2715"/>
    </row>
    <row r="60" spans="1:35" ht="12" customHeight="1">
      <c r="A60" s="1946"/>
      <c r="B60" s="1884"/>
      <c r="C60" s="1884"/>
      <c r="D60" s="1884"/>
      <c r="E60" s="1714"/>
      <c r="F60" s="1945"/>
      <c r="G60" s="1945"/>
      <c r="H60" s="1947"/>
      <c r="I60" s="134"/>
      <c r="J60" s="3355"/>
      <c r="K60" s="3352"/>
      <c r="L60" s="2706" t="s">
        <v>1814</v>
      </c>
      <c r="M60" s="2710"/>
      <c r="N60" s="2711" t="str">
        <f ca="1">NUMBERSTRING(INT(N59*10000),2)&amp;"元整"</f>
        <v>肆仟肆佰伍拾万元整</v>
      </c>
      <c r="O60" s="2712"/>
    </row>
    <row r="61" spans="1:35" ht="13.5" thickBot="1">
      <c r="A61" s="3414" t="s">
        <v>1817</v>
      </c>
      <c r="B61" s="3414"/>
      <c r="C61" s="3414"/>
      <c r="D61" s="3414"/>
      <c r="E61" s="3414"/>
      <c r="F61" s="1945"/>
      <c r="G61" s="1945"/>
      <c r="H61" s="1947"/>
      <c r="I61" s="134"/>
      <c r="J61" s="2699">
        <f>J59+1</f>
        <v>7</v>
      </c>
      <c r="K61" s="3352" t="s">
        <v>1818</v>
      </c>
      <c r="L61" s="3352"/>
      <c r="M61" s="2716"/>
      <c r="N61" s="2717">
        <f ca="1">ROUND(N59*10000/'数据-汇总表'!E3,0)</f>
        <v>6813</v>
      </c>
      <c r="O61" s="2718"/>
    </row>
    <row r="62" spans="1:35" ht="12.75">
      <c r="A62" s="3371" t="s">
        <v>1819</v>
      </c>
      <c r="B62" s="3372"/>
      <c r="C62" s="2160"/>
      <c r="D62" s="2160" t="s">
        <v>1820</v>
      </c>
      <c r="E62" s="171" t="s">
        <v>1821</v>
      </c>
      <c r="F62" s="1945"/>
      <c r="G62" s="1945"/>
      <c r="H62" s="1947"/>
      <c r="I62" s="134"/>
    </row>
    <row r="63" spans="1:35" ht="12.75">
      <c r="A63" s="178" t="s">
        <v>594</v>
      </c>
      <c r="B63" s="172" t="s">
        <v>1822</v>
      </c>
      <c r="C63" s="2740">
        <f ca="1">ROUND((C64+C65)/(1+'数据-取费表'!C42),0)</f>
        <v>17203</v>
      </c>
      <c r="D63" s="172"/>
      <c r="E63" s="173"/>
      <c r="F63" s="1945"/>
      <c r="G63" s="1945"/>
      <c r="H63" s="1947"/>
      <c r="I63" s="134"/>
      <c r="J63" s="3335" t="s">
        <v>1823</v>
      </c>
      <c r="K63" s="1453" t="s">
        <v>1824</v>
      </c>
      <c r="L63" s="1453">
        <f ca="1">IF(M49&gt;10000,M49*0.5%,IF(AND(M49&gt;1000,M49&lt;=10000),M49*1%,IF(AND(M49&gt;100,M49&lt;=1000),M49*3%,IF(AND(M49&gt;10,M49&lt;=100),M49*5%,M49*8%))))</f>
        <v>74.275000000000006</v>
      </c>
      <c r="M63" s="308">
        <f ca="1">ROUND(L63,1)</f>
        <v>74.3</v>
      </c>
      <c r="N63" s="2719"/>
      <c r="Z63" s="1889"/>
      <c r="AI63" s="1890"/>
    </row>
    <row r="64" spans="1:35" ht="14.25" customHeight="1">
      <c r="A64" s="174" t="s">
        <v>589</v>
      </c>
      <c r="B64" s="175" t="s">
        <v>1825</v>
      </c>
      <c r="C64" s="2741">
        <f ca="1">D45</f>
        <v>18063</v>
      </c>
      <c r="D64" s="175" t="s">
        <v>32</v>
      </c>
      <c r="E64" s="177"/>
      <c r="F64" s="1945"/>
      <c r="G64" s="1945"/>
      <c r="H64" s="1947"/>
      <c r="I64" s="134"/>
      <c r="J64" s="3335"/>
      <c r="K64" s="1453" t="s">
        <v>1826</v>
      </c>
      <c r="L64" s="1453">
        <f ca="1">IF(M49&gt;2000,M49*0.5%,IF(AND(M49&gt;1000,M49&lt;=2000),M49*0.6%,IF(AND(M49&gt;500,M49&lt;=1000),M49*0.7%,IF(AND(M49&gt;200,M49&lt;=500),M49*0.8%,IF(AND(M49&gt;100,M49&lt;=200),M49*0.9%,IF(AND(M49&gt;50,M49&lt;=100),M49*1%,IF(AND(M49&gt;20,M49&lt;=50),M49*1.5%,IF(AND(M49&gt;10,M49&lt;=20),M49*2%,IF(AND(M49&gt;1,M49&lt;=10),M49*2.5%)))))))))</f>
        <v>74.275000000000006</v>
      </c>
      <c r="M64" s="308">
        <f t="shared" ref="M64:M65" ca="1" si="1">ROUND(L64,1)</f>
        <v>74.3</v>
      </c>
      <c r="N64" s="2720" t="s">
        <v>1827</v>
      </c>
      <c r="Z64" s="1889"/>
      <c r="AI64" s="1890"/>
    </row>
    <row r="65" spans="1:35" ht="14.25" customHeight="1">
      <c r="A65" s="174" t="s">
        <v>590</v>
      </c>
      <c r="B65" s="175" t="s">
        <v>1828</v>
      </c>
      <c r="C65" s="2742"/>
      <c r="D65" s="175"/>
      <c r="E65" s="177"/>
      <c r="F65" s="1945"/>
      <c r="G65" s="1945"/>
      <c r="H65" s="1947"/>
      <c r="I65" s="134"/>
      <c r="J65" s="3335"/>
      <c r="K65" s="1453" t="s">
        <v>1829</v>
      </c>
      <c r="L65" s="1453">
        <f ca="1">IF(M49&gt;1000,M49*0.1%,IF(AND(M49&gt;500,M49&lt;=1000),M49*0.5%,IF(AND(M49&gt;50,M49&lt;=500),M49*1%,IF(AND(M49&gt;1,M49&lt;=50),M49*1.5%))))</f>
        <v>14.855</v>
      </c>
      <c r="M65" s="308">
        <f t="shared" ca="1" si="1"/>
        <v>14.9</v>
      </c>
      <c r="N65" s="2720" t="s">
        <v>1827</v>
      </c>
      <c r="Z65" s="1889"/>
      <c r="AI65" s="1890"/>
    </row>
    <row r="66" spans="1:35" ht="14.25" customHeight="1">
      <c r="A66" s="178" t="s">
        <v>591</v>
      </c>
      <c r="B66" s="179" t="s">
        <v>1830</v>
      </c>
      <c r="C66" s="2743"/>
      <c r="D66" s="179" t="s">
        <v>32</v>
      </c>
      <c r="E66" s="1460" t="s">
        <v>1096</v>
      </c>
      <c r="F66" s="1945"/>
      <c r="G66" s="1945"/>
      <c r="H66" s="1947"/>
      <c r="I66" s="134"/>
      <c r="J66" s="3335"/>
      <c r="K66" s="1453" t="s">
        <v>1831</v>
      </c>
      <c r="L66" s="1453">
        <f ca="1">M49*0.5%</f>
        <v>74.275000000000006</v>
      </c>
      <c r="M66" s="308">
        <f ca="1">IF(L66&gt;0.5,0.5,ROUND(L66,0))</f>
        <v>0.5</v>
      </c>
      <c r="N66" s="2720" t="s">
        <v>1832</v>
      </c>
      <c r="Z66" s="1889"/>
      <c r="AI66" s="1890"/>
    </row>
    <row r="67" spans="1:35" ht="14.25" customHeight="1">
      <c r="A67" s="178" t="s">
        <v>592</v>
      </c>
      <c r="B67" s="179" t="s">
        <v>1833</v>
      </c>
      <c r="C67" s="2744">
        <f ca="1">C63-C66</f>
        <v>17203</v>
      </c>
      <c r="D67" s="175" t="s">
        <v>32</v>
      </c>
      <c r="E67" s="177"/>
      <c r="F67" s="1945"/>
      <c r="G67" s="1945"/>
      <c r="H67" s="1947"/>
      <c r="I67" s="134"/>
      <c r="J67" s="3335"/>
      <c r="K67" s="1453" t="s">
        <v>1834</v>
      </c>
      <c r="L67" s="1453">
        <f ca="1">IF(M49&gt;=10000,(8.25+(M49-10000)*0.01%),IF(AND(M49&gt;=8000,M49&lt;10000),(7.85+(M49-8000)*0.02%),IF(AND(M49&gt;=5000,M49&lt;8000),(6.65+(M49-5000)*0.04%),IF(AND(M49&gt;=2000,M49&lt;5000),(4.25+(PM49-2000)*0.08%),IF(AND(M49&gt;=1000,M49&lt;2000),(2.75+(M49-1000)*0.15%),IF(AND(M49&gt;=100,M49&lt;1000),(0.5+(M49-100)*0.25%),IF(AND(M49&gt;0,M49&lt;100),M49*0.5%)))))))</f>
        <v>8.7355</v>
      </c>
      <c r="M67" s="308">
        <f ca="1">ROUND(L67*0.9,1)</f>
        <v>7.9</v>
      </c>
      <c r="N67" s="2719"/>
      <c r="Z67" s="1889"/>
      <c r="AI67" s="1890"/>
    </row>
    <row r="68" spans="1:35" ht="14.25" customHeight="1" thickBot="1">
      <c r="A68" s="181" t="s">
        <v>593</v>
      </c>
      <c r="B68" s="182" t="s">
        <v>1835</v>
      </c>
      <c r="C68" s="2745">
        <f ca="1">IF(C67&lt;=0,0,ROUND(C67*D68,0))</f>
        <v>963</v>
      </c>
      <c r="D68" s="2746">
        <f>'数据-取费表'!B41</f>
        <v>5.6000000000000001E-2</v>
      </c>
      <c r="E68" s="184"/>
      <c r="F68" s="1945"/>
      <c r="G68" s="1945"/>
      <c r="H68" s="1947"/>
      <c r="I68" s="134"/>
      <c r="J68" s="3335"/>
      <c r="K68" s="1453" t="s">
        <v>1836</v>
      </c>
      <c r="L68" s="1453">
        <f ca="1">IF(M49&gt;10000,M49*0.5%,IF(AND(M49&gt;5000,M49&lt;=10000),M49*1%,IF(AND(M49&gt;1000,M49&lt;=5000),M49*2%,IF(AND(M49&gt;200,M49&lt;=1000),M49*3%,M49*5%))))</f>
        <v>74.275000000000006</v>
      </c>
      <c r="M68" s="308">
        <f ca="1">ROUND(L68,1)</f>
        <v>74.3</v>
      </c>
      <c r="N68" s="2719"/>
      <c r="Z68" s="1889"/>
      <c r="AI68" s="1890"/>
    </row>
    <row r="69" spans="1:35" s="1909" customFormat="1" ht="16.5" customHeight="1">
      <c r="A69" s="1948"/>
      <c r="B69" s="1949"/>
      <c r="C69" s="1950"/>
      <c r="D69" s="1951"/>
      <c r="E69" s="1952"/>
      <c r="F69" s="1714"/>
      <c r="G69" s="1714"/>
      <c r="H69" s="1713"/>
      <c r="I69" s="1884"/>
      <c r="J69" s="3335"/>
      <c r="K69" s="1453" t="s">
        <v>1837</v>
      </c>
      <c r="L69" s="1453"/>
      <c r="M69" s="308">
        <f ca="1">ROUND(SUM(M63:M68),0)</f>
        <v>246</v>
      </c>
      <c r="N69" s="2721">
        <f ca="1">M69/M49</f>
        <v>1.6560080780881857E-2</v>
      </c>
      <c r="O69" s="734"/>
      <c r="P69" s="734"/>
      <c r="Q69" s="734"/>
      <c r="R69" s="734"/>
      <c r="S69" s="734"/>
      <c r="T69" s="734"/>
      <c r="U69" s="734"/>
      <c r="V69" s="734"/>
      <c r="W69" s="734"/>
      <c r="X69" s="734"/>
      <c r="Y69" s="734"/>
      <c r="Z69" s="1889"/>
      <c r="AA69" s="1889"/>
      <c r="AB69" s="1889"/>
      <c r="AC69" s="1889"/>
      <c r="AD69" s="1889"/>
      <c r="AE69" s="1889"/>
      <c r="AF69" s="1889"/>
      <c r="AG69" s="1889"/>
      <c r="AH69" s="1889"/>
    </row>
    <row r="70" spans="1:35" s="1954" customFormat="1" ht="15" thickBot="1">
      <c r="A70" s="3379" t="s">
        <v>1838</v>
      </c>
      <c r="B70" s="3380"/>
      <c r="C70" s="3380"/>
      <c r="D70" s="3380"/>
      <c r="E70" s="3380"/>
      <c r="F70" s="3380"/>
      <c r="G70" s="3380"/>
      <c r="H70" s="3380"/>
      <c r="I70" s="1953"/>
      <c r="J70" s="2870"/>
      <c r="K70" s="2870"/>
      <c r="L70" s="2870"/>
      <c r="M70" s="2870"/>
      <c r="N70" s="1955"/>
      <c r="O70" s="1955"/>
      <c r="P70" s="1955"/>
      <c r="Q70" s="1955"/>
      <c r="R70" s="1955"/>
      <c r="S70" s="1955"/>
      <c r="T70" s="1955"/>
      <c r="U70" s="1955"/>
      <c r="V70" s="1955"/>
      <c r="W70" s="1955"/>
      <c r="X70" s="1955"/>
      <c r="Y70" s="1955"/>
      <c r="Z70" s="1955"/>
      <c r="AA70" s="1956"/>
      <c r="AB70" s="1956"/>
      <c r="AC70" s="1956"/>
      <c r="AD70" s="1956"/>
      <c r="AE70" s="1956"/>
      <c r="AF70" s="1956"/>
      <c r="AG70" s="1956"/>
      <c r="AH70" s="1956"/>
      <c r="AI70" s="1956"/>
    </row>
    <row r="71" spans="1:35" s="1954" customFormat="1" ht="14.25">
      <c r="A71" s="3371" t="s">
        <v>1819</v>
      </c>
      <c r="B71" s="3372"/>
      <c r="C71" s="2160"/>
      <c r="D71" s="2160" t="s">
        <v>1820</v>
      </c>
      <c r="E71" s="185" t="s">
        <v>1821</v>
      </c>
      <c r="F71" s="186"/>
      <c r="G71" s="186"/>
      <c r="H71" s="187"/>
      <c r="I71" s="1957"/>
      <c r="J71" s="2870"/>
      <c r="K71" s="2870"/>
      <c r="L71" s="2870"/>
      <c r="M71" s="2870"/>
      <c r="N71" s="1955"/>
      <c r="O71" s="1955"/>
      <c r="P71" s="1955"/>
      <c r="Q71" s="1955"/>
      <c r="R71" s="1955"/>
      <c r="S71" s="1955"/>
      <c r="T71" s="1955"/>
      <c r="U71" s="1955"/>
      <c r="V71" s="1955"/>
      <c r="W71" s="1955"/>
      <c r="X71" s="1955"/>
      <c r="Y71" s="1955"/>
      <c r="Z71" s="1955"/>
      <c r="AA71" s="1956"/>
      <c r="AB71" s="1956"/>
      <c r="AC71" s="1956"/>
      <c r="AD71" s="1956"/>
      <c r="AE71" s="1956"/>
      <c r="AF71" s="1956"/>
      <c r="AG71" s="1956"/>
      <c r="AH71" s="1956"/>
      <c r="AI71" s="1956"/>
    </row>
    <row r="72" spans="1:35" s="1954" customFormat="1" ht="14.25">
      <c r="A72" s="178" t="s">
        <v>594</v>
      </c>
      <c r="B72" s="179" t="s">
        <v>1839</v>
      </c>
      <c r="C72" s="2744">
        <f ca="1">ROUND(D45/(1+'数据-取费表'!C42),0)</f>
        <v>17203</v>
      </c>
      <c r="D72" s="175" t="s">
        <v>32</v>
      </c>
      <c r="E72" s="2505"/>
      <c r="F72" s="2504"/>
      <c r="G72" s="2504"/>
      <c r="H72" s="188"/>
      <c r="I72" s="1957"/>
      <c r="J72" s="2870"/>
      <c r="K72" s="2870"/>
      <c r="L72" s="2870"/>
      <c r="M72" s="2870"/>
      <c r="N72" s="1955"/>
      <c r="O72" s="1955"/>
      <c r="P72" s="1955"/>
      <c r="Q72" s="1955"/>
      <c r="R72" s="1955"/>
      <c r="S72" s="1955"/>
      <c r="T72" s="1955"/>
      <c r="U72" s="1955"/>
      <c r="V72" s="1955"/>
      <c r="W72" s="1955"/>
      <c r="X72" s="1955"/>
      <c r="Y72" s="1955"/>
      <c r="Z72" s="1955"/>
      <c r="AA72" s="1956"/>
      <c r="AB72" s="1956"/>
      <c r="AC72" s="1956"/>
      <c r="AD72" s="1956"/>
      <c r="AE72" s="1956"/>
      <c r="AF72" s="1956"/>
      <c r="AG72" s="1956"/>
      <c r="AH72" s="1956"/>
      <c r="AI72" s="1956"/>
    </row>
    <row r="73" spans="1:35" s="1954" customFormat="1" ht="14.25">
      <c r="A73" s="178" t="s">
        <v>591</v>
      </c>
      <c r="B73" s="168" t="s">
        <v>1840</v>
      </c>
      <c r="C73" s="2744">
        <f ca="1">C74+C78</f>
        <v>103</v>
      </c>
      <c r="D73" s="175" t="s">
        <v>32</v>
      </c>
      <c r="E73" s="2505"/>
      <c r="F73" s="2504"/>
      <c r="G73" s="2504"/>
      <c r="H73" s="188"/>
      <c r="I73" s="1957"/>
      <c r="J73" s="1955"/>
      <c r="K73" s="1955"/>
      <c r="L73" s="1955"/>
      <c r="M73" s="1955"/>
      <c r="N73" s="1955"/>
      <c r="O73" s="1955"/>
      <c r="P73" s="1955"/>
      <c r="Q73" s="1955"/>
      <c r="R73" s="1955"/>
      <c r="S73" s="1955"/>
      <c r="T73" s="1955"/>
      <c r="U73" s="1955"/>
      <c r="V73" s="1955"/>
      <c r="W73" s="1955"/>
      <c r="X73" s="1955"/>
      <c r="Y73" s="1955"/>
      <c r="Z73" s="1955"/>
      <c r="AA73" s="1956"/>
      <c r="AB73" s="1956"/>
      <c r="AC73" s="1956"/>
      <c r="AD73" s="1956"/>
      <c r="AE73" s="1956"/>
      <c r="AF73" s="1956"/>
      <c r="AG73" s="1956"/>
      <c r="AH73" s="1956"/>
      <c r="AI73" s="1956"/>
    </row>
    <row r="74" spans="1:35" s="1954" customFormat="1" ht="24">
      <c r="A74" s="174" t="s">
        <v>589</v>
      </c>
      <c r="B74" s="175" t="s">
        <v>1841</v>
      </c>
      <c r="C74" s="175">
        <f>ROUND(IF(G77="2016年5月1日后购买",C75/(1+'数据-取费表'!C42)+C76+C77,C75+C76+C77),0)</f>
        <v>0</v>
      </c>
      <c r="D74" s="175" t="s">
        <v>32</v>
      </c>
      <c r="E74" s="2505"/>
      <c r="F74" s="2504"/>
      <c r="G74" s="2504"/>
      <c r="H74" s="188"/>
      <c r="I74" s="1957"/>
      <c r="J74" s="1955"/>
      <c r="K74" s="1955"/>
      <c r="L74" s="1955"/>
      <c r="M74" s="1955"/>
      <c r="N74" s="1955"/>
      <c r="O74" s="1955"/>
      <c r="P74" s="1955"/>
      <c r="Q74" s="1955"/>
      <c r="R74" s="1955"/>
      <c r="S74" s="1955"/>
      <c r="T74" s="1955"/>
      <c r="U74" s="1955"/>
      <c r="V74" s="1955"/>
      <c r="W74" s="1955"/>
      <c r="X74" s="1955"/>
      <c r="Y74" s="1955"/>
      <c r="Z74" s="1955"/>
      <c r="AA74" s="1956"/>
      <c r="AB74" s="1956"/>
      <c r="AC74" s="1956"/>
      <c r="AD74" s="1956"/>
      <c r="AE74" s="1956"/>
      <c r="AF74" s="1956"/>
      <c r="AG74" s="1956"/>
      <c r="AH74" s="1956"/>
      <c r="AI74" s="1956"/>
    </row>
    <row r="75" spans="1:35" s="1954" customFormat="1" ht="14.25">
      <c r="A75" s="174" t="s">
        <v>595</v>
      </c>
      <c r="B75" s="175" t="s">
        <v>1842</v>
      </c>
      <c r="C75" s="2747"/>
      <c r="D75" s="175" t="s">
        <v>32</v>
      </c>
      <c r="E75" s="190" t="s">
        <v>1843</v>
      </c>
      <c r="F75" s="2748"/>
      <c r="G75" s="190" t="s">
        <v>1844</v>
      </c>
      <c r="H75" s="2749"/>
      <c r="I75" s="1958"/>
      <c r="J75" s="1955"/>
      <c r="K75" s="1955"/>
      <c r="L75" s="1955"/>
      <c r="M75" s="1955"/>
      <c r="N75" s="1955"/>
      <c r="O75" s="1955"/>
      <c r="P75" s="1955"/>
      <c r="Q75" s="1955"/>
      <c r="R75" s="1955"/>
      <c r="S75" s="1955"/>
      <c r="T75" s="1955"/>
      <c r="U75" s="1955"/>
      <c r="V75" s="1955"/>
      <c r="W75" s="1955"/>
      <c r="X75" s="1955"/>
      <c r="Y75" s="1955"/>
      <c r="Z75" s="1955"/>
      <c r="AA75" s="1956"/>
      <c r="AB75" s="1956"/>
      <c r="AC75" s="1956"/>
      <c r="AD75" s="1956"/>
      <c r="AE75" s="1956"/>
      <c r="AF75" s="1956"/>
      <c r="AG75" s="1956"/>
      <c r="AH75" s="1956"/>
      <c r="AI75" s="1956"/>
    </row>
    <row r="76" spans="1:35" s="1954" customFormat="1" ht="24.75" customHeight="1">
      <c r="A76" s="174" t="s">
        <v>596</v>
      </c>
      <c r="B76" s="191" t="s">
        <v>1845</v>
      </c>
      <c r="C76" s="175">
        <f>IF(F75="购房发票",ROUND(C75*H75*D76,0),0)</f>
        <v>0</v>
      </c>
      <c r="D76" s="2750">
        <v>0.05</v>
      </c>
      <c r="E76" s="3376" t="s">
        <v>1846</v>
      </c>
      <c r="F76" s="3375"/>
      <c r="G76" s="3375"/>
      <c r="H76" s="3378"/>
      <c r="I76" s="1957"/>
      <c r="J76" s="1955"/>
      <c r="K76" s="1955"/>
      <c r="L76" s="1955"/>
      <c r="M76" s="1955"/>
      <c r="N76" s="1955"/>
      <c r="O76" s="1955"/>
      <c r="P76" s="1955"/>
      <c r="Q76" s="1955"/>
      <c r="R76" s="1955"/>
      <c r="S76" s="1955"/>
      <c r="T76" s="1955"/>
      <c r="U76" s="1955"/>
      <c r="V76" s="1955"/>
      <c r="W76" s="1955"/>
      <c r="X76" s="1955"/>
      <c r="Y76" s="1955"/>
      <c r="Z76" s="1955"/>
      <c r="AA76" s="1956"/>
      <c r="AB76" s="1956"/>
      <c r="AC76" s="1956"/>
      <c r="AD76" s="1956"/>
      <c r="AE76" s="1956"/>
      <c r="AF76" s="1956"/>
      <c r="AG76" s="1956"/>
      <c r="AH76" s="1956"/>
      <c r="AI76" s="1956"/>
    </row>
    <row r="77" spans="1:35" s="1954" customFormat="1" ht="24.75" customHeight="1">
      <c r="A77" s="174" t="s">
        <v>597</v>
      </c>
      <c r="B77" s="175" t="s">
        <v>1847</v>
      </c>
      <c r="C77" s="175">
        <f>ROUND(IF(G77="个人住宅",0,IF(G77="2016年5月1日前购买",C75*D77,C75*D77/(1+'数据-取费表'!C42))),0)</f>
        <v>0</v>
      </c>
      <c r="D77" s="2751">
        <f>'数据-取费表'!B48+'数据-取费表'!B49</f>
        <v>3.0499999999999999E-2</v>
      </c>
      <c r="E77" s="2498" t="s">
        <v>1848</v>
      </c>
      <c r="F77" s="192"/>
      <c r="G77" s="1959"/>
      <c r="H77" s="2506" t="str">
        <f>IF(G77="个人买卖住房","免征印花税"," ")</f>
        <v xml:space="preserve"> </v>
      </c>
      <c r="I77" s="1957"/>
      <c r="J77" s="1955"/>
      <c r="K77" s="1955"/>
      <c r="L77" s="1955"/>
      <c r="M77" s="1955"/>
      <c r="N77" s="1955"/>
      <c r="O77" s="1955"/>
      <c r="P77" s="1955"/>
      <c r="Q77" s="1955"/>
      <c r="R77" s="1955"/>
      <c r="S77" s="1955"/>
      <c r="T77" s="1955"/>
      <c r="U77" s="1955"/>
      <c r="V77" s="1955"/>
      <c r="W77" s="1955"/>
      <c r="X77" s="1955"/>
      <c r="Y77" s="1955"/>
      <c r="Z77" s="1955"/>
      <c r="AA77" s="1956"/>
      <c r="AB77" s="1956"/>
      <c r="AC77" s="1956"/>
      <c r="AD77" s="1956"/>
      <c r="AE77" s="1956"/>
      <c r="AF77" s="1956"/>
      <c r="AG77" s="1956"/>
      <c r="AH77" s="1956"/>
      <c r="AI77" s="1956"/>
    </row>
    <row r="78" spans="1:35" s="1954" customFormat="1" ht="24.75" customHeight="1">
      <c r="A78" s="174" t="s">
        <v>590</v>
      </c>
      <c r="B78" s="175" t="s">
        <v>1849</v>
      </c>
      <c r="C78" s="2752">
        <f ca="1">ROUND(D45*D78/(1+'数据-取费表'!C42),0)</f>
        <v>103</v>
      </c>
      <c r="D78" s="2753">
        <f>'数据-取费表'!B43</f>
        <v>6.000000000000001E-3</v>
      </c>
      <c r="E78" s="3368" t="s">
        <v>1850</v>
      </c>
      <c r="F78" s="3369"/>
      <c r="G78" s="3369"/>
      <c r="H78" s="3370"/>
      <c r="I78" s="1960"/>
      <c r="J78" s="1955"/>
      <c r="K78" s="1955"/>
      <c r="L78" s="1955"/>
      <c r="M78" s="1955"/>
      <c r="N78" s="1955"/>
      <c r="O78" s="1955"/>
      <c r="P78" s="1955"/>
      <c r="Q78" s="1955"/>
      <c r="R78" s="1955"/>
      <c r="S78" s="1955"/>
      <c r="T78" s="1955"/>
      <c r="U78" s="1955"/>
      <c r="V78" s="1955"/>
      <c r="W78" s="1955"/>
      <c r="X78" s="1955"/>
      <c r="Y78" s="1955"/>
      <c r="Z78" s="1955"/>
      <c r="AA78" s="1956"/>
      <c r="AB78" s="1956"/>
      <c r="AC78" s="1956"/>
      <c r="AD78" s="1956"/>
      <c r="AE78" s="1956"/>
      <c r="AF78" s="1956"/>
      <c r="AG78" s="1956"/>
      <c r="AH78" s="1956"/>
      <c r="AI78" s="1956"/>
    </row>
    <row r="79" spans="1:35" s="1954" customFormat="1" ht="14.25">
      <c r="A79" s="178" t="s">
        <v>598</v>
      </c>
      <c r="B79" s="179" t="s">
        <v>1851</v>
      </c>
      <c r="C79" s="2744">
        <f ca="1">C72-C73</f>
        <v>17100</v>
      </c>
      <c r="D79" s="175" t="s">
        <v>32</v>
      </c>
      <c r="E79" s="2505"/>
      <c r="F79" s="2504"/>
      <c r="G79" s="2504"/>
      <c r="H79" s="188"/>
      <c r="I79" s="1957"/>
      <c r="J79" s="1955"/>
      <c r="K79" s="1955"/>
      <c r="L79" s="1955"/>
      <c r="M79" s="1955"/>
      <c r="N79" s="1955"/>
      <c r="O79" s="1955"/>
      <c r="P79" s="1955"/>
      <c r="Q79" s="1955"/>
      <c r="R79" s="1955"/>
      <c r="S79" s="1955"/>
      <c r="T79" s="1955"/>
      <c r="U79" s="1955"/>
      <c r="V79" s="1955"/>
      <c r="W79" s="1955"/>
      <c r="X79" s="1955"/>
      <c r="Y79" s="1955"/>
      <c r="Z79" s="1955"/>
      <c r="AA79" s="1956"/>
      <c r="AB79" s="1956"/>
      <c r="AC79" s="1956"/>
      <c r="AD79" s="1956"/>
      <c r="AE79" s="1956"/>
      <c r="AF79" s="1956"/>
      <c r="AG79" s="1956"/>
      <c r="AH79" s="1956"/>
      <c r="AI79" s="1956"/>
    </row>
    <row r="80" spans="1:35" s="1954" customFormat="1" ht="24">
      <c r="A80" s="178" t="s">
        <v>599</v>
      </c>
      <c r="B80" s="179" t="s">
        <v>1852</v>
      </c>
      <c r="C80" s="2754">
        <f ca="1">IF(C79&lt;=0,0,C79/C73)</f>
        <v>166.01941747572815</v>
      </c>
      <c r="D80" s="175" t="s">
        <v>32</v>
      </c>
      <c r="E80" s="2498" t="str">
        <f ca="1">IF(C80&gt;=200%,"增值额超过扣除项目金额200%",IF(C80&gt;=100%,"增值额超过扣除项目金额100%，未超过200%",IF(C80&gt;=50%,"增值额超过扣除项目金额50%，未超过100%",IF(C80&lt;50%,"增值额未超过扣除项目金额50%"))))</f>
        <v>增值额超过扣除项目金额200%</v>
      </c>
      <c r="F80" s="2504"/>
      <c r="G80" s="2504"/>
      <c r="H80" s="188"/>
      <c r="I80" s="1957"/>
      <c r="J80" s="1955"/>
      <c r="K80" s="1955"/>
      <c r="L80" s="1955"/>
      <c r="M80" s="1955"/>
      <c r="N80" s="1955"/>
      <c r="O80" s="1955"/>
      <c r="P80" s="1955"/>
      <c r="Q80" s="1955"/>
      <c r="R80" s="1955"/>
      <c r="S80" s="1955"/>
      <c r="T80" s="1955"/>
      <c r="U80" s="1955"/>
      <c r="V80" s="1955"/>
      <c r="W80" s="1955"/>
      <c r="X80" s="1955"/>
      <c r="Y80" s="1955"/>
      <c r="Z80" s="1955"/>
      <c r="AA80" s="1956"/>
      <c r="AB80" s="1956"/>
      <c r="AC80" s="1956"/>
      <c r="AD80" s="1956"/>
      <c r="AE80" s="1956"/>
      <c r="AF80" s="1956"/>
      <c r="AG80" s="1956"/>
      <c r="AH80" s="1956"/>
      <c r="AI80" s="1956"/>
    </row>
    <row r="81" spans="1:35" s="1954" customFormat="1" ht="24.75" thickBot="1">
      <c r="A81" s="181" t="s">
        <v>600</v>
      </c>
      <c r="B81" s="182" t="s">
        <v>1853</v>
      </c>
      <c r="C81" s="2755">
        <f ca="1">ROUND(IF(C79&lt;=0,0,IF(C80&gt;=200%,C79*60%-C73*35%,IF(C80&gt;=100%,C79*50%-C73*15%,IF(C80&gt;=50%,C79*40%-C73*5%,IF(C80&lt;50%,C79*30%,0))))),0)</f>
        <v>10224</v>
      </c>
      <c r="D81" s="275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57"/>
      <c r="J81" s="1955"/>
      <c r="K81" s="1955"/>
      <c r="L81" s="1955"/>
      <c r="M81" s="1955"/>
      <c r="N81" s="1955"/>
      <c r="O81" s="1955"/>
      <c r="P81" s="1955"/>
      <c r="Q81" s="1955"/>
      <c r="R81" s="1955"/>
      <c r="S81" s="1955"/>
      <c r="T81" s="1955"/>
      <c r="U81" s="1955"/>
      <c r="V81" s="1955"/>
      <c r="W81" s="1955"/>
      <c r="X81" s="1955"/>
      <c r="Y81" s="1955"/>
      <c r="Z81" s="1955"/>
      <c r="AA81" s="1956"/>
      <c r="AB81" s="1956"/>
      <c r="AC81" s="1956"/>
      <c r="AD81" s="1956"/>
      <c r="AE81" s="1956"/>
      <c r="AF81" s="1956"/>
      <c r="AG81" s="1956"/>
      <c r="AH81" s="1956"/>
      <c r="AI81" s="1956"/>
    </row>
    <row r="82" spans="1:35" s="1954" customFormat="1" ht="7.5" customHeight="1">
      <c r="A82" s="689"/>
      <c r="B82" s="690"/>
      <c r="C82" s="7"/>
      <c r="D82" s="7"/>
      <c r="E82" s="690"/>
      <c r="F82" s="690"/>
      <c r="G82" s="690"/>
      <c r="H82" s="691"/>
      <c r="I82" s="1960"/>
      <c r="J82" s="1955"/>
      <c r="K82" s="1955"/>
      <c r="L82" s="1955"/>
      <c r="M82" s="1955"/>
      <c r="N82" s="1955"/>
      <c r="O82" s="1955"/>
      <c r="P82" s="1955"/>
      <c r="Q82" s="1955"/>
      <c r="R82" s="1955"/>
      <c r="S82" s="1955"/>
      <c r="T82" s="1955"/>
      <c r="U82" s="1955"/>
      <c r="V82" s="1955"/>
      <c r="W82" s="1955"/>
      <c r="X82" s="1955"/>
      <c r="Y82" s="1955"/>
      <c r="Z82" s="1955"/>
      <c r="AA82" s="1956"/>
      <c r="AB82" s="1956"/>
      <c r="AC82" s="1956"/>
      <c r="AD82" s="1956"/>
      <c r="AE82" s="1956"/>
      <c r="AF82" s="1956"/>
      <c r="AG82" s="1956"/>
      <c r="AH82" s="1956"/>
      <c r="AI82" s="1956"/>
    </row>
    <row r="83" spans="1:35" s="1954" customFormat="1" ht="15" thickBot="1">
      <c r="A83" s="3379" t="s">
        <v>1854</v>
      </c>
      <c r="B83" s="3380"/>
      <c r="C83" s="3380"/>
      <c r="D83" s="3380"/>
      <c r="E83" s="3380"/>
      <c r="F83" s="3380"/>
      <c r="G83" s="3380"/>
      <c r="H83" s="3380"/>
      <c r="I83" s="1958"/>
      <c r="J83" s="1955"/>
      <c r="K83" s="1955"/>
      <c r="L83" s="1955"/>
      <c r="M83" s="1955"/>
      <c r="N83" s="1955"/>
      <c r="O83" s="1955"/>
      <c r="P83" s="1955"/>
      <c r="Q83" s="1955"/>
      <c r="R83" s="1955"/>
      <c r="S83" s="1955"/>
      <c r="T83" s="1955"/>
      <c r="U83" s="1955"/>
      <c r="V83" s="1955"/>
      <c r="W83" s="1955"/>
      <c r="X83" s="1955"/>
      <c r="Y83" s="1955"/>
      <c r="Z83" s="1955"/>
      <c r="AA83" s="1956"/>
      <c r="AB83" s="1956"/>
      <c r="AC83" s="1956"/>
      <c r="AD83" s="1956"/>
      <c r="AE83" s="1956"/>
      <c r="AF83" s="1956"/>
      <c r="AG83" s="1956"/>
      <c r="AH83" s="1956"/>
      <c r="AI83" s="1956"/>
    </row>
    <row r="84" spans="1:35" s="1954" customFormat="1" ht="14.25">
      <c r="A84" s="3371" t="s">
        <v>1819</v>
      </c>
      <c r="B84" s="3372"/>
      <c r="C84" s="2160"/>
      <c r="D84" s="2160" t="s">
        <v>1820</v>
      </c>
      <c r="E84" s="185" t="s">
        <v>1821</v>
      </c>
      <c r="F84" s="186"/>
      <c r="G84" s="186"/>
      <c r="H84" s="197"/>
      <c r="I84" s="1958"/>
      <c r="J84" s="1955"/>
      <c r="K84" s="1955"/>
      <c r="L84" s="1955"/>
      <c r="M84" s="1955"/>
      <c r="N84" s="1955"/>
      <c r="O84" s="1955"/>
      <c r="P84" s="1955"/>
      <c r="Q84" s="1955"/>
      <c r="R84" s="1955"/>
      <c r="S84" s="1955"/>
      <c r="T84" s="1955"/>
      <c r="U84" s="1955"/>
      <c r="V84" s="1955"/>
      <c r="W84" s="1955"/>
      <c r="X84" s="1955"/>
      <c r="Y84" s="1955"/>
      <c r="Z84" s="1955"/>
      <c r="AA84" s="1956"/>
      <c r="AB84" s="1956"/>
      <c r="AC84" s="1956"/>
      <c r="AD84" s="1956"/>
      <c r="AE84" s="1956"/>
      <c r="AF84" s="1956"/>
      <c r="AG84" s="1956"/>
      <c r="AH84" s="1956"/>
      <c r="AI84" s="1956"/>
    </row>
    <row r="85" spans="1:35" s="1954" customFormat="1" ht="14.25">
      <c r="A85" s="178" t="s">
        <v>594</v>
      </c>
      <c r="B85" s="179" t="s">
        <v>1839</v>
      </c>
      <c r="C85" s="2744">
        <f ca="1">ROUND(D45/(1+'数据-取费表'!C42),0)</f>
        <v>17203</v>
      </c>
      <c r="D85" s="175" t="s">
        <v>32</v>
      </c>
      <c r="E85" s="2505"/>
      <c r="F85" s="2504"/>
      <c r="G85" s="2504"/>
      <c r="H85" s="198"/>
      <c r="I85" s="1958"/>
      <c r="J85" s="1955"/>
      <c r="K85" s="1955"/>
      <c r="L85" s="1955"/>
      <c r="M85" s="1955"/>
      <c r="N85" s="1955"/>
      <c r="O85" s="1955"/>
      <c r="P85" s="1955"/>
      <c r="Q85" s="1955"/>
      <c r="R85" s="1955"/>
      <c r="S85" s="1955"/>
      <c r="T85" s="1955"/>
      <c r="U85" s="1955"/>
      <c r="V85" s="1955"/>
      <c r="W85" s="1955"/>
      <c r="X85" s="1955"/>
      <c r="Y85" s="1955"/>
      <c r="Z85" s="1955"/>
      <c r="AA85" s="1956"/>
      <c r="AB85" s="1956"/>
      <c r="AC85" s="1956"/>
      <c r="AD85" s="1956"/>
      <c r="AE85" s="1956"/>
      <c r="AF85" s="1956"/>
      <c r="AG85" s="1956"/>
      <c r="AH85" s="1956"/>
      <c r="AI85" s="1956"/>
    </row>
    <row r="86" spans="1:35" s="1954" customFormat="1" ht="14.25">
      <c r="A86" s="178" t="s">
        <v>591</v>
      </c>
      <c r="B86" s="168" t="s">
        <v>1840</v>
      </c>
      <c r="C86" s="2744">
        <f ca="1">IF(H88="仅含出让金",C87+C90+C91+C92+C93+C94,C87+C91+C92+C93+C94)</f>
        <v>103</v>
      </c>
      <c r="D86" s="2757"/>
      <c r="E86" s="2505"/>
      <c r="F86" s="2504"/>
      <c r="G86" s="2504"/>
      <c r="H86" s="198"/>
      <c r="I86" s="1958"/>
      <c r="J86" s="1955"/>
      <c r="K86" s="1955"/>
      <c r="L86" s="1955"/>
      <c r="M86" s="1955"/>
      <c r="N86" s="1955"/>
      <c r="O86" s="1955"/>
      <c r="P86" s="1955"/>
      <c r="Q86" s="1955"/>
      <c r="R86" s="1955"/>
      <c r="S86" s="1955"/>
      <c r="T86" s="1955"/>
      <c r="U86" s="1955"/>
      <c r="V86" s="1955"/>
      <c r="W86" s="1955"/>
      <c r="X86" s="1955"/>
      <c r="Y86" s="1955"/>
      <c r="Z86" s="1955"/>
      <c r="AA86" s="1956"/>
      <c r="AB86" s="1956"/>
      <c r="AC86" s="1956"/>
      <c r="AD86" s="1956"/>
      <c r="AE86" s="1956"/>
      <c r="AF86" s="1956"/>
      <c r="AG86" s="1956"/>
      <c r="AH86" s="1956"/>
      <c r="AI86" s="1956"/>
    </row>
    <row r="87" spans="1:35" s="1954" customFormat="1" ht="14.25">
      <c r="A87" s="174" t="s">
        <v>589</v>
      </c>
      <c r="B87" s="175" t="s">
        <v>1855</v>
      </c>
      <c r="C87" s="2752">
        <f>C88+C89</f>
        <v>0</v>
      </c>
      <c r="D87" s="2753"/>
      <c r="E87" s="2500"/>
      <c r="F87" s="2501"/>
      <c r="G87" s="2501"/>
      <c r="H87" s="2502"/>
      <c r="I87" s="1958"/>
      <c r="J87" s="1955"/>
      <c r="K87" s="1955"/>
      <c r="L87" s="1955"/>
      <c r="M87" s="1955"/>
      <c r="N87" s="1955"/>
      <c r="O87" s="1955"/>
      <c r="P87" s="1955"/>
      <c r="Q87" s="1955"/>
      <c r="R87" s="1955"/>
      <c r="S87" s="1955"/>
      <c r="T87" s="1955"/>
      <c r="U87" s="1955"/>
      <c r="V87" s="1955"/>
      <c r="W87" s="1955"/>
      <c r="X87" s="1955"/>
      <c r="Y87" s="1955"/>
      <c r="Z87" s="1955"/>
      <c r="AA87" s="1956"/>
      <c r="AB87" s="1956"/>
      <c r="AC87" s="1956"/>
      <c r="AD87" s="1956"/>
      <c r="AE87" s="1956"/>
      <c r="AF87" s="1956"/>
      <c r="AG87" s="1956"/>
      <c r="AH87" s="1956"/>
      <c r="AI87" s="1956"/>
    </row>
    <row r="88" spans="1:35" s="1954" customFormat="1" ht="14.25">
      <c r="A88" s="174" t="s">
        <v>595</v>
      </c>
      <c r="B88" s="175" t="s">
        <v>1856</v>
      </c>
      <c r="C88" s="2758"/>
      <c r="D88" s="2753"/>
      <c r="E88" s="199" t="s">
        <v>1857</v>
      </c>
      <c r="F88" s="2501"/>
      <c r="G88" s="200" t="s">
        <v>1858</v>
      </c>
      <c r="H88" s="1961"/>
      <c r="I88" s="1958"/>
      <c r="J88" s="2697" t="s">
        <v>2788</v>
      </c>
      <c r="K88" s="1955"/>
      <c r="L88" s="1955"/>
      <c r="M88" s="1955"/>
      <c r="N88" s="1955"/>
      <c r="O88" s="1955"/>
      <c r="P88" s="1955"/>
      <c r="Q88" s="1955"/>
      <c r="R88" s="1955"/>
      <c r="S88" s="1955"/>
      <c r="T88" s="1955"/>
      <c r="U88" s="1955"/>
      <c r="V88" s="1955"/>
      <c r="W88" s="1955"/>
      <c r="X88" s="1955"/>
      <c r="Y88" s="1955"/>
      <c r="Z88" s="1955"/>
      <c r="AA88" s="1956"/>
      <c r="AB88" s="1956"/>
      <c r="AC88" s="1956"/>
      <c r="AD88" s="1956"/>
      <c r="AE88" s="1956"/>
      <c r="AF88" s="1956"/>
      <c r="AG88" s="1956"/>
      <c r="AH88" s="1956"/>
      <c r="AI88" s="1956"/>
    </row>
    <row r="89" spans="1:35" s="1954" customFormat="1" ht="14.25">
      <c r="A89" s="174" t="s">
        <v>596</v>
      </c>
      <c r="B89" s="175" t="s">
        <v>1847</v>
      </c>
      <c r="C89" s="2752">
        <f>ROUND(C88*D89,0)</f>
        <v>0</v>
      </c>
      <c r="D89" s="2753">
        <f>'数据-取费表'!B48+'数据-取费表'!B49</f>
        <v>3.0499999999999999E-2</v>
      </c>
      <c r="E89" s="199" t="s">
        <v>1859</v>
      </c>
      <c r="F89" s="2501"/>
      <c r="G89" s="2501"/>
      <c r="H89" s="2502"/>
      <c r="I89" s="1958"/>
      <c r="J89" s="1955"/>
      <c r="K89" s="1955"/>
      <c r="L89" s="1955"/>
      <c r="M89" s="1955"/>
      <c r="N89" s="1955"/>
      <c r="O89" s="1955"/>
      <c r="P89" s="1955"/>
      <c r="Q89" s="1955"/>
      <c r="R89" s="1955"/>
      <c r="S89" s="1955"/>
      <c r="T89" s="1955"/>
      <c r="U89" s="1955"/>
      <c r="V89" s="1955"/>
      <c r="W89" s="1955"/>
      <c r="X89" s="1955"/>
      <c r="Y89" s="1955"/>
      <c r="Z89" s="1955"/>
      <c r="AA89" s="1956"/>
      <c r="AB89" s="1956"/>
      <c r="AC89" s="1956"/>
      <c r="AD89" s="1956"/>
      <c r="AE89" s="1956"/>
      <c r="AF89" s="1956"/>
      <c r="AG89" s="1956"/>
      <c r="AH89" s="1956"/>
      <c r="AI89" s="1956"/>
    </row>
    <row r="90" spans="1:35" s="1954" customFormat="1" ht="14.25">
      <c r="A90" s="174" t="s">
        <v>590</v>
      </c>
      <c r="B90" s="175" t="s">
        <v>1860</v>
      </c>
      <c r="C90" s="2758"/>
      <c r="D90" s="2753"/>
      <c r="E90" s="199" t="str">
        <f>IF(H88="-","土地取得成本中已包含该笔费用"," ")</f>
        <v xml:space="preserve"> </v>
      </c>
      <c r="F90" s="2501"/>
      <c r="G90" s="3337" t="s">
        <v>2629</v>
      </c>
      <c r="H90" s="3338"/>
      <c r="I90" s="1958"/>
      <c r="J90" s="2697" t="s">
        <v>2789</v>
      </c>
      <c r="K90" s="1955"/>
      <c r="L90" s="1955"/>
      <c r="M90" s="1955"/>
      <c r="N90" s="1955"/>
      <c r="O90" s="1955"/>
      <c r="P90" s="1955"/>
      <c r="Q90" s="1955"/>
      <c r="R90" s="1955"/>
      <c r="S90" s="1955"/>
      <c r="T90" s="1955"/>
      <c r="U90" s="1955"/>
      <c r="V90" s="1955"/>
      <c r="W90" s="1955"/>
      <c r="X90" s="1955"/>
      <c r="Y90" s="1955"/>
      <c r="Z90" s="1955"/>
      <c r="AA90" s="1956"/>
      <c r="AB90" s="1956"/>
      <c r="AC90" s="1956"/>
      <c r="AD90" s="1956"/>
      <c r="AE90" s="1956"/>
      <c r="AF90" s="1956"/>
      <c r="AG90" s="1956"/>
      <c r="AH90" s="1956"/>
      <c r="AI90" s="1956"/>
    </row>
    <row r="91" spans="1:35" s="1954" customFormat="1" ht="27.75" customHeight="1">
      <c r="A91" s="174" t="s">
        <v>1861</v>
      </c>
      <c r="B91" s="175" t="s">
        <v>1862</v>
      </c>
      <c r="C91" s="2752">
        <f>IF(H91="——",成本法!C33,I91)</f>
        <v>0</v>
      </c>
      <c r="D91" s="2753"/>
      <c r="E91" s="3368" t="s">
        <v>1863</v>
      </c>
      <c r="F91" s="3369"/>
      <c r="G91" s="3369"/>
      <c r="H91" s="1962"/>
      <c r="I91" s="1963"/>
      <c r="J91" s="1955"/>
      <c r="K91" s="1955"/>
      <c r="L91" s="1955"/>
      <c r="M91" s="1955"/>
      <c r="N91" s="1955"/>
      <c r="O91" s="1955"/>
      <c r="P91" s="1955"/>
      <c r="Q91" s="1955"/>
      <c r="R91" s="1955"/>
      <c r="S91" s="1955"/>
      <c r="T91" s="1955"/>
      <c r="U91" s="1955"/>
      <c r="V91" s="1955"/>
      <c r="W91" s="1955"/>
      <c r="X91" s="1955"/>
      <c r="Y91" s="1955"/>
      <c r="Z91" s="1955"/>
      <c r="AA91" s="1956"/>
      <c r="AB91" s="1956"/>
      <c r="AC91" s="1956"/>
      <c r="AD91" s="1956"/>
      <c r="AE91" s="1956"/>
      <c r="AF91" s="1956"/>
      <c r="AG91" s="1956"/>
      <c r="AH91" s="1956"/>
      <c r="AI91" s="1956"/>
    </row>
    <row r="92" spans="1:35" s="1954" customFormat="1" ht="25.5" customHeight="1">
      <c r="A92" s="174" t="s">
        <v>1864</v>
      </c>
      <c r="B92" s="175" t="s">
        <v>1865</v>
      </c>
      <c r="C92" s="2752">
        <f>ROUND((C87+C90+C91)*D92,0)</f>
        <v>0</v>
      </c>
      <c r="D92" s="2759"/>
      <c r="E92" s="3368" t="s">
        <v>1866</v>
      </c>
      <c r="F92" s="3369"/>
      <c r="G92" s="3369"/>
      <c r="H92" s="3370"/>
      <c r="I92" s="1958"/>
      <c r="J92" s="2698" t="s">
        <v>2790</v>
      </c>
      <c r="K92" s="1955"/>
      <c r="L92" s="1955"/>
      <c r="M92" s="1955"/>
      <c r="N92" s="1955"/>
      <c r="O92" s="1955"/>
      <c r="P92" s="1955"/>
      <c r="Q92" s="1955"/>
      <c r="R92" s="1955"/>
      <c r="S92" s="1955"/>
      <c r="T92" s="1955"/>
      <c r="U92" s="1955"/>
      <c r="V92" s="1955"/>
      <c r="W92" s="1955"/>
      <c r="X92" s="1955"/>
      <c r="Y92" s="1955"/>
      <c r="Z92" s="1955"/>
      <c r="AA92" s="1956"/>
      <c r="AB92" s="1956"/>
      <c r="AC92" s="1956"/>
      <c r="AD92" s="1956"/>
      <c r="AE92" s="1956"/>
      <c r="AF92" s="1956"/>
      <c r="AG92" s="1956"/>
      <c r="AH92" s="1956"/>
      <c r="AI92" s="1956"/>
    </row>
    <row r="93" spans="1:35" s="1954" customFormat="1" ht="25.5" customHeight="1">
      <c r="A93" s="174" t="s">
        <v>1867</v>
      </c>
      <c r="B93" s="175" t="s">
        <v>1849</v>
      </c>
      <c r="C93" s="2752">
        <f ca="1">ROUND(D45*D93/(1+'数据-取费表'!C42),0)</f>
        <v>103</v>
      </c>
      <c r="D93" s="2753">
        <f>'数据-取费表'!B43</f>
        <v>6.000000000000001E-3</v>
      </c>
      <c r="E93" s="3368" t="s">
        <v>1850</v>
      </c>
      <c r="F93" s="3369"/>
      <c r="G93" s="3369"/>
      <c r="H93" s="3370"/>
      <c r="I93" s="1958"/>
      <c r="J93" s="1955"/>
      <c r="K93" s="1955"/>
      <c r="L93" s="1955"/>
      <c r="M93" s="1955"/>
      <c r="N93" s="1955"/>
      <c r="O93" s="1955"/>
      <c r="P93" s="1955"/>
      <c r="Q93" s="1955"/>
      <c r="R93" s="1955"/>
      <c r="S93" s="1955"/>
      <c r="T93" s="1955"/>
      <c r="U93" s="1955"/>
      <c r="V93" s="1955"/>
      <c r="W93" s="1955"/>
      <c r="X93" s="1955"/>
      <c r="Y93" s="1955"/>
      <c r="Z93" s="1955"/>
      <c r="AA93" s="1956"/>
      <c r="AB93" s="1956"/>
      <c r="AC93" s="1956"/>
      <c r="AD93" s="1956"/>
      <c r="AE93" s="1956"/>
      <c r="AF93" s="1956"/>
      <c r="AG93" s="1956"/>
      <c r="AH93" s="1956"/>
      <c r="AI93" s="1956"/>
    </row>
    <row r="94" spans="1:35" s="1954" customFormat="1" ht="36.75" customHeight="1">
      <c r="A94" s="174" t="s">
        <v>1868</v>
      </c>
      <c r="B94" s="175" t="s">
        <v>1869</v>
      </c>
      <c r="C94" s="2758">
        <f>ROUND((C87+C90+C91)*D94,0)</f>
        <v>0</v>
      </c>
      <c r="D94" s="2753">
        <v>0.2</v>
      </c>
      <c r="E94" s="3416" t="s">
        <v>1870</v>
      </c>
      <c r="F94" s="3417"/>
      <c r="G94" s="3417"/>
      <c r="H94" s="3418"/>
      <c r="I94" s="1958"/>
      <c r="J94" s="1955"/>
      <c r="K94" s="1955"/>
      <c r="L94" s="1955"/>
      <c r="M94" s="1955"/>
      <c r="N94" s="1955"/>
      <c r="O94" s="1955"/>
      <c r="P94" s="1955"/>
      <c r="Q94" s="1955"/>
      <c r="R94" s="1955"/>
      <c r="S94" s="1955"/>
      <c r="T94" s="1955"/>
      <c r="U94" s="1955"/>
      <c r="V94" s="1955"/>
      <c r="W94" s="1955"/>
      <c r="X94" s="1955"/>
      <c r="Y94" s="1955"/>
      <c r="Z94" s="1955"/>
      <c r="AA94" s="1956"/>
      <c r="AB94" s="1956"/>
      <c r="AC94" s="1956"/>
      <c r="AD94" s="1956"/>
      <c r="AE94" s="1956"/>
      <c r="AF94" s="1956"/>
      <c r="AG94" s="1956"/>
      <c r="AH94" s="1956"/>
      <c r="AI94" s="1956"/>
    </row>
    <row r="95" spans="1:35" s="1954" customFormat="1" ht="14.25">
      <c r="A95" s="178" t="s">
        <v>598</v>
      </c>
      <c r="B95" s="179" t="s">
        <v>1851</v>
      </c>
      <c r="C95" s="2744">
        <f ca="1">ROUND(C85-C86,0)</f>
        <v>17100</v>
      </c>
      <c r="D95" s="175" t="s">
        <v>32</v>
      </c>
      <c r="E95" s="2505"/>
      <c r="F95" s="2504"/>
      <c r="G95" s="2504"/>
      <c r="H95" s="198"/>
      <c r="I95" s="1958"/>
      <c r="J95" s="1955"/>
      <c r="K95" s="1955"/>
      <c r="L95" s="1955"/>
      <c r="M95" s="1955"/>
      <c r="N95" s="1955"/>
      <c r="O95" s="1955"/>
      <c r="P95" s="1955"/>
      <c r="Q95" s="1955"/>
      <c r="R95" s="1955"/>
      <c r="S95" s="1955"/>
      <c r="T95" s="1955"/>
      <c r="U95" s="1955"/>
      <c r="V95" s="1955"/>
      <c r="W95" s="1955"/>
      <c r="X95" s="1955"/>
      <c r="Y95" s="1955"/>
      <c r="Z95" s="1955"/>
      <c r="AA95" s="1956"/>
      <c r="AB95" s="1956"/>
      <c r="AC95" s="1956"/>
      <c r="AD95" s="1956"/>
      <c r="AE95" s="1956"/>
      <c r="AF95" s="1956"/>
      <c r="AG95" s="1956"/>
      <c r="AH95" s="1956"/>
      <c r="AI95" s="1956"/>
    </row>
    <row r="96" spans="1:35" s="1954" customFormat="1" ht="24">
      <c r="A96" s="178" t="s">
        <v>599</v>
      </c>
      <c r="B96" s="179" t="s">
        <v>1852</v>
      </c>
      <c r="C96" s="2754">
        <f ca="1">IF(C95&lt;=0,0,C95/C86)</f>
        <v>166.01941747572815</v>
      </c>
      <c r="D96" s="175" t="s">
        <v>32</v>
      </c>
      <c r="E96" s="2498" t="str">
        <f ca="1">IF(C96&gt;=200%,"增值额超过扣除项目金额200%",IF(C96&gt;=100%,"增值额超过扣除项目金额100%，未超过200%",IF(C96&gt;=50%,"增值额超过扣除项目金额50%，未超过100%",IF(C96&lt;50%,"增值额未超过扣除项目金额50%"))))</f>
        <v>增值额超过扣除项目金额200%</v>
      </c>
      <c r="F96" s="2504"/>
      <c r="G96" s="2504"/>
      <c r="H96" s="198"/>
      <c r="I96" s="1958"/>
      <c r="J96" s="1955"/>
      <c r="K96" s="1955"/>
      <c r="L96" s="1955"/>
      <c r="M96" s="1955"/>
      <c r="N96" s="1955"/>
      <c r="O96" s="1955"/>
      <c r="P96" s="1955"/>
      <c r="Q96" s="1955"/>
      <c r="R96" s="1955"/>
      <c r="S96" s="1955"/>
      <c r="T96" s="1955"/>
      <c r="U96" s="1955"/>
      <c r="V96" s="1955"/>
      <c r="W96" s="1955"/>
      <c r="X96" s="1955"/>
      <c r="Y96" s="1955"/>
      <c r="Z96" s="1955"/>
      <c r="AA96" s="1956"/>
      <c r="AB96" s="1956"/>
      <c r="AC96" s="1956"/>
      <c r="AD96" s="1956"/>
      <c r="AE96" s="1956"/>
      <c r="AF96" s="1956"/>
      <c r="AG96" s="1956"/>
      <c r="AH96" s="1956"/>
      <c r="AI96" s="1956"/>
    </row>
    <row r="97" spans="1:35" s="1954" customFormat="1" ht="24.75" thickBot="1">
      <c r="A97" s="181" t="s">
        <v>600</v>
      </c>
      <c r="B97" s="182" t="s">
        <v>1853</v>
      </c>
      <c r="C97" s="2755">
        <f ca="1">ROUND(IF(C95&lt;=0,0,IF(C96&gt;=200%,C95*60%-C86*35%,IF(C96&gt;=100%,C95*50%-C86*15%,IF(C96&gt;=50%,C95*40%-C86*5%,IF(C96&lt;50%,C95*30%,0))))),0)</f>
        <v>10224</v>
      </c>
      <c r="D97" s="275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8"/>
      <c r="J97" s="1955"/>
      <c r="K97" s="1955"/>
      <c r="L97" s="1955"/>
      <c r="M97" s="1955"/>
      <c r="N97" s="1955"/>
      <c r="O97" s="1955"/>
      <c r="P97" s="1955"/>
      <c r="Q97" s="1955"/>
      <c r="R97" s="1955"/>
      <c r="S97" s="1955"/>
      <c r="T97" s="1955"/>
      <c r="U97" s="1955"/>
      <c r="V97" s="1955"/>
      <c r="W97" s="1955"/>
      <c r="X97" s="1955"/>
      <c r="Y97" s="1955"/>
      <c r="Z97" s="1955"/>
      <c r="AA97" s="1956"/>
      <c r="AB97" s="1956"/>
      <c r="AC97" s="1956"/>
      <c r="AD97" s="1956"/>
      <c r="AE97" s="1956"/>
      <c r="AF97" s="1956"/>
      <c r="AG97" s="1956"/>
      <c r="AH97" s="1956"/>
      <c r="AI97" s="1956"/>
    </row>
    <row r="98" spans="1:35" ht="21.75" customHeight="1">
      <c r="A98" s="1946"/>
      <c r="B98" s="1884"/>
      <c r="C98" s="1884"/>
      <c r="D98" s="1884"/>
      <c r="E98" s="1714"/>
      <c r="F98" s="1714"/>
      <c r="G98" s="1714"/>
      <c r="H98" s="1713"/>
      <c r="I98" s="134"/>
    </row>
    <row r="99" spans="1:35" ht="21.75" customHeight="1" thickBot="1">
      <c r="A99" s="1937" t="s">
        <v>1871</v>
      </c>
      <c r="B99" s="1884"/>
      <c r="C99" s="1884"/>
      <c r="D99" s="1884"/>
      <c r="E99" s="1714"/>
      <c r="F99" s="1714"/>
      <c r="G99" s="1714"/>
      <c r="H99" s="1713"/>
      <c r="I99" s="134"/>
    </row>
    <row r="100" spans="1:35" ht="18.75" customHeight="1">
      <c r="A100" s="3318" t="s">
        <v>1872</v>
      </c>
      <c r="B100" s="3319"/>
      <c r="C100" s="3319"/>
      <c r="D100" s="3353"/>
      <c r="E100" s="3319" t="s">
        <v>1873</v>
      </c>
      <c r="F100" s="3319"/>
      <c r="G100" s="3319"/>
      <c r="H100" s="3353"/>
      <c r="I100" s="134"/>
    </row>
    <row r="101" spans="1:35" ht="18.75" customHeight="1">
      <c r="A101" s="3361" t="s">
        <v>1874</v>
      </c>
      <c r="B101" s="3362"/>
      <c r="C101" s="2761" t="str">
        <f>C4</f>
        <v>成本法</v>
      </c>
      <c r="D101" s="2762" t="str">
        <f>D4</f>
        <v>收益法</v>
      </c>
      <c r="E101" s="3331" t="s">
        <v>1875</v>
      </c>
      <c r="F101" s="3332"/>
      <c r="G101" s="1964" t="s">
        <v>1876</v>
      </c>
      <c r="H101" s="2771">
        <f ca="1">H118</f>
        <v>18063</v>
      </c>
      <c r="I101" s="134"/>
    </row>
    <row r="102" spans="1:35" ht="18.75" customHeight="1">
      <c r="A102" s="3363" t="s">
        <v>1877</v>
      </c>
      <c r="B102" s="2760" t="s">
        <v>1876</v>
      </c>
      <c r="C102" s="2761">
        <f ca="1">C19</f>
        <v>21778</v>
      </c>
      <c r="D102" s="2762">
        <f ca="1">D19</f>
        <v>15586</v>
      </c>
      <c r="E102" s="3331"/>
      <c r="F102" s="3332"/>
      <c r="G102" s="1964" t="s">
        <v>1878</v>
      </c>
      <c r="H102" s="2731">
        <f ca="1">I118</f>
        <v>27654</v>
      </c>
      <c r="I102" s="134"/>
    </row>
    <row r="103" spans="1:35" ht="42.75" customHeight="1">
      <c r="A103" s="3363"/>
      <c r="B103" s="2760" t="s">
        <v>1878</v>
      </c>
      <c r="C103" s="2763">
        <f ca="1">C20</f>
        <v>33341</v>
      </c>
      <c r="D103" s="2764">
        <f ca="1">D20</f>
        <v>28791</v>
      </c>
      <c r="E103" s="3324" t="s">
        <v>1879</v>
      </c>
      <c r="F103" s="3325"/>
      <c r="G103" s="1965" t="s">
        <v>1880</v>
      </c>
      <c r="H103" s="2771">
        <f>IF(D36="正常操作",H104+H105+H106,H105+H106)</f>
        <v>3208</v>
      </c>
      <c r="I103" s="134"/>
    </row>
    <row r="104" spans="1:35" ht="18.75" customHeight="1">
      <c r="A104" s="3363" t="s">
        <v>1881</v>
      </c>
      <c r="B104" s="2765" t="s">
        <v>1876</v>
      </c>
      <c r="C104" s="2766">
        <f ca="1">H118</f>
        <v>18063</v>
      </c>
      <c r="D104" s="2767"/>
      <c r="E104" s="1811" t="s">
        <v>1882</v>
      </c>
      <c r="F104" s="1802"/>
      <c r="G104" s="1965" t="s">
        <v>1880</v>
      </c>
      <c r="H104" s="2772">
        <f>IF(D36="同一抵押权人同一抵押物续贷",C36&amp;"（续贷，未扣减，详见特别提示）",C36)</f>
        <v>0</v>
      </c>
      <c r="I104" s="134"/>
    </row>
    <row r="105" spans="1:35" ht="18.75" customHeight="1" thickBot="1">
      <c r="A105" s="3373"/>
      <c r="B105" s="2768" t="s">
        <v>1878</v>
      </c>
      <c r="C105" s="2769">
        <f ca="1">I118</f>
        <v>27654</v>
      </c>
      <c r="D105" s="2770"/>
      <c r="E105" s="1811" t="s">
        <v>1883</v>
      </c>
      <c r="F105" s="1802"/>
      <c r="G105" s="1965" t="s">
        <v>1880</v>
      </c>
      <c r="H105" s="2773">
        <f>C37</f>
        <v>0</v>
      </c>
      <c r="I105" s="134"/>
    </row>
    <row r="106" spans="1:35" ht="18.75" customHeight="1">
      <c r="A106" s="1884" t="s">
        <v>1884</v>
      </c>
      <c r="B106" s="1884"/>
      <c r="C106" s="1884"/>
      <c r="D106" s="1884"/>
      <c r="E106" s="1966" t="s">
        <v>1885</v>
      </c>
      <c r="F106" s="1802"/>
      <c r="G106" s="1965" t="s">
        <v>1880</v>
      </c>
      <c r="H106" s="2773">
        <f>C38</f>
        <v>3208</v>
      </c>
      <c r="I106" s="134"/>
    </row>
    <row r="107" spans="1:35" ht="18.75" customHeight="1">
      <c r="A107" s="134"/>
      <c r="B107" s="134"/>
      <c r="C107" s="134"/>
      <c r="D107" s="134"/>
      <c r="E107" s="3364" t="str">
        <f>IF(项目基本情况!E8="已注销","——","3.房地产抵押价值")</f>
        <v>3.房地产抵押价值</v>
      </c>
      <c r="F107" s="3332"/>
      <c r="G107" s="1964" t="s">
        <v>1876</v>
      </c>
      <c r="H107" s="2771">
        <f ca="1">IF(E107="——","——",H101-H103)</f>
        <v>14855</v>
      </c>
      <c r="I107" s="134"/>
    </row>
    <row r="108" spans="1:35" ht="18.75" customHeight="1">
      <c r="A108" s="134"/>
      <c r="B108" s="134"/>
      <c r="C108" s="134"/>
      <c r="D108" s="134"/>
      <c r="E108" s="3364"/>
      <c r="F108" s="3332"/>
      <c r="G108" s="1964" t="s">
        <v>1878</v>
      </c>
      <c r="H108" s="2731">
        <f ca="1">ROUND(H107*10000/'数据-汇总表'!E3,0)</f>
        <v>22742</v>
      </c>
      <c r="I108" s="134"/>
    </row>
    <row r="109" spans="1:35" ht="18.75" customHeight="1">
      <c r="A109" s="134"/>
      <c r="B109" s="134"/>
      <c r="C109" s="134"/>
      <c r="D109" s="134"/>
      <c r="E109" s="3364" t="str">
        <f>IF(项目基本情况!E8="已注销及未注销","4.抵押担保权已注销时的房地产抵押价值",IF(项目基本情况!E8="已注销","3.抵押担保权已注销时的房地产抵押价值","——"))</f>
        <v>——</v>
      </c>
      <c r="F109" s="3332"/>
      <c r="G109" s="1964" t="s">
        <v>1876</v>
      </c>
      <c r="H109" s="2774" t="str">
        <f>IF(E109="——","——",H101-H105-H106)</f>
        <v>——</v>
      </c>
      <c r="I109" s="134"/>
    </row>
    <row r="110" spans="1:35" ht="18.75" customHeight="1">
      <c r="A110" s="134"/>
      <c r="B110" s="134"/>
      <c r="C110" s="134"/>
      <c r="D110" s="134"/>
      <c r="E110" s="3364"/>
      <c r="F110" s="3332"/>
      <c r="G110" s="1964" t="s">
        <v>1878</v>
      </c>
      <c r="H110" s="2731" t="str">
        <f>IF(H109="——","——",ROUND(H109*10000/'数据-汇总表'!E3,0))</f>
        <v>——</v>
      </c>
      <c r="I110" s="134"/>
    </row>
    <row r="111" spans="1:35" ht="18.75" customHeight="1">
      <c r="A111" s="134"/>
      <c r="B111" s="134"/>
      <c r="C111" s="134"/>
      <c r="D111" s="134"/>
      <c r="E111" s="3365" t="str">
        <f>IF(项目基本情况!E9="抵押净值",IF(OR(项目基本情况!E8="已注销",项目基本情况!E8="房地产抵押价值"),"4.抵押净值","5.抵押净值"),"——")</f>
        <v>——</v>
      </c>
      <c r="F111" s="3351"/>
      <c r="G111" s="1964" t="s">
        <v>1876</v>
      </c>
      <c r="H111" s="2771" t="str">
        <f>IF(E111="——","——",N59)</f>
        <v>——</v>
      </c>
      <c r="I111" s="134"/>
    </row>
    <row r="112" spans="1:35" ht="18.75" customHeight="1" thickBot="1">
      <c r="A112" s="134"/>
      <c r="B112" s="134"/>
      <c r="C112" s="134"/>
      <c r="D112" s="134"/>
      <c r="E112" s="3366"/>
      <c r="F112" s="3367"/>
      <c r="G112" s="1967" t="s">
        <v>1878</v>
      </c>
      <c r="H112" s="2775" t="str">
        <f>IF(E111="——","——",N61)</f>
        <v>——</v>
      </c>
      <c r="I112" s="134"/>
    </row>
    <row r="113" spans="1:27" ht="18.75" customHeight="1">
      <c r="A113" s="134"/>
      <c r="B113" s="134"/>
      <c r="C113" s="134"/>
      <c r="D113" s="134"/>
      <c r="E113" s="3374" t="s">
        <v>1884</v>
      </c>
      <c r="F113" s="3374"/>
      <c r="G113" s="3374"/>
      <c r="H113" s="3374"/>
      <c r="I113" s="134"/>
    </row>
    <row r="114" spans="1:27" ht="3.75" customHeight="1">
      <c r="A114" s="1884"/>
      <c r="B114" s="1884"/>
      <c r="C114" s="1884"/>
      <c r="D114" s="1884"/>
      <c r="E114" s="1946"/>
      <c r="F114" s="1946"/>
      <c r="G114" s="1946"/>
      <c r="H114" s="1946"/>
      <c r="I114" s="1884"/>
    </row>
    <row r="115" spans="1:27" ht="18.75" customHeight="1">
      <c r="A115" s="3385" t="s">
        <v>1886</v>
      </c>
      <c r="B115" s="3386"/>
      <c r="C115" s="3386"/>
      <c r="D115" s="3386"/>
      <c r="E115" s="3386"/>
      <c r="F115" s="3386"/>
      <c r="G115" s="3386"/>
      <c r="H115" s="3386"/>
      <c r="I115" s="3387"/>
    </row>
    <row r="116" spans="1:27" ht="27" customHeight="1">
      <c r="A116" s="3339" t="s">
        <v>1887</v>
      </c>
      <c r="B116" s="3343" t="s">
        <v>1888</v>
      </c>
      <c r="C116" s="3343" t="s">
        <v>1889</v>
      </c>
      <c r="D116" s="3349" t="s">
        <v>1890</v>
      </c>
      <c r="E116" s="3350"/>
      <c r="F116" s="3381" t="s">
        <v>1891</v>
      </c>
      <c r="G116" s="3381"/>
      <c r="H116" s="3339" t="s">
        <v>1892</v>
      </c>
      <c r="I116" s="3339"/>
    </row>
    <row r="117" spans="1:27" ht="18.75" customHeight="1">
      <c r="A117" s="3339"/>
      <c r="B117" s="3344"/>
      <c r="C117" s="3344"/>
      <c r="D117" s="2503" t="s">
        <v>1893</v>
      </c>
      <c r="E117" s="2503" t="s">
        <v>1894</v>
      </c>
      <c r="F117" s="2503" t="s">
        <v>1893</v>
      </c>
      <c r="G117" s="2503" t="s">
        <v>1895</v>
      </c>
      <c r="H117" s="2503" t="s">
        <v>1893</v>
      </c>
      <c r="I117" s="2503" t="s">
        <v>1895</v>
      </c>
    </row>
    <row r="118" spans="1:27" ht="24.75" customHeight="1">
      <c r="A118" s="2776" t="str">
        <f>项目基本情况!S2</f>
        <v>北京市房地产</v>
      </c>
      <c r="B118" s="2503">
        <f>M18</f>
        <v>6531.86</v>
      </c>
      <c r="C118" s="2503">
        <f>M19</f>
        <v>0</v>
      </c>
      <c r="D118" s="2503">
        <f ca="1">ROUND(IF(D32="总价",C34,E118*B118/10000),0)</f>
        <v>16383</v>
      </c>
      <c r="E118" s="2503">
        <f ca="1">ROUND(IF(C33="自定义",IF(D32="楼面单价",C34,D118*10000/B118),I118-G118),0)</f>
        <v>25082</v>
      </c>
      <c r="F118" s="2503">
        <f ca="1">ROUND(IF(D32="总价",C35,G118*B118/10000),0)</f>
        <v>1680</v>
      </c>
      <c r="G118" s="2503">
        <f ca="1">ROUND(IF(D32="楼面单价",C35,F118*10000/B118),0)</f>
        <v>2572</v>
      </c>
      <c r="H118" s="2503">
        <f ca="1">ROUND(IF(D32="总价",C32,I118*B118/10000),0)</f>
        <v>18063</v>
      </c>
      <c r="I118" s="2503">
        <f ca="1">ROUND(IF(D32="楼面单价",C32,H118*10000/B118),0)</f>
        <v>27654</v>
      </c>
    </row>
    <row r="119" spans="1:27" ht="18.75" customHeight="1">
      <c r="A119" s="3339" t="s">
        <v>1896</v>
      </c>
      <c r="B119" s="3339"/>
      <c r="C119" s="3339"/>
      <c r="D119" s="3345" t="str">
        <f ca="1">NUMBERSTRING(INT(D118*10000),2)&amp;"元整"</f>
        <v>壹亿陆仟叁佰捌拾叁万元整</v>
      </c>
      <c r="E119" s="3346"/>
      <c r="F119" s="3345" t="str">
        <f ca="1">NUMBERSTRING(INT(F118*10000),2)&amp;"元整"</f>
        <v>壹仟陆佰捌拾万元整</v>
      </c>
      <c r="G119" s="3346"/>
      <c r="H119" s="3345" t="str">
        <f ca="1">NUMBERSTRING(INT(H118*10000),2)&amp;"元整"</f>
        <v>壹亿捌仟零陆拾叁万元整</v>
      </c>
      <c r="I119" s="3346"/>
    </row>
    <row r="120" spans="1:27" ht="18.75" customHeight="1">
      <c r="A120" s="3340" t="str">
        <f>IF(项目基本情况!B9="房地产市场价值","",MID(E103,3,LEN(E103)-2))</f>
        <v>估价师知悉的法定优先受偿款</v>
      </c>
      <c r="B120" s="3341"/>
      <c r="C120" s="3342"/>
      <c r="D120" s="3340">
        <f>H103</f>
        <v>3208</v>
      </c>
      <c r="E120" s="3341"/>
      <c r="F120" s="3341"/>
      <c r="G120" s="3341"/>
      <c r="H120" s="3341"/>
      <c r="I120" s="3342"/>
      <c r="J120" s="1889"/>
      <c r="K120" s="1889" t="str">
        <f>IF(D120=0,"故，本次评估不存在"&amp;A120,"故，本次评估"&amp;A120&amp;"为人民币"&amp;D120&amp;"万元整。")</f>
        <v>故，本次评估估价师知悉的法定优先受偿款为人民币3208万元整。</v>
      </c>
      <c r="L120" s="1889"/>
      <c r="M120" s="1889"/>
      <c r="N120" s="1889"/>
      <c r="O120" s="1889"/>
      <c r="P120" s="1889"/>
      <c r="Q120" s="1889"/>
      <c r="R120" s="1889"/>
      <c r="S120" s="1889"/>
    </row>
    <row r="121" spans="1:27" ht="18.75" customHeight="1">
      <c r="A121" s="3382" t="s">
        <v>1896</v>
      </c>
      <c r="B121" s="3383"/>
      <c r="C121" s="3384"/>
      <c r="D121" s="3345" t="str">
        <f>IF(D120=0,"零元整",NUMBERSTRING(INT(D120*10000),2)&amp;"元整")</f>
        <v>叁仟贰佰零捌万元整</v>
      </c>
      <c r="E121" s="3347"/>
      <c r="F121" s="3347"/>
      <c r="G121" s="3347"/>
      <c r="H121" s="3347"/>
      <c r="I121" s="3346"/>
      <c r="AA121" s="734"/>
    </row>
    <row r="122" spans="1:27" ht="18.75" customHeight="1">
      <c r="A122" s="3351" t="str">
        <f>IF(项目基本情况!B9="房地产市场价值","",MID(E107,3,LEN(E107)-2))</f>
        <v>房地产抵押价值</v>
      </c>
      <c r="B122" s="3351"/>
      <c r="C122" s="3351"/>
      <c r="D122" s="3340">
        <f ca="1">H107</f>
        <v>14855</v>
      </c>
      <c r="E122" s="3341"/>
      <c r="F122" s="3341"/>
      <c r="G122" s="3341"/>
      <c r="H122" s="3341"/>
      <c r="I122" s="3342"/>
      <c r="AA122" s="734"/>
    </row>
    <row r="123" spans="1:27" ht="18.75" customHeight="1">
      <c r="A123" s="3339" t="s">
        <v>1896</v>
      </c>
      <c r="B123" s="3339"/>
      <c r="C123" s="3339"/>
      <c r="D123" s="3345" t="str">
        <f ca="1">NUMBERSTRING(INT(D122*10000),2)&amp;"元整"</f>
        <v>壹亿肆仟捌佰伍拾伍万元整</v>
      </c>
      <c r="E123" s="3347"/>
      <c r="F123" s="3347"/>
      <c r="G123" s="3347"/>
      <c r="H123" s="3347"/>
      <c r="I123" s="3346"/>
      <c r="AA123" s="734"/>
    </row>
    <row r="124" spans="1:27" ht="18.75" customHeight="1">
      <c r="A124" s="3351" t="str">
        <f>IF(项目基本情况!B9="房地产市场价值","",MID(E109,3,LEN(E109)-2))</f>
        <v/>
      </c>
      <c r="B124" s="3351"/>
      <c r="C124" s="3351"/>
      <c r="D124" s="3340" t="str">
        <f>H109</f>
        <v>——</v>
      </c>
      <c r="E124" s="3341"/>
      <c r="F124" s="3341"/>
      <c r="G124" s="3341"/>
      <c r="H124" s="3341"/>
      <c r="I124" s="3342"/>
      <c r="AA124" s="734"/>
    </row>
    <row r="125" spans="1:27" ht="18.75" customHeight="1">
      <c r="A125" s="3339" t="s">
        <v>1896</v>
      </c>
      <c r="B125" s="3339"/>
      <c r="C125" s="3339"/>
      <c r="D125" s="3345" t="e">
        <f>NUMBERSTRING(INT(D124*10000),2)&amp;"元整"</f>
        <v>#VALUE!</v>
      </c>
      <c r="E125" s="3347"/>
      <c r="F125" s="3347"/>
      <c r="G125" s="3347"/>
      <c r="H125" s="3347"/>
      <c r="I125" s="3346"/>
      <c r="AA125" s="734"/>
    </row>
    <row r="126" spans="1:27" ht="18.75" customHeight="1">
      <c r="A126" s="3351" t="str">
        <f>IF(项目基本情况!B9="房地产市场价值","",MID(E111,3,LEN(E111)-2))</f>
        <v/>
      </c>
      <c r="B126" s="3351"/>
      <c r="C126" s="3351"/>
      <c r="D126" s="3340" t="str">
        <f>H111</f>
        <v>——</v>
      </c>
      <c r="E126" s="3341"/>
      <c r="F126" s="3341"/>
      <c r="G126" s="3341"/>
      <c r="H126" s="3341"/>
      <c r="I126" s="3342"/>
      <c r="AA126" s="734"/>
    </row>
    <row r="127" spans="1:27" ht="18.75" customHeight="1">
      <c r="A127" s="3339" t="s">
        <v>1896</v>
      </c>
      <c r="B127" s="3339"/>
      <c r="C127" s="3339"/>
      <c r="D127" s="3345" t="e">
        <f>NUMBERSTRING(INT(D126*10000),2)&amp;"元整"</f>
        <v>#VALUE!</v>
      </c>
      <c r="E127" s="3347"/>
      <c r="F127" s="3347"/>
      <c r="G127" s="3347"/>
      <c r="H127" s="3347"/>
      <c r="I127" s="3346"/>
      <c r="AA127" s="734"/>
    </row>
    <row r="128" spans="1:27" ht="21.75" customHeight="1">
      <c r="A128" s="3348" t="s">
        <v>1897</v>
      </c>
      <c r="B128" s="3348"/>
      <c r="C128" s="3348"/>
      <c r="D128" s="3348"/>
      <c r="E128" s="3348"/>
      <c r="F128" s="3348"/>
      <c r="G128" s="3348"/>
      <c r="H128" s="3348"/>
      <c r="I128" s="3348"/>
      <c r="AA128" s="734"/>
    </row>
    <row r="129" spans="1:35" ht="21.75" customHeight="1">
      <c r="A129" s="1968" t="s">
        <v>1898</v>
      </c>
      <c r="B129" s="1969"/>
      <c r="C129" s="1970" t="s">
        <v>1899</v>
      </c>
      <c r="D129" s="1971"/>
      <c r="E129" s="1971"/>
      <c r="F129" s="1971"/>
      <c r="G129" s="1971"/>
      <c r="H129" s="1972"/>
      <c r="I129" s="1973"/>
      <c r="AA129" s="734"/>
    </row>
    <row r="130" spans="1:35" ht="21.75" customHeight="1">
      <c r="A130" s="1974">
        <v>1</v>
      </c>
      <c r="B130" s="1975"/>
      <c r="C130" s="1975"/>
      <c r="D130" s="1976"/>
      <c r="E130" s="1976"/>
      <c r="F130" s="1976"/>
      <c r="G130" s="1976"/>
      <c r="H130" s="1977"/>
      <c r="I130" s="1978"/>
      <c r="AA130" s="734"/>
    </row>
    <row r="131" spans="1:35" ht="21.75" customHeight="1">
      <c r="A131" s="1974">
        <v>2</v>
      </c>
      <c r="B131" s="1975"/>
      <c r="C131" s="1975"/>
      <c r="D131" s="1976"/>
      <c r="E131" s="1976"/>
      <c r="F131" s="1976"/>
      <c r="G131" s="1976"/>
      <c r="H131" s="1977"/>
      <c r="I131" s="1978"/>
      <c r="AA131" s="734"/>
    </row>
    <row r="132" spans="1:35" ht="21.75" customHeight="1">
      <c r="A132" s="1974">
        <v>3</v>
      </c>
      <c r="B132" s="1975"/>
      <c r="C132" s="1975"/>
      <c r="D132" s="1976"/>
      <c r="E132" s="1976"/>
      <c r="F132" s="1976"/>
      <c r="G132" s="1976"/>
      <c r="H132" s="1977"/>
      <c r="I132" s="1978"/>
      <c r="AA132" s="734"/>
    </row>
    <row r="133" spans="1:35" ht="21.75" customHeight="1">
      <c r="A133" s="1979"/>
      <c r="B133" s="1980"/>
      <c r="C133" s="1980"/>
      <c r="D133" s="1981"/>
      <c r="E133" s="1981"/>
      <c r="F133" s="1981"/>
      <c r="G133" s="1981"/>
      <c r="H133" s="1982"/>
      <c r="I133" s="1983"/>
    </row>
    <row r="134" spans="1:35" ht="21.75" customHeight="1">
      <c r="A134" s="1975"/>
      <c r="B134" s="1975"/>
      <c r="C134" s="1975"/>
      <c r="D134" s="1976"/>
      <c r="E134" s="1976"/>
      <c r="F134" s="1976"/>
      <c r="G134" s="1976"/>
      <c r="H134" s="1977"/>
      <c r="I134" s="734"/>
    </row>
    <row r="135" spans="1:35" ht="21.75" customHeight="1">
      <c r="A135" s="734"/>
      <c r="B135" s="734"/>
      <c r="C135" s="734"/>
      <c r="D135" s="734"/>
      <c r="E135" s="734"/>
      <c r="F135" s="1984" t="s">
        <v>1900</v>
      </c>
      <c r="G135" s="1985"/>
      <c r="H135" s="1985"/>
      <c r="I135" s="1986" t="s">
        <v>1901</v>
      </c>
    </row>
    <row r="136" spans="1:35" ht="21.75" customHeight="1">
      <c r="A136" s="734"/>
      <c r="B136" s="1987" t="s">
        <v>1902</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5"/>
      <c r="C138" s="1985"/>
      <c r="D138" s="1985"/>
      <c r="E138" s="1985"/>
      <c r="F138" s="1985"/>
      <c r="G138" s="1985"/>
      <c r="H138" s="1985"/>
      <c r="I138" s="1986" t="s">
        <v>1903</v>
      </c>
    </row>
    <row r="139" spans="1:35" ht="21.75" customHeight="1">
      <c r="A139" s="734"/>
      <c r="B139" s="1987" t="s">
        <v>1904</v>
      </c>
      <c r="C139" s="734"/>
      <c r="D139" s="734"/>
      <c r="E139" s="734"/>
      <c r="F139" s="734"/>
      <c r="G139" s="734"/>
      <c r="H139" s="734"/>
      <c r="I139" s="734"/>
    </row>
    <row r="140" spans="1:35" ht="21.75" customHeight="1">
      <c r="A140" s="734"/>
      <c r="B140" s="1987"/>
      <c r="C140" s="734"/>
      <c r="D140" s="734"/>
      <c r="E140" s="734"/>
      <c r="F140" s="734"/>
      <c r="G140" s="734"/>
      <c r="H140" s="734"/>
      <c r="I140" s="734"/>
    </row>
    <row r="141" spans="1:35" ht="21.75" customHeight="1">
      <c r="A141" s="734"/>
      <c r="B141" s="1985"/>
      <c r="C141" s="1985"/>
      <c r="D141" s="1985"/>
      <c r="E141" s="1985"/>
      <c r="F141" s="1985"/>
      <c r="G141" s="1985"/>
      <c r="H141" s="1985"/>
      <c r="I141" s="1986" t="s">
        <v>1903</v>
      </c>
    </row>
    <row r="142" spans="1:35" ht="21.75" customHeight="1">
      <c r="A142" s="734"/>
      <c r="B142" s="1987"/>
      <c r="C142" s="1988"/>
      <c r="D142" s="1989"/>
      <c r="E142" s="1989"/>
      <c r="F142" s="1878"/>
      <c r="G142" s="734"/>
      <c r="H142" s="734"/>
      <c r="I142" s="734"/>
    </row>
    <row r="143" spans="1:35" s="135" customFormat="1" ht="21.75" customHeight="1">
      <c r="A143" s="734"/>
      <c r="B143" s="1987"/>
      <c r="C143" s="1988"/>
      <c r="D143" s="1989"/>
      <c r="E143" s="1989"/>
      <c r="F143" s="1878"/>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9"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9"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9"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9"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9"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9"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9"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9"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9"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9"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9"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9"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9"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9"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9"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9"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9"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9"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9"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9"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9"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9"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9"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9"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9"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9"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9"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9"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9"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9"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9"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9"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9"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9"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9"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9"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9"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9"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9"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9"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9"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9"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9"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9"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9"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9"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9"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9"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9"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9"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9"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9"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9"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9"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9"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9"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9"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9"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9"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9"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9"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9"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9"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9"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9"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9"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9"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9"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9"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9"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9"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9"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9"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9"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9"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9"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9"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9"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9"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9"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9"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9"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9"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9"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9"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9"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9"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9"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9"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9"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9"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9"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9"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9"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9"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9"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9"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9"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9"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9"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9"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9"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9"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9"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0" zoomScale="70" zoomScaleNormal="70" zoomScaleSheetLayoutView="70" workbookViewId="0">
      <selection activeCell="A72" sqref="A7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1905</v>
      </c>
      <c r="B1" s="1605"/>
      <c r="C1" s="204"/>
      <c r="D1" s="204"/>
      <c r="E1" s="204"/>
      <c r="F1" s="204"/>
      <c r="G1" s="1241">
        <f>MATCH(B1,'数据-取费表'!A6:A16,0)+5</f>
        <v>7</v>
      </c>
    </row>
    <row r="2" spans="1:9" s="206" customFormat="1" ht="18" customHeight="1">
      <c r="A2" s="207" t="s">
        <v>1906</v>
      </c>
      <c r="B2" s="208">
        <f ca="1">IF(D2="——",C52,C52-E2)</f>
        <v>21778</v>
      </c>
      <c r="C2" s="205" t="s">
        <v>1907</v>
      </c>
      <c r="D2" s="1990" t="s">
        <v>70</v>
      </c>
      <c r="E2" s="1284" t="e">
        <f ca="1">SUMIF(INDIRECT("'"&amp;G2&amp;"'"&amp;"!A:A"),"承租人权益价值",INDIRECT("'"&amp;G2&amp;"'"&amp;"!c:c"))</f>
        <v>#REF!</v>
      </c>
      <c r="F2" s="1991" t="s">
        <v>1907</v>
      </c>
      <c r="G2" s="1992"/>
    </row>
    <row r="3" spans="1:9" s="206" customFormat="1" ht="18" customHeight="1" thickBot="1">
      <c r="A3" s="209" t="s">
        <v>1908</v>
      </c>
      <c r="B3" s="210">
        <f ca="1">ROUND(B2*10000/(IF(B1="",'数据-汇总表'!E3,INDIRECT("'数据-取费表'!k"&amp;$G$1))),0)</f>
        <v>33341</v>
      </c>
      <c r="C3" s="205" t="s">
        <v>1909</v>
      </c>
      <c r="D3" s="205"/>
      <c r="E3" s="205"/>
      <c r="F3" s="205"/>
      <c r="G3" s="205"/>
    </row>
    <row r="4" spans="1:9" s="214" customFormat="1" ht="15.75">
      <c r="A4" s="211" t="s">
        <v>1910</v>
      </c>
      <c r="B4" s="212"/>
      <c r="C4" s="212"/>
      <c r="D4" s="212"/>
      <c r="E4" s="212"/>
      <c r="F4" s="212"/>
      <c r="G4" s="213"/>
    </row>
    <row r="5" spans="1:9" s="220" customFormat="1" ht="13.5" customHeight="1">
      <c r="A5" s="261" t="s">
        <v>1911</v>
      </c>
      <c r="B5" s="216" t="s">
        <v>1912</v>
      </c>
      <c r="C5" s="217">
        <f ca="1">C6+C7+C8</f>
        <v>13770</v>
      </c>
      <c r="D5" s="217" t="s">
        <v>1913</v>
      </c>
      <c r="E5" s="218" t="s">
        <v>1914</v>
      </c>
      <c r="F5" s="218" t="s">
        <v>1915</v>
      </c>
      <c r="G5" s="219"/>
    </row>
    <row r="6" spans="1:9" s="220" customFormat="1" ht="13.5" customHeight="1">
      <c r="A6" s="867" t="s">
        <v>1916</v>
      </c>
      <c r="B6" s="221" t="s">
        <v>1917</v>
      </c>
      <c r="C6" s="222">
        <f>[2]基准地价修正!$V$18</f>
        <v>13235</v>
      </c>
      <c r="D6" s="223"/>
      <c r="E6" s="224"/>
      <c r="F6" s="224"/>
      <c r="G6" s="225"/>
    </row>
    <row r="7" spans="1:9" s="220" customFormat="1" ht="13.5" customHeight="1">
      <c r="A7" s="867" t="s">
        <v>1918</v>
      </c>
      <c r="B7" s="221" t="s">
        <v>1919</v>
      </c>
      <c r="C7" s="226">
        <f>ROUND(C6*F7,0)</f>
        <v>404</v>
      </c>
      <c r="D7" s="226"/>
      <c r="E7" s="224"/>
      <c r="F7" s="227">
        <f>IF(项目基本情况!B8="出让",0,'数据-取费表'!B48+'数据-取费表'!B49)</f>
        <v>3.0499999999999999E-2</v>
      </c>
      <c r="G7" s="225"/>
    </row>
    <row r="8" spans="1:9" s="229" customFormat="1">
      <c r="A8" s="867" t="s">
        <v>1920</v>
      </c>
      <c r="B8" s="221" t="s">
        <v>1921</v>
      </c>
      <c r="C8" s="226">
        <f ca="1">IF(G8="已包含在土地购买价格中","0",IF(B1="",'数据-取费表'!B29,IF(G9="全部缴纳",C9+C10,H9)))</f>
        <v>131</v>
      </c>
      <c r="D8" s="228"/>
      <c r="E8" s="226"/>
      <c r="F8" s="227"/>
      <c r="G8" s="1993" t="s">
        <v>3190</v>
      </c>
    </row>
    <row r="9" spans="1:9" s="220" customFormat="1" ht="13.5" customHeight="1">
      <c r="A9" s="868" t="s">
        <v>619</v>
      </c>
      <c r="B9" s="230" t="s">
        <v>1922</v>
      </c>
      <c r="C9" s="231">
        <f ca="1">ROUND(D9*E9/10000,0)</f>
        <v>0</v>
      </c>
      <c r="D9" s="935">
        <f ca="1">IF(B1="",'数据-汇总表'!E5,IF(INDIRECT("'数据-取费表'!c"&amp;$G$1)="住宅",INDIRECT("'数据-取费表'!k"&amp;$G$1),0))</f>
        <v>0</v>
      </c>
      <c r="E9" s="231">
        <f>'数据-取费表'!B27</f>
        <v>160</v>
      </c>
      <c r="F9" s="227"/>
      <c r="G9" s="1994" t="s">
        <v>3191</v>
      </c>
      <c r="H9" s="1252"/>
      <c r="I9" s="1995" t="s">
        <v>1923</v>
      </c>
    </row>
    <row r="10" spans="1:9" s="220" customFormat="1" ht="13.5" customHeight="1">
      <c r="A10" s="868" t="s">
        <v>620</v>
      </c>
      <c r="B10" s="230" t="s">
        <v>1924</v>
      </c>
      <c r="C10" s="231">
        <f ca="1">ROUND(D10*E10/10000,0)</f>
        <v>131</v>
      </c>
      <c r="D10" s="935">
        <f ca="1">IF(B1="",'数据-汇总表'!E6,IF(INDIRECT("'数据-取费表'!c"&amp;$G$1)="住宅",INDIRECT("'数据-取费表'!s"&amp;$G$1),INDIRECT("'数据-取费表'!k"&amp;$G$1)+INDIRECT("'数据-取费表'!s"&amp;$G$1)))</f>
        <v>6531.86</v>
      </c>
      <c r="E10" s="231">
        <f>'数据-取费表'!B28</f>
        <v>200</v>
      </c>
      <c r="F10" s="227"/>
      <c r="G10" s="232"/>
    </row>
    <row r="11" spans="1:9" s="220" customFormat="1" ht="13.5" hidden="1" customHeight="1">
      <c r="A11" s="233" t="s">
        <v>7</v>
      </c>
      <c r="B11" s="221" t="s">
        <v>1925</v>
      </c>
      <c r="C11" s="217"/>
      <c r="D11" s="937"/>
      <c r="E11" s="224"/>
      <c r="F11" s="224"/>
      <c r="G11" s="225"/>
    </row>
    <row r="12" spans="1:9" s="220" customFormat="1" ht="13.5" hidden="1" customHeight="1">
      <c r="A12" s="233" t="s">
        <v>8</v>
      </c>
      <c r="B12" s="221" t="s">
        <v>1926</v>
      </c>
      <c r="C12" s="217">
        <v>0</v>
      </c>
      <c r="D12" s="937"/>
      <c r="E12" s="234"/>
      <c r="F12" s="227">
        <v>3.0499999999999999E-2</v>
      </c>
      <c r="G12" s="225"/>
    </row>
    <row r="13" spans="1:9" s="220" customFormat="1" ht="13.5" hidden="1" customHeight="1">
      <c r="A13" s="233" t="s">
        <v>9</v>
      </c>
      <c r="B13" s="221" t="s">
        <v>1927</v>
      </c>
      <c r="C13" s="217"/>
      <c r="D13" s="937"/>
      <c r="E13" s="224"/>
      <c r="F13" s="224"/>
      <c r="G13" s="225"/>
    </row>
    <row r="14" spans="1:9" s="220" customFormat="1" ht="13.5" hidden="1" customHeight="1">
      <c r="A14" s="233" t="s">
        <v>10</v>
      </c>
      <c r="B14" s="221" t="s">
        <v>1928</v>
      </c>
      <c r="C14" s="217"/>
      <c r="D14" s="937"/>
      <c r="E14" s="224"/>
      <c r="F14" s="224"/>
      <c r="G14" s="225" t="s">
        <v>1929</v>
      </c>
    </row>
    <row r="15" spans="1:9" s="220" customFormat="1" ht="13.5" hidden="1" customHeight="1">
      <c r="A15" s="233" t="s">
        <v>11</v>
      </c>
      <c r="B15" s="221" t="s">
        <v>1930</v>
      </c>
      <c r="C15" s="226"/>
      <c r="D15" s="937"/>
      <c r="E15" s="224"/>
      <c r="F15" s="224"/>
      <c r="G15" s="225" t="s">
        <v>1931</v>
      </c>
    </row>
    <row r="16" spans="1:9" s="220" customFormat="1" ht="13.5" hidden="1" customHeight="1">
      <c r="A16" s="233" t="s">
        <v>12</v>
      </c>
      <c r="B16" s="221" t="s">
        <v>1928</v>
      </c>
      <c r="C16" s="226"/>
      <c r="D16" s="937"/>
      <c r="E16" s="224"/>
      <c r="F16" s="224"/>
      <c r="G16" s="225"/>
    </row>
    <row r="17" spans="1:7" s="220" customFormat="1" ht="13.5" hidden="1" customHeight="1">
      <c r="A17" s="233" t="s">
        <v>13</v>
      </c>
      <c r="B17" s="221" t="s">
        <v>1932</v>
      </c>
      <c r="C17" s="235"/>
      <c r="D17" s="938"/>
      <c r="E17" s="235"/>
      <c r="F17" s="235"/>
      <c r="G17" s="225" t="s">
        <v>1931</v>
      </c>
    </row>
    <row r="18" spans="1:7" s="220" customFormat="1" ht="13.5" hidden="1" customHeight="1">
      <c r="A18" s="233" t="s">
        <v>14</v>
      </c>
      <c r="B18" s="221" t="s">
        <v>1933</v>
      </c>
      <c r="C18" s="226">
        <v>0</v>
      </c>
      <c r="D18" s="937"/>
      <c r="E18" s="224"/>
      <c r="F18" s="227">
        <v>3.0499999999999999E-2</v>
      </c>
      <c r="G18" s="225" t="s">
        <v>1934</v>
      </c>
    </row>
    <row r="19" spans="1:7" s="229" customFormat="1" ht="13.5" customHeight="1">
      <c r="A19" s="261" t="s">
        <v>1935</v>
      </c>
      <c r="B19" s="216" t="s">
        <v>1936</v>
      </c>
      <c r="C19" s="217">
        <f ca="1">IF(G19="已包含在土地取得成本中","0",ROUND(D19*E19/10000,0))</f>
        <v>131</v>
      </c>
      <c r="D19" s="939">
        <f ca="1">D9+D10</f>
        <v>6531.86</v>
      </c>
      <c r="E19" s="217">
        <f>'数据-取费表'!B31</f>
        <v>200</v>
      </c>
      <c r="F19" s="237"/>
      <c r="G19" s="1993" t="s">
        <v>861</v>
      </c>
    </row>
    <row r="20" spans="1:7" s="220" customFormat="1" ht="13.5" customHeight="1">
      <c r="A20" s="261" t="s">
        <v>1937</v>
      </c>
      <c r="B20" s="216" t="s">
        <v>1938</v>
      </c>
      <c r="C20" s="238">
        <f ca="1">ROUND((C5+C19)*F20,0)</f>
        <v>278</v>
      </c>
      <c r="D20" s="238"/>
      <c r="E20" s="238"/>
      <c r="F20" s="239">
        <f>'数据-取费表'!B37</f>
        <v>0.02</v>
      </c>
      <c r="G20" s="240" t="s">
        <v>1939</v>
      </c>
    </row>
    <row r="21" spans="1:7" s="220" customFormat="1" ht="13.5" customHeight="1">
      <c r="A21" s="261" t="s">
        <v>1940</v>
      </c>
      <c r="B21" s="216" t="s">
        <v>1941</v>
      </c>
      <c r="C21" s="241">
        <f>F21</f>
        <v>0.02</v>
      </c>
      <c r="D21" s="242" t="s">
        <v>1942</v>
      </c>
      <c r="E21" s="238"/>
      <c r="F21" s="239">
        <f>'数据-取费表'!B38</f>
        <v>0.02</v>
      </c>
      <c r="G21" s="240" t="s">
        <v>1943</v>
      </c>
    </row>
    <row r="22" spans="1:7" s="220" customFormat="1" ht="13.5" customHeight="1">
      <c r="A22" s="261" t="s">
        <v>1944</v>
      </c>
      <c r="B22" s="216" t="s">
        <v>1945</v>
      </c>
      <c r="C22" s="1217">
        <f ca="1">ROUND(SUM(C23:C25),0)</f>
        <v>1190</v>
      </c>
      <c r="D22" s="241">
        <f ca="1">C26</f>
        <v>8.0000000000000004E-4</v>
      </c>
      <c r="E22" s="242" t="s">
        <v>1942</v>
      </c>
      <c r="F22" s="243">
        <f ca="1">'数据-取费表'!B40</f>
        <v>4.1499999999999995E-2</v>
      </c>
      <c r="G22" s="240" t="str">
        <f>IF('数据-取费表'!B22&lt;=1,"单利计息","复利计息")</f>
        <v>复利计息</v>
      </c>
    </row>
    <row r="23" spans="1:7" s="220" customFormat="1" ht="13.5" customHeight="1">
      <c r="A23" s="869" t="s">
        <v>1946</v>
      </c>
      <c r="B23" s="221" t="s">
        <v>1947</v>
      </c>
      <c r="C23" s="1218">
        <f ca="1">ROUND(IF('数据-取费表'!B22&lt;=1,C5*F22*'数据-取费表'!B23,C5*(POWER((1+F22),'数据-取费表'!B23)-1)),0)</f>
        <v>1167</v>
      </c>
      <c r="D23" s="244"/>
      <c r="E23" s="244"/>
      <c r="F23" s="245"/>
      <c r="G23" s="246" t="s">
        <v>1948</v>
      </c>
    </row>
    <row r="24" spans="1:7" s="220" customFormat="1" ht="13.5" customHeight="1">
      <c r="A24" s="869" t="s">
        <v>1949</v>
      </c>
      <c r="B24" s="221" t="s">
        <v>1950</v>
      </c>
      <c r="C24" s="1218">
        <f ca="1">ROUND(IF('数据-取费表'!B22&lt;=1,C19*F22*('数据-取费表'!B19/2+'数据-取费表'!B21),C19*(POWER((1+F22),('数据-取费表'!B19/2+'数据-取费表'!B21))-1)),0)</f>
        <v>11</v>
      </c>
      <c r="D24" s="244"/>
      <c r="E24" s="244"/>
      <c r="F24" s="245"/>
      <c r="G24" s="246" t="s">
        <v>1951</v>
      </c>
    </row>
    <row r="25" spans="1:7" s="220" customFormat="1" ht="24">
      <c r="A25" s="869" t="s">
        <v>1952</v>
      </c>
      <c r="B25" s="221" t="s">
        <v>1953</v>
      </c>
      <c r="C25" s="1218">
        <f ca="1">ROUND(IF('数据-取费表'!B22&lt;=1,C20*F22*'数据-取费表'!B23/2,C20*(POWER((1+F22),'数据-取费表'!B23/2)-1)),0)</f>
        <v>12</v>
      </c>
      <c r="D25" s="244"/>
      <c r="E25" s="247"/>
      <c r="F25" s="245"/>
      <c r="G25" s="248" t="s">
        <v>1954</v>
      </c>
    </row>
    <row r="26" spans="1:7" s="220" customFormat="1">
      <c r="A26" s="869" t="s">
        <v>614</v>
      </c>
      <c r="B26" s="221" t="s">
        <v>1955</v>
      </c>
      <c r="C26" s="244">
        <f ca="1">ROUND(IF('数据-取费表'!B22&lt;=1,F21*F22*'数据-取费表'!B23/2,F21*(POWER((1+F22),'数据-取费表'!B23/2)-1)),4)</f>
        <v>8.0000000000000004E-4</v>
      </c>
      <c r="D26" s="244"/>
      <c r="E26" s="247"/>
      <c r="F26" s="245"/>
      <c r="G26" s="249"/>
    </row>
    <row r="27" spans="1:7" s="220" customFormat="1" ht="24.75">
      <c r="A27" s="261" t="s">
        <v>1956</v>
      </c>
      <c r="B27" s="250" t="s">
        <v>1957</v>
      </c>
      <c r="C27" s="251">
        <f ca="1">C28</f>
        <v>2836</v>
      </c>
      <c r="D27" s="241">
        <f ca="1">C29</f>
        <v>4.0000000000000001E-3</v>
      </c>
      <c r="E27" s="242" t="s">
        <v>1958</v>
      </c>
      <c r="F27" s="252">
        <f ca="1">IF(B1="",'数据-取费表'!Q16,INDIRECT("'数据-取费表'!q"&amp;$G$1))</f>
        <v>0.2</v>
      </c>
      <c r="G27" s="253" t="s">
        <v>1959</v>
      </c>
    </row>
    <row r="28" spans="1:7" s="220" customFormat="1" ht="13.5" customHeight="1">
      <c r="A28" s="869" t="s">
        <v>610</v>
      </c>
      <c r="B28" s="254" t="s">
        <v>1960</v>
      </c>
      <c r="C28" s="255">
        <f ca="1">ROUND((C5+C19+C20)*F27*'数据-取费表'!B21/'数据-取费表'!B20,0)</f>
        <v>2836</v>
      </c>
      <c r="D28" s="241"/>
      <c r="E28" s="242"/>
      <c r="F28" s="252"/>
      <c r="G28" s="253"/>
    </row>
    <row r="29" spans="1:7" s="220" customFormat="1" ht="13.5" customHeight="1">
      <c r="A29" s="869" t="s">
        <v>611</v>
      </c>
      <c r="B29" s="254" t="s">
        <v>1961</v>
      </c>
      <c r="C29" s="244">
        <f ca="1">ROUND(C21*F27*'数据-取费表'!B21/'数据-取费表'!B20,4)</f>
        <v>4.0000000000000001E-3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19747</v>
      </c>
      <c r="D31" s="236"/>
      <c r="E31" s="217"/>
      <c r="F31" s="256"/>
      <c r="G31" s="240" t="s">
        <v>1966</v>
      </c>
    </row>
    <row r="32" spans="1:7" s="214" customFormat="1" ht="15.75">
      <c r="A32" s="258" t="s">
        <v>1967</v>
      </c>
      <c r="B32" s="259"/>
      <c r="C32" s="259"/>
      <c r="D32" s="259"/>
      <c r="E32" s="259"/>
      <c r="F32" s="259"/>
      <c r="G32" s="260"/>
    </row>
    <row r="33" spans="1:7" s="220" customFormat="1" ht="13.5" customHeight="1">
      <c r="A33" s="261" t="s">
        <v>601</v>
      </c>
      <c r="B33" s="216" t="s">
        <v>1968</v>
      </c>
      <c r="C33" s="262">
        <f ca="1">SUM(C34:C38)</f>
        <v>1998</v>
      </c>
      <c r="D33" s="238"/>
      <c r="E33" s="218"/>
      <c r="F33" s="247"/>
      <c r="G33" s="240"/>
    </row>
    <row r="34" spans="1:7" s="264" customFormat="1" ht="13.5" customHeight="1">
      <c r="A34" s="869" t="s">
        <v>610</v>
      </c>
      <c r="B34" s="221" t="s">
        <v>1969</v>
      </c>
      <c r="C34" s="226">
        <f ca="1">IF(B1="",IF(F34=100%,'数据-取费表'!M16,'数据-取费表'!O16),IF(F34=100%,INDIRECT("'数据-取费表'!m"&amp;$G$1)+INDIRECT("'数据-取费表'!t"&amp;$G$1),INDIRECT("'数据-取费表'!o"&amp;$G$1)+INDIRECT("'数据-取费表'!aq"&amp;$G$1)))</f>
        <v>1786</v>
      </c>
      <c r="D34" s="223"/>
      <c r="E34" s="226"/>
      <c r="F34" s="263">
        <f ca="1">IF('数据-取费表'!B24=0,1,IF(B1="",'数据-取费表'!N16,INDIRECT("'数据-取费表'!n"&amp;$G$1)))</f>
        <v>1</v>
      </c>
      <c r="G34" s="225" t="s">
        <v>1970</v>
      </c>
    </row>
    <row r="35" spans="1:7" ht="13.5" customHeight="1">
      <c r="A35" s="869" t="s">
        <v>615</v>
      </c>
      <c r="B35" s="221" t="s">
        <v>1971</v>
      </c>
      <c r="C35" s="226">
        <f ca="1">ROUND(C34*F35,0)</f>
        <v>54</v>
      </c>
      <c r="D35" s="226"/>
      <c r="E35" s="226"/>
      <c r="F35" s="265">
        <f>'数据-取费表'!B33</f>
        <v>0.03</v>
      </c>
      <c r="G35" s="225" t="s">
        <v>1972</v>
      </c>
    </row>
    <row r="36" spans="1:7" ht="24">
      <c r="A36" s="869" t="s">
        <v>616</v>
      </c>
      <c r="B36" s="221" t="s">
        <v>1973</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1974</v>
      </c>
    </row>
    <row r="37" spans="1:7" s="264" customFormat="1" ht="13.5" customHeight="1">
      <c r="A37" s="869" t="s">
        <v>617</v>
      </c>
      <c r="B37" s="221" t="s">
        <v>1975</v>
      </c>
      <c r="C37" s="255">
        <f ca="1">ROUND(E37*D37*F34/10000,0)</f>
        <v>131</v>
      </c>
      <c r="D37" s="223">
        <f ca="1">D19</f>
        <v>6531.86</v>
      </c>
      <c r="E37" s="255">
        <f>'数据-取费表'!B35</f>
        <v>200</v>
      </c>
      <c r="F37" s="265"/>
      <c r="G37" s="267" t="s">
        <v>1976</v>
      </c>
    </row>
    <row r="38" spans="1:7" ht="13.5" customHeight="1">
      <c r="A38" s="869" t="s">
        <v>618</v>
      </c>
      <c r="B38" s="221" t="s">
        <v>1977</v>
      </c>
      <c r="C38" s="226">
        <f ca="1">ROUND(C34*F38,0)</f>
        <v>27</v>
      </c>
      <c r="D38" s="226"/>
      <c r="E38" s="226"/>
      <c r="F38" s="265">
        <f>'数据-取费表'!B36</f>
        <v>1.4999999999999999E-2</v>
      </c>
      <c r="G38" s="225" t="s">
        <v>1972</v>
      </c>
    </row>
    <row r="39" spans="1:7" s="220" customFormat="1" ht="13.5" customHeight="1">
      <c r="A39" s="261" t="s">
        <v>1978</v>
      </c>
      <c r="B39" s="216" t="s">
        <v>1979</v>
      </c>
      <c r="C39" s="238">
        <f ca="1">ROUND(C33*F20,0)</f>
        <v>40</v>
      </c>
      <c r="D39" s="238"/>
      <c r="E39" s="238"/>
      <c r="F39" s="2486">
        <f>F20</f>
        <v>0.02</v>
      </c>
      <c r="G39" s="240" t="s">
        <v>1980</v>
      </c>
    </row>
    <row r="40" spans="1:7" s="220" customFormat="1" ht="13.5" customHeight="1">
      <c r="A40" s="261" t="s">
        <v>1981</v>
      </c>
      <c r="B40" s="216" t="s">
        <v>1982</v>
      </c>
      <c r="C40" s="1448">
        <f>F21</f>
        <v>0.02</v>
      </c>
      <c r="D40" s="242" t="s">
        <v>1983</v>
      </c>
      <c r="E40" s="238"/>
      <c r="F40" s="2486">
        <f>F21</f>
        <v>0.02</v>
      </c>
      <c r="G40" s="240" t="s">
        <v>1984</v>
      </c>
    </row>
    <row r="41" spans="1:7" s="220" customFormat="1" ht="13.5" customHeight="1">
      <c r="A41" s="261" t="s">
        <v>1985</v>
      </c>
      <c r="B41" s="216" t="s">
        <v>1986</v>
      </c>
      <c r="C41" s="238">
        <f ca="1">ROUND(SUM(C42:C43),0)</f>
        <v>85</v>
      </c>
      <c r="D41" s="241">
        <f ca="1">C44</f>
        <v>8.0000000000000004E-4</v>
      </c>
      <c r="E41" s="242" t="s">
        <v>1983</v>
      </c>
      <c r="F41" s="2487">
        <f ca="1">F22</f>
        <v>4.1499999999999995E-2</v>
      </c>
      <c r="G41" s="240" t="str">
        <f>IF('数据-取费表'!B22&lt;=1,"单利计息","复利计息")</f>
        <v>复利计息</v>
      </c>
    </row>
    <row r="42" spans="1:7" ht="13.5" customHeight="1">
      <c r="A42" s="869" t="s">
        <v>610</v>
      </c>
      <c r="B42" s="221" t="s">
        <v>1987</v>
      </c>
      <c r="C42" s="244">
        <f ca="1">ROUND(IF('数据-取费表'!B22&lt;=1,C33*F22*'数据-取费表'!B21/2,C33*(POWER((1+F22),'数据-取费表'!B21/2)-1)),0)</f>
        <v>83</v>
      </c>
      <c r="D42" s="244"/>
      <c r="E42" s="244"/>
      <c r="F42" s="245"/>
      <c r="G42" s="3421" t="s">
        <v>1988</v>
      </c>
    </row>
    <row r="43" spans="1:7" ht="13.5" customHeight="1">
      <c r="A43" s="869" t="s">
        <v>611</v>
      </c>
      <c r="B43" s="221" t="s">
        <v>1989</v>
      </c>
      <c r="C43" s="244">
        <f ca="1">ROUND(IF('数据-取费表'!B22&lt;=1,C39*F22*'数据-取费表'!B21/2,C39*(POWER((1+F22),'数据-取费表'!B21/2)-1)),0)</f>
        <v>2</v>
      </c>
      <c r="D43" s="244"/>
      <c r="E43" s="244"/>
      <c r="F43" s="245"/>
      <c r="G43" s="3422"/>
    </row>
    <row r="44" spans="1:7" ht="13.5" customHeight="1">
      <c r="A44" s="869" t="s">
        <v>612</v>
      </c>
      <c r="B44" s="221" t="s">
        <v>1990</v>
      </c>
      <c r="C44" s="244">
        <f ca="1">ROUND(IF('数据-取费表'!B22&lt;=1,C40*F22*'数据-取费表'!B21/2,C40*(POWER((1+F22),'数据-取费表'!B21/2)-1)),4)</f>
        <v>8.0000000000000004E-4</v>
      </c>
      <c r="D44" s="244"/>
      <c r="E44" s="244"/>
      <c r="F44" s="245"/>
      <c r="G44" s="3423"/>
    </row>
    <row r="45" spans="1:7" s="220" customFormat="1" ht="13.5" customHeight="1">
      <c r="A45" s="261" t="s">
        <v>1991</v>
      </c>
      <c r="B45" s="250" t="s">
        <v>1957</v>
      </c>
      <c r="C45" s="251">
        <f ca="1">C46</f>
        <v>408</v>
      </c>
      <c r="D45" s="241">
        <f ca="1">C47</f>
        <v>4.0000000000000001E-3</v>
      </c>
      <c r="E45" s="242" t="s">
        <v>1983</v>
      </c>
      <c r="F45" s="2488">
        <f ca="1">F27</f>
        <v>0.2</v>
      </c>
      <c r="G45" s="253" t="s">
        <v>1992</v>
      </c>
    </row>
    <row r="46" spans="1:7" s="220" customFormat="1" ht="13.5" customHeight="1">
      <c r="A46" s="869" t="s">
        <v>610</v>
      </c>
      <c r="B46" s="254" t="s">
        <v>1993</v>
      </c>
      <c r="C46" s="255">
        <f ca="1">ROUND((C33+C39)*F27,0)</f>
        <v>408</v>
      </c>
      <c r="D46" s="269"/>
      <c r="E46" s="242"/>
      <c r="F46" s="252"/>
      <c r="G46" s="253"/>
    </row>
    <row r="47" spans="1:7" s="220" customFormat="1" ht="13.5" customHeight="1">
      <c r="A47" s="869" t="s">
        <v>611</v>
      </c>
      <c r="B47" s="254" t="s">
        <v>1994</v>
      </c>
      <c r="C47" s="244">
        <f ca="1">ROUND(C40*F27,4)</f>
        <v>4.0000000000000001E-3</v>
      </c>
      <c r="D47" s="269"/>
      <c r="E47" s="242"/>
      <c r="F47" s="252"/>
      <c r="G47" s="253"/>
    </row>
    <row r="48" spans="1:7" s="220" customFormat="1" ht="13.5" customHeight="1">
      <c r="A48" s="261" t="s">
        <v>1956</v>
      </c>
      <c r="B48" s="216" t="s">
        <v>1995</v>
      </c>
      <c r="C48" s="1448">
        <f>ROUND(F30/(1+'数据-取费表'!C42),4)</f>
        <v>5.33E-2</v>
      </c>
      <c r="D48" s="242" t="s">
        <v>1983</v>
      </c>
      <c r="E48" s="238"/>
      <c r="F48" s="2487">
        <f>F30</f>
        <v>5.6000000000000001E-2</v>
      </c>
      <c r="G48" s="240" t="s">
        <v>1996</v>
      </c>
    </row>
    <row r="49" spans="1:7" ht="16.5" customHeight="1">
      <c r="A49" s="261" t="s">
        <v>1962</v>
      </c>
      <c r="B49" s="216" t="s">
        <v>1997</v>
      </c>
      <c r="C49" s="238">
        <f ca="1">ROUND((C33+C39+C41+C45)/(1-C40-D41-D45-C48),0)</f>
        <v>2745</v>
      </c>
      <c r="D49" s="238"/>
      <c r="E49" s="238"/>
      <c r="F49" s="270"/>
      <c r="G49" s="240" t="s">
        <v>1998</v>
      </c>
    </row>
    <row r="50" spans="1:7" s="264" customFormat="1" ht="24">
      <c r="A50" s="261" t="s">
        <v>1999</v>
      </c>
      <c r="B50" s="216" t="s">
        <v>2000</v>
      </c>
      <c r="C50" s="238"/>
      <c r="D50" s="238"/>
      <c r="E50" s="238"/>
      <c r="F50" s="270">
        <f>IF('数据-取费表'!B24=0,'数据-取费表'!N16,1)</f>
        <v>0.74</v>
      </c>
      <c r="G50" s="253" t="s">
        <v>2001</v>
      </c>
    </row>
    <row r="51" spans="1:7" ht="16.5" customHeight="1">
      <c r="A51" s="261" t="s">
        <v>2002</v>
      </c>
      <c r="B51" s="216" t="s">
        <v>2003</v>
      </c>
      <c r="C51" s="238">
        <f ca="1">ROUND(C49*F50,0)</f>
        <v>2031</v>
      </c>
      <c r="D51" s="238"/>
      <c r="E51" s="238"/>
      <c r="F51" s="270"/>
      <c r="G51" s="240" t="s">
        <v>2004</v>
      </c>
    </row>
    <row r="52" spans="1:7" s="214" customFormat="1" ht="16.5" thickBot="1">
      <c r="A52" s="271" t="s">
        <v>2005</v>
      </c>
      <c r="B52" s="272"/>
      <c r="C52" s="273">
        <f ca="1">C31+C51</f>
        <v>21778</v>
      </c>
      <c r="D52" s="272"/>
      <c r="E52" s="272"/>
      <c r="F52" s="272"/>
      <c r="G52" s="274"/>
    </row>
    <row r="55" spans="1:7" ht="15">
      <c r="B55" s="276" t="s">
        <v>2006</v>
      </c>
      <c r="C55" s="277"/>
    </row>
    <row r="56" spans="1:7">
      <c r="B56" s="279" t="s">
        <v>1237</v>
      </c>
      <c r="C56" s="281">
        <f ca="1">1-C57</f>
        <v>0.90700000000000003</v>
      </c>
    </row>
    <row r="57" spans="1:7">
      <c r="B57" s="279" t="s">
        <v>1238</v>
      </c>
      <c r="C57" s="280">
        <f ca="1">ROUND(C51/C52,3)</f>
        <v>9.2999999999999999E-2</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3" customWidth="1"/>
    <col min="2" max="9" width="10" style="933" customWidth="1"/>
    <col min="10" max="16384" width="9" style="933"/>
  </cols>
  <sheetData>
    <row r="36" spans="1:9">
      <c r="A36" s="932" t="s">
        <v>637</v>
      </c>
      <c r="B36" s="932" t="s">
        <v>638</v>
      </c>
    </row>
    <row r="37" spans="1:9" ht="27.75" customHeight="1">
      <c r="A37" s="932"/>
      <c r="B37" s="3232" t="str">
        <f>项目基本情况!B1</f>
        <v>北京市房地产抵押价值预评估</v>
      </c>
      <c r="C37" s="3232"/>
      <c r="D37" s="3232"/>
      <c r="E37" s="3232"/>
      <c r="F37" s="3232"/>
      <c r="G37" s="3232"/>
      <c r="H37" s="3232"/>
      <c r="I37" s="3232"/>
    </row>
    <row r="38" spans="1:9">
      <c r="A38" s="934"/>
      <c r="B38" s="934"/>
    </row>
    <row r="39" spans="1:9">
      <c r="A39" s="932" t="s">
        <v>637</v>
      </c>
      <c r="B39" s="932" t="s">
        <v>639</v>
      </c>
    </row>
    <row r="40" spans="1:9">
      <c r="A40" s="932"/>
      <c r="B40" s="1610">
        <f>项目基本情况!B5</f>
        <v>0</v>
      </c>
    </row>
    <row r="41" spans="1:9">
      <c r="A41" s="932"/>
      <c r="B41" s="932"/>
    </row>
    <row r="42" spans="1:9">
      <c r="A42" s="932" t="s">
        <v>637</v>
      </c>
      <c r="B42" s="932" t="s">
        <v>640</v>
      </c>
    </row>
    <row r="43" spans="1:9">
      <c r="A43" s="932"/>
      <c r="B43" s="1610" t="s">
        <v>641</v>
      </c>
    </row>
    <row r="44" spans="1:9">
      <c r="A44" s="932"/>
      <c r="B44" s="932"/>
    </row>
    <row r="45" spans="1:9">
      <c r="A45" s="932" t="s">
        <v>637</v>
      </c>
      <c r="B45" s="932" t="s">
        <v>642</v>
      </c>
    </row>
    <row r="46" spans="1:9" s="932" customFormat="1" ht="12.75">
      <c r="B46" s="1610" t="str">
        <f>项目基本情况!K4</f>
        <v>（注册号：0)、（注册号：0)</v>
      </c>
    </row>
    <row r="47" spans="1:9">
      <c r="A47" s="932"/>
      <c r="B47" s="932" t="str">
        <f>项目基本情况!K5</f>
        <v>（注册号：0)、（注册号：0)</v>
      </c>
    </row>
    <row r="48" spans="1:9">
      <c r="A48" s="932" t="s">
        <v>637</v>
      </c>
      <c r="B48" s="932" t="s">
        <v>643</v>
      </c>
    </row>
    <row r="49" spans="2:2">
      <c r="B49" s="1610"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1905</v>
      </c>
      <c r="B1" s="1605"/>
      <c r="C1" s="1996" t="s">
        <v>2007</v>
      </c>
      <c r="D1" s="204"/>
      <c r="E1" s="204"/>
      <c r="F1" s="204"/>
      <c r="G1" s="1241">
        <f>MATCH(B1,'数据-取费表'!A6:A16,0)+5</f>
        <v>7</v>
      </c>
      <c r="H1" s="1173" t="str">
        <f>IF(ISERROR(FIND("住宅",B1)),"非住宅","住宅")</f>
        <v>非住宅</v>
      </c>
    </row>
    <row r="2" spans="1:8" s="206" customFormat="1" ht="18" customHeight="1">
      <c r="A2" s="207" t="s">
        <v>1906</v>
      </c>
      <c r="B2" s="208">
        <f ca="1">ROUND(IF(D2="——",C52/10000,C52/10000-E2),0)</f>
        <v>2402</v>
      </c>
      <c r="C2" s="205" t="s">
        <v>1907</v>
      </c>
      <c r="D2" s="1990" t="s">
        <v>70</v>
      </c>
      <c r="E2" s="1284" t="e">
        <f ca="1">SUMIF(INDIRECT("'"&amp;G2&amp;"'"&amp;"!A:A"),"承租人权益价值",INDIRECT("'"&amp;G2&amp;"'"&amp;"!c:c"))</f>
        <v>#REF!</v>
      </c>
      <c r="F2" s="1991" t="s">
        <v>1907</v>
      </c>
      <c r="G2" s="1992"/>
    </row>
    <row r="3" spans="1:8" s="206" customFormat="1" ht="18" customHeight="1" thickBot="1">
      <c r="A3" s="209" t="s">
        <v>1908</v>
      </c>
      <c r="B3" s="210">
        <f ca="1">ROUND(B2*10000/(IF(B1="",'数据-汇总表'!E3,INDIRECT("'数据-取费表'!k"&amp;$G$1))),0)</f>
        <v>3677</v>
      </c>
      <c r="C3" s="205" t="s">
        <v>1909</v>
      </c>
      <c r="D3" s="205"/>
      <c r="E3" s="205"/>
      <c r="F3" s="205"/>
      <c r="G3" s="205"/>
    </row>
    <row r="4" spans="1:8" s="214" customFormat="1" ht="15.75">
      <c r="A4" s="211" t="s">
        <v>1910</v>
      </c>
      <c r="B4" s="212"/>
      <c r="C4" s="212"/>
      <c r="D4" s="212"/>
      <c r="E4" s="212"/>
      <c r="F4" s="212"/>
      <c r="G4" s="213"/>
    </row>
    <row r="5" spans="1:8" s="220" customFormat="1" ht="13.5" customHeight="1">
      <c r="A5" s="261" t="s">
        <v>1911</v>
      </c>
      <c r="B5" s="216" t="s">
        <v>1912</v>
      </c>
      <c r="C5" s="217">
        <f ca="1">C6+C7+C8</f>
        <v>1306372</v>
      </c>
      <c r="D5" s="217" t="s">
        <v>1913</v>
      </c>
      <c r="E5" s="218" t="s">
        <v>1914</v>
      </c>
      <c r="F5" s="218" t="s">
        <v>1915</v>
      </c>
      <c r="G5" s="219"/>
    </row>
    <row r="6" spans="1:8" s="220" customFormat="1" ht="13.5" customHeight="1">
      <c r="A6" s="867" t="s">
        <v>1916</v>
      </c>
      <c r="B6" s="221" t="s">
        <v>1917</v>
      </c>
      <c r="C6" s="222"/>
      <c r="D6" s="223"/>
      <c r="E6" s="224"/>
      <c r="F6" s="224"/>
      <c r="G6" s="225"/>
    </row>
    <row r="7" spans="1:8" s="220" customFormat="1" ht="13.5" customHeight="1">
      <c r="A7" s="867" t="s">
        <v>1918</v>
      </c>
      <c r="B7" s="221" t="s">
        <v>1919</v>
      </c>
      <c r="C7" s="226">
        <f>ROUND(C6*F7,0)</f>
        <v>0</v>
      </c>
      <c r="D7" s="226"/>
      <c r="E7" s="224"/>
      <c r="F7" s="227">
        <f>IF(项目基本情况!B8="出让",0,'数据-取费表'!B48+'数据-取费表'!B49)</f>
        <v>3.0499999999999999E-2</v>
      </c>
      <c r="G7" s="225"/>
    </row>
    <row r="8" spans="1:8" s="229" customFormat="1">
      <c r="A8" s="867" t="s">
        <v>1920</v>
      </c>
      <c r="B8" s="221" t="s">
        <v>1921</v>
      </c>
      <c r="C8" s="226">
        <f ca="1">IF(G8="已包含在土地购买价格中",0,C9+C10)</f>
        <v>1306372</v>
      </c>
      <c r="D8" s="228"/>
      <c r="E8" s="226"/>
      <c r="F8" s="227"/>
      <c r="G8" s="1993"/>
    </row>
    <row r="9" spans="1:8" s="220" customFormat="1" ht="13.5" customHeight="1">
      <c r="A9" s="868" t="s">
        <v>619</v>
      </c>
      <c r="B9" s="230" t="s">
        <v>1922</v>
      </c>
      <c r="C9" s="231">
        <f ca="1">ROUND(D9*E9,0)</f>
        <v>0</v>
      </c>
      <c r="D9" s="935">
        <f ca="1">IF(B1="",'数据-汇总表'!E5,IF(INDIRECT("'数据-取费表'!c"&amp;$G$1)="住宅",INDIRECT("'数据-取费表'!k"&amp;$G$1),0))</f>
        <v>0</v>
      </c>
      <c r="E9" s="231">
        <f>'数据-取费表'!B27</f>
        <v>160</v>
      </c>
      <c r="F9" s="227"/>
      <c r="G9" s="232"/>
    </row>
    <row r="10" spans="1:8" s="220" customFormat="1" ht="13.5" customHeight="1">
      <c r="A10" s="868" t="s">
        <v>620</v>
      </c>
      <c r="B10" s="230" t="s">
        <v>1924</v>
      </c>
      <c r="C10" s="231">
        <f ca="1">ROUND(D10*E10,0)</f>
        <v>1306372</v>
      </c>
      <c r="D10" s="935">
        <f ca="1">IF(B1="",'数据-汇总表'!E6,IF(INDIRECT("'数据-取费表'!c"&amp;$G$1)="住宅",INDIRECT("'数据-取费表'!s"&amp;$G$1),INDIRECT("'数据-取费表'!k"&amp;$G$1)+INDIRECT("'数据-取费表'!s"&amp;$G$1)))</f>
        <v>6531.86</v>
      </c>
      <c r="E10" s="231">
        <f>'数据-取费表'!B28</f>
        <v>200</v>
      </c>
      <c r="F10" s="227"/>
      <c r="G10" s="232"/>
    </row>
    <row r="11" spans="1:8" s="220" customFormat="1" ht="13.5" hidden="1" customHeight="1">
      <c r="A11" s="233" t="s">
        <v>7</v>
      </c>
      <c r="B11" s="221" t="s">
        <v>1925</v>
      </c>
      <c r="C11" s="217"/>
      <c r="D11" s="937"/>
      <c r="E11" s="224"/>
      <c r="F11" s="224"/>
      <c r="G11" s="225"/>
    </row>
    <row r="12" spans="1:8" s="220" customFormat="1" ht="13.5" hidden="1" customHeight="1">
      <c r="A12" s="233" t="s">
        <v>8</v>
      </c>
      <c r="B12" s="221" t="s">
        <v>2008</v>
      </c>
      <c r="C12" s="217">
        <v>0</v>
      </c>
      <c r="D12" s="937"/>
      <c r="E12" s="234"/>
      <c r="F12" s="227">
        <v>3.0499999999999999E-2</v>
      </c>
      <c r="G12" s="225"/>
    </row>
    <row r="13" spans="1:8" s="220" customFormat="1" ht="13.5" hidden="1" customHeight="1">
      <c r="A13" s="233" t="s">
        <v>9</v>
      </c>
      <c r="B13" s="221" t="s">
        <v>2009</v>
      </c>
      <c r="C13" s="217"/>
      <c r="D13" s="937"/>
      <c r="E13" s="224"/>
      <c r="F13" s="224"/>
      <c r="G13" s="225"/>
    </row>
    <row r="14" spans="1:8" s="220" customFormat="1" ht="13.5" hidden="1" customHeight="1">
      <c r="A14" s="233" t="s">
        <v>10</v>
      </c>
      <c r="B14" s="221" t="s">
        <v>1921</v>
      </c>
      <c r="C14" s="217"/>
      <c r="D14" s="937"/>
      <c r="E14" s="224"/>
      <c r="F14" s="224"/>
      <c r="G14" s="225" t="s">
        <v>2010</v>
      </c>
    </row>
    <row r="15" spans="1:8" s="220" customFormat="1" ht="13.5" hidden="1" customHeight="1">
      <c r="A15" s="233" t="s">
        <v>11</v>
      </c>
      <c r="B15" s="221" t="s">
        <v>2011</v>
      </c>
      <c r="C15" s="226"/>
      <c r="D15" s="937"/>
      <c r="E15" s="224"/>
      <c r="F15" s="224"/>
      <c r="G15" s="225" t="s">
        <v>2012</v>
      </c>
    </row>
    <row r="16" spans="1:8" s="220" customFormat="1" ht="13.5" hidden="1" customHeight="1">
      <c r="A16" s="233" t="s">
        <v>12</v>
      </c>
      <c r="B16" s="221" t="s">
        <v>1921</v>
      </c>
      <c r="C16" s="226"/>
      <c r="D16" s="937"/>
      <c r="E16" s="224"/>
      <c r="F16" s="224"/>
      <c r="G16" s="225"/>
    </row>
    <row r="17" spans="1:7" s="220" customFormat="1" ht="13.5" hidden="1" customHeight="1">
      <c r="A17" s="233" t="s">
        <v>13</v>
      </c>
      <c r="B17" s="221" t="s">
        <v>2013</v>
      </c>
      <c r="C17" s="235"/>
      <c r="D17" s="938"/>
      <c r="E17" s="235"/>
      <c r="F17" s="235"/>
      <c r="G17" s="225" t="s">
        <v>2012</v>
      </c>
    </row>
    <row r="18" spans="1:7" s="220" customFormat="1" ht="13.5" hidden="1" customHeight="1">
      <c r="A18" s="233" t="s">
        <v>14</v>
      </c>
      <c r="B18" s="221" t="s">
        <v>2014</v>
      </c>
      <c r="C18" s="226">
        <v>0</v>
      </c>
      <c r="D18" s="937"/>
      <c r="E18" s="224"/>
      <c r="F18" s="227">
        <v>3.0499999999999999E-2</v>
      </c>
      <c r="G18" s="225" t="s">
        <v>2015</v>
      </c>
    </row>
    <row r="19" spans="1:7" s="229" customFormat="1" ht="13.5" customHeight="1">
      <c r="A19" s="261" t="s">
        <v>2016</v>
      </c>
      <c r="B19" s="216" t="s">
        <v>2017</v>
      </c>
      <c r="C19" s="217">
        <f ca="1">IF(G19="已包含在土地取得成本中","0",ROUND(D19*E19,0))</f>
        <v>1306372</v>
      </c>
      <c r="D19" s="939">
        <f ca="1">D9+D10</f>
        <v>6531.86</v>
      </c>
      <c r="E19" s="217">
        <f>'数据-取费表'!B31</f>
        <v>200</v>
      </c>
      <c r="F19" s="237"/>
      <c r="G19" s="1993"/>
    </row>
    <row r="20" spans="1:7" s="220" customFormat="1" ht="13.5" customHeight="1">
      <c r="A20" s="261" t="s">
        <v>2018</v>
      </c>
      <c r="B20" s="216" t="s">
        <v>2019</v>
      </c>
      <c r="C20" s="238">
        <f ca="1">ROUND((C5+C19)*F20,0)</f>
        <v>52255</v>
      </c>
      <c r="D20" s="238"/>
      <c r="E20" s="238"/>
      <c r="F20" s="239">
        <f>'数据-取费表'!B37</f>
        <v>0.02</v>
      </c>
      <c r="G20" s="240" t="s">
        <v>2020</v>
      </c>
    </row>
    <row r="21" spans="1:7" s="220" customFormat="1" ht="13.5" customHeight="1">
      <c r="A21" s="261" t="s">
        <v>2021</v>
      </c>
      <c r="B21" s="216" t="s">
        <v>2022</v>
      </c>
      <c r="C21" s="241">
        <f>F21</f>
        <v>0.02</v>
      </c>
      <c r="D21" s="242" t="s">
        <v>2023</v>
      </c>
      <c r="E21" s="238"/>
      <c r="F21" s="239">
        <f>'数据-取费表'!B38</f>
        <v>0.02</v>
      </c>
      <c r="G21" s="240" t="s">
        <v>2024</v>
      </c>
    </row>
    <row r="22" spans="1:7" s="220" customFormat="1" ht="13.5" customHeight="1">
      <c r="A22" s="261" t="s">
        <v>2025</v>
      </c>
      <c r="B22" s="216" t="s">
        <v>2026</v>
      </c>
      <c r="C22" s="1242">
        <f ca="1">ROUND(SUM(C23:C25),0)</f>
        <v>223527</v>
      </c>
      <c r="D22" s="241">
        <f ca="1">C26</f>
        <v>8.0000000000000004E-4</v>
      </c>
      <c r="E22" s="242" t="s">
        <v>2023</v>
      </c>
      <c r="F22" s="243">
        <f ca="1">'数据-取费表'!B40</f>
        <v>4.1499999999999995E-2</v>
      </c>
      <c r="G22" s="240" t="str">
        <f>IF('数据-取费表'!B22&lt;=1,"单利计息","复利计息")</f>
        <v>复利计息</v>
      </c>
    </row>
    <row r="23" spans="1:7" s="220" customFormat="1" ht="13.5" customHeight="1">
      <c r="A23" s="869" t="s">
        <v>1916</v>
      </c>
      <c r="B23" s="221" t="s">
        <v>2027</v>
      </c>
      <c r="C23" s="1243">
        <f ca="1">ROUND(IF('数据-取费表'!B22&lt;=1,C5*F22*'数据-取费表'!B22,C5*(POWER((1+F22),'数据-取费表'!B22)-1)),0)</f>
        <v>110679</v>
      </c>
      <c r="D23" s="244"/>
      <c r="E23" s="244"/>
      <c r="F23" s="245"/>
      <c r="G23" s="246" t="s">
        <v>2028</v>
      </c>
    </row>
    <row r="24" spans="1:7" s="220" customFormat="1" ht="13.5" customHeight="1">
      <c r="A24" s="869" t="s">
        <v>1918</v>
      </c>
      <c r="B24" s="221" t="s">
        <v>2029</v>
      </c>
      <c r="C24" s="1243">
        <f ca="1">ROUND(IF('数据-取费表'!B22&lt;=1,C19*F22*('数据-取费表'!B19/2+'数据-取费表'!B20),C19*(POWER((1+F22),('数据-取费表'!B19/2+'数据-取费表'!B20))-1)),0)</f>
        <v>110679</v>
      </c>
      <c r="D24" s="244"/>
      <c r="E24" s="244"/>
      <c r="F24" s="245"/>
      <c r="G24" s="246" t="s">
        <v>2030</v>
      </c>
    </row>
    <row r="25" spans="1:7" s="220" customFormat="1" ht="24">
      <c r="A25" s="869" t="s">
        <v>1920</v>
      </c>
      <c r="B25" s="221" t="s">
        <v>2031</v>
      </c>
      <c r="C25" s="1243">
        <f ca="1">ROUND(IF('数据-取费表'!B22&lt;=1,C20*F22*'数据-取费表'!B22/2,C20*(POWER((1+F22),'数据-取费表'!B22/2)-1)),0)</f>
        <v>2169</v>
      </c>
      <c r="D25" s="244"/>
      <c r="E25" s="247"/>
      <c r="F25" s="245"/>
      <c r="G25" s="248" t="s">
        <v>2032</v>
      </c>
    </row>
    <row r="26" spans="1:7" s="220" customFormat="1">
      <c r="A26" s="869" t="s">
        <v>614</v>
      </c>
      <c r="B26" s="221" t="s">
        <v>1955</v>
      </c>
      <c r="C26" s="244">
        <f ca="1">ROUND(IF('数据-取费表'!B22&lt;=1,F21*F22*'数据-取费表'!B22/2,F21*(POWER((1+F22),'数据-取费表'!B22/2)-1)),4)</f>
        <v>8.0000000000000004E-4</v>
      </c>
      <c r="D26" s="244"/>
      <c r="E26" s="247"/>
      <c r="F26" s="245"/>
      <c r="G26" s="249"/>
    </row>
    <row r="27" spans="1:7" s="220" customFormat="1" ht="24.75">
      <c r="A27" s="261" t="s">
        <v>1956</v>
      </c>
      <c r="B27" s="250" t="s">
        <v>1957</v>
      </c>
      <c r="C27" s="251">
        <f ca="1">C28</f>
        <v>533000</v>
      </c>
      <c r="D27" s="241">
        <f ca="1">C29</f>
        <v>4.0000000000000001E-3</v>
      </c>
      <c r="E27" s="242" t="s">
        <v>1958</v>
      </c>
      <c r="F27" s="252">
        <f ca="1">IF(B1="",'数据-取费表'!Q16,INDIRECT("'数据-取费表'!q"&amp;$G$1))</f>
        <v>0.2</v>
      </c>
      <c r="G27" s="253" t="s">
        <v>1959</v>
      </c>
    </row>
    <row r="28" spans="1:7" s="220" customFormat="1" ht="13.5" customHeight="1">
      <c r="A28" s="869" t="s">
        <v>610</v>
      </c>
      <c r="B28" s="254" t="s">
        <v>1960</v>
      </c>
      <c r="C28" s="255">
        <f ca="1">ROUND((C5+C19+C20)*F27,0)</f>
        <v>533000</v>
      </c>
      <c r="D28" s="241"/>
      <c r="E28" s="242"/>
      <c r="F28" s="252"/>
      <c r="G28" s="253"/>
    </row>
    <row r="29" spans="1:7" s="220" customFormat="1" ht="13.5" customHeight="1">
      <c r="A29" s="869" t="s">
        <v>611</v>
      </c>
      <c r="B29" s="254" t="s">
        <v>1961</v>
      </c>
      <c r="C29" s="244">
        <f ca="1">ROUND(C21*F27,4)</f>
        <v>4.0000000000000001E-3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3711385</v>
      </c>
      <c r="D31" s="236"/>
      <c r="E31" s="217"/>
      <c r="F31" s="256"/>
      <c r="G31" s="240" t="s">
        <v>1966</v>
      </c>
    </row>
    <row r="32" spans="1:7" s="214" customFormat="1" ht="15.75">
      <c r="A32" s="258" t="s">
        <v>2033</v>
      </c>
      <c r="B32" s="259"/>
      <c r="C32" s="259"/>
      <c r="D32" s="259"/>
      <c r="E32" s="259"/>
      <c r="F32" s="259"/>
      <c r="G32" s="260"/>
    </row>
    <row r="33" spans="1:7" s="220" customFormat="1" ht="13.5" customHeight="1">
      <c r="A33" s="261" t="s">
        <v>601</v>
      </c>
      <c r="B33" s="216" t="s">
        <v>2034</v>
      </c>
      <c r="C33" s="262">
        <f ca="1">SUM(C34:C38)</f>
        <v>19974930</v>
      </c>
      <c r="D33" s="238"/>
      <c r="E33" s="218"/>
      <c r="F33" s="247"/>
      <c r="G33" s="240"/>
    </row>
    <row r="34" spans="1:7" s="264" customFormat="1" ht="13.5" customHeight="1">
      <c r="A34" s="869" t="s">
        <v>610</v>
      </c>
      <c r="B34" s="221" t="s">
        <v>1969</v>
      </c>
      <c r="C34" s="226">
        <f ca="1">ROUND(IF(B1="",SUMPRODUCT('数据-取费表'!K6:K14,'数据-取费表'!L6:L14),INDIRECT("'数据-取费表'!l"&amp;$G$1)*INDIRECT("'数据-取费表'!k"&amp;$G$1)+'数据-取费表'!L14*INDIRECT("'数据-取费表'!S"&amp;$G$1)),0)</f>
        <v>17864649</v>
      </c>
      <c r="D34" s="223"/>
      <c r="E34" s="226"/>
      <c r="F34" s="263"/>
      <c r="G34" s="225"/>
    </row>
    <row r="35" spans="1:7" ht="13.5" customHeight="1">
      <c r="A35" s="869" t="s">
        <v>615</v>
      </c>
      <c r="B35" s="221" t="s">
        <v>1971</v>
      </c>
      <c r="C35" s="226">
        <f ca="1">ROUND(C34*F35,0)</f>
        <v>535939</v>
      </c>
      <c r="D35" s="226"/>
      <c r="E35" s="226"/>
      <c r="F35" s="265">
        <f>'数据-取费表'!B33</f>
        <v>0.03</v>
      </c>
      <c r="G35" s="225" t="s">
        <v>1972</v>
      </c>
    </row>
    <row r="36" spans="1:7" ht="24">
      <c r="A36" s="869" t="s">
        <v>616</v>
      </c>
      <c r="B36" s="221" t="s">
        <v>1973</v>
      </c>
      <c r="C36" s="226">
        <f ca="1">ROUND(IF(B1="",SUM('数据-取费表'!AP6:AP13)*F36,IF(INDIRECT("'数据-取费表'!c"&amp;$G$1)="住宅",INDIRECT("'数据-取费表'!k"&amp;$G$1)*INDIRECT("'数据-取费表'!l"&amp;$G$1)*F36,0)),0)</f>
        <v>0</v>
      </c>
      <c r="D36" s="226"/>
      <c r="E36" s="226"/>
      <c r="F36" s="265">
        <f>'数据-取费表'!B34</f>
        <v>0</v>
      </c>
      <c r="G36" s="266" t="s">
        <v>1974</v>
      </c>
    </row>
    <row r="37" spans="1:7" s="264" customFormat="1" ht="13.5" customHeight="1">
      <c r="A37" s="869" t="s">
        <v>617</v>
      </c>
      <c r="B37" s="221" t="s">
        <v>1975</v>
      </c>
      <c r="C37" s="255">
        <f ca="1">ROUND(E37*D37,0)</f>
        <v>1306372</v>
      </c>
      <c r="D37" s="223">
        <f ca="1">D19</f>
        <v>6531.86</v>
      </c>
      <c r="E37" s="255">
        <f>'数据-取费表'!B35</f>
        <v>200</v>
      </c>
      <c r="F37" s="265"/>
      <c r="G37" s="267"/>
    </row>
    <row r="38" spans="1:7" ht="13.5" customHeight="1">
      <c r="A38" s="869" t="s">
        <v>618</v>
      </c>
      <c r="B38" s="221" t="s">
        <v>1977</v>
      </c>
      <c r="C38" s="226">
        <f ca="1">ROUND(C34*F38,0)</f>
        <v>267970</v>
      </c>
      <c r="D38" s="226"/>
      <c r="E38" s="226"/>
      <c r="F38" s="265">
        <f>'数据-取费表'!B36</f>
        <v>1.4999999999999999E-2</v>
      </c>
      <c r="G38" s="225" t="s">
        <v>1972</v>
      </c>
    </row>
    <row r="39" spans="1:7" s="220" customFormat="1" ht="13.5" customHeight="1">
      <c r="A39" s="261" t="s">
        <v>1978</v>
      </c>
      <c r="B39" s="216" t="s">
        <v>1979</v>
      </c>
      <c r="C39" s="238">
        <f ca="1">ROUND(C33*F20,0)</f>
        <v>399499</v>
      </c>
      <c r="D39" s="238"/>
      <c r="E39" s="238"/>
      <c r="F39" s="2486">
        <f>F20</f>
        <v>0.02</v>
      </c>
      <c r="G39" s="240" t="s">
        <v>1980</v>
      </c>
    </row>
    <row r="40" spans="1:7" s="220" customFormat="1" ht="13.5" customHeight="1">
      <c r="A40" s="261" t="s">
        <v>1981</v>
      </c>
      <c r="B40" s="216" t="s">
        <v>1982</v>
      </c>
      <c r="C40" s="1448">
        <f>F21</f>
        <v>0.02</v>
      </c>
      <c r="D40" s="242" t="s">
        <v>1983</v>
      </c>
      <c r="E40" s="238"/>
      <c r="F40" s="2486">
        <f>F21</f>
        <v>0.02</v>
      </c>
      <c r="G40" s="240" t="s">
        <v>1984</v>
      </c>
    </row>
    <row r="41" spans="1:7" s="220" customFormat="1" ht="13.5" customHeight="1">
      <c r="A41" s="261" t="s">
        <v>1985</v>
      </c>
      <c r="B41" s="216" t="s">
        <v>1986</v>
      </c>
      <c r="C41" s="238">
        <f ca="1">ROUND(SUM(C42:C43),0)</f>
        <v>845539</v>
      </c>
      <c r="D41" s="241">
        <f ca="1">C44</f>
        <v>8.0000000000000004E-4</v>
      </c>
      <c r="E41" s="242" t="s">
        <v>1983</v>
      </c>
      <c r="F41" s="2487">
        <f ca="1">F22</f>
        <v>4.1499999999999995E-2</v>
      </c>
      <c r="G41" s="240" t="str">
        <f>IF('数据-取费表'!B22&lt;=1,"单利计息","复利计息")</f>
        <v>复利计息</v>
      </c>
    </row>
    <row r="42" spans="1:7" ht="13.5" customHeight="1">
      <c r="A42" s="869" t="s">
        <v>610</v>
      </c>
      <c r="B42" s="221" t="s">
        <v>1987</v>
      </c>
      <c r="C42" s="244">
        <f ca="1">ROUND(IF('数据-取费表'!B22&lt;=1,C33*F22*'数据-取费表'!B20/2,C33*(POWER((1+F22),'数据-取费表'!B20/2)-1)),0)</f>
        <v>828960</v>
      </c>
      <c r="D42" s="244"/>
      <c r="E42" s="244"/>
      <c r="F42" s="245"/>
      <c r="G42" s="3421" t="s">
        <v>2035</v>
      </c>
    </row>
    <row r="43" spans="1:7" ht="13.5" customHeight="1">
      <c r="A43" s="869" t="s">
        <v>611</v>
      </c>
      <c r="B43" s="221" t="s">
        <v>1989</v>
      </c>
      <c r="C43" s="244">
        <f ca="1">ROUND(IF('数据-取费表'!B22&lt;=1,C39*F22*'数据-取费表'!B20/2,C39*(POWER((1+F22),'数据-取费表'!B20/2)-1)),0)</f>
        <v>16579</v>
      </c>
      <c r="D43" s="244"/>
      <c r="E43" s="244"/>
      <c r="F43" s="245"/>
      <c r="G43" s="3422"/>
    </row>
    <row r="44" spans="1:7" ht="13.5" customHeight="1">
      <c r="A44" s="869" t="s">
        <v>612</v>
      </c>
      <c r="B44" s="221" t="s">
        <v>1990</v>
      </c>
      <c r="C44" s="244">
        <f ca="1">ROUND(IF('数据-取费表'!B22&lt;=1,C40*F22*'数据-取费表'!B20/2,C40*(POWER((1+F22),'数据-取费表'!B20/2)-1)),4)</f>
        <v>8.0000000000000004E-4</v>
      </c>
      <c r="D44" s="244"/>
      <c r="E44" s="244"/>
      <c r="F44" s="245"/>
      <c r="G44" s="3423"/>
    </row>
    <row r="45" spans="1:7" s="220" customFormat="1" ht="13.5" customHeight="1">
      <c r="A45" s="261" t="s">
        <v>1991</v>
      </c>
      <c r="B45" s="250" t="s">
        <v>1957</v>
      </c>
      <c r="C45" s="251">
        <f ca="1">C46</f>
        <v>4074886</v>
      </c>
      <c r="D45" s="241">
        <f ca="1">C47</f>
        <v>4.0000000000000001E-3</v>
      </c>
      <c r="E45" s="242" t="s">
        <v>1983</v>
      </c>
      <c r="F45" s="2488">
        <f ca="1">F27</f>
        <v>0.2</v>
      </c>
      <c r="G45" s="253" t="s">
        <v>1992</v>
      </c>
    </row>
    <row r="46" spans="1:7" s="220" customFormat="1" ht="13.5" customHeight="1">
      <c r="A46" s="869" t="s">
        <v>610</v>
      </c>
      <c r="B46" s="254" t="s">
        <v>1993</v>
      </c>
      <c r="C46" s="255">
        <f ca="1">ROUND((C33+C39)*F27,0)</f>
        <v>4074886</v>
      </c>
      <c r="D46" s="269"/>
      <c r="E46" s="242"/>
      <c r="F46" s="252"/>
      <c r="G46" s="253"/>
    </row>
    <row r="47" spans="1:7" s="220" customFormat="1" ht="13.5" customHeight="1">
      <c r="A47" s="869" t="s">
        <v>611</v>
      </c>
      <c r="B47" s="254" t="s">
        <v>1994</v>
      </c>
      <c r="C47" s="244">
        <f ca="1">ROUND(C40*F27,4)</f>
        <v>4.0000000000000001E-3</v>
      </c>
      <c r="D47" s="269"/>
      <c r="E47" s="242"/>
      <c r="F47" s="252"/>
      <c r="G47" s="253"/>
    </row>
    <row r="48" spans="1:7" s="220" customFormat="1" ht="13.5" customHeight="1">
      <c r="A48" s="261" t="s">
        <v>1956</v>
      </c>
      <c r="B48" s="216" t="s">
        <v>1995</v>
      </c>
      <c r="C48" s="268">
        <f>ROUND(F30/(1+'数据-取费表'!C42),4)</f>
        <v>5.33E-2</v>
      </c>
      <c r="D48" s="242" t="s">
        <v>1983</v>
      </c>
      <c r="E48" s="238"/>
      <c r="F48" s="2487">
        <f>F30</f>
        <v>5.6000000000000001E-2</v>
      </c>
      <c r="G48" s="240" t="s">
        <v>1996</v>
      </c>
    </row>
    <row r="49" spans="1:7" ht="16.5" customHeight="1">
      <c r="A49" s="261" t="s">
        <v>1962</v>
      </c>
      <c r="B49" s="216" t="s">
        <v>2036</v>
      </c>
      <c r="C49" s="238">
        <f ca="1">ROUND((C33+C39+C41+C45)/(1-C40-D41-D45-C48),0)</f>
        <v>27437742</v>
      </c>
      <c r="D49" s="238"/>
      <c r="E49" s="238"/>
      <c r="F49" s="270"/>
      <c r="G49" s="240" t="s">
        <v>1998</v>
      </c>
    </row>
    <row r="50" spans="1:7" s="264" customFormat="1">
      <c r="A50" s="261" t="s">
        <v>1999</v>
      </c>
      <c r="B50" s="216" t="s">
        <v>2000</v>
      </c>
      <c r="C50" s="238"/>
      <c r="D50" s="238"/>
      <c r="E50" s="238"/>
      <c r="F50" s="270">
        <f>IF('数据-取费表'!B24=0,'数据-取费表'!N16,1)</f>
        <v>0.74</v>
      </c>
      <c r="G50" s="253"/>
    </row>
    <row r="51" spans="1:7" ht="16.5" customHeight="1">
      <c r="A51" s="261" t="s">
        <v>2002</v>
      </c>
      <c r="B51" s="216" t="s">
        <v>2037</v>
      </c>
      <c r="C51" s="238">
        <f ca="1">ROUND(C49*F50,0)</f>
        <v>20303929</v>
      </c>
      <c r="D51" s="238"/>
      <c r="E51" s="238"/>
      <c r="F51" s="270"/>
      <c r="G51" s="240" t="s">
        <v>2004</v>
      </c>
    </row>
    <row r="52" spans="1:7" s="214" customFormat="1" ht="16.5" thickBot="1">
      <c r="A52" s="271" t="s">
        <v>2005</v>
      </c>
      <c r="B52" s="272"/>
      <c r="C52" s="273">
        <f ca="1">C31+C51</f>
        <v>24015314</v>
      </c>
      <c r="D52" s="272"/>
      <c r="E52" s="272"/>
      <c r="F52" s="272"/>
      <c r="G52" s="274"/>
    </row>
    <row r="55" spans="1:7" ht="15">
      <c r="B55" s="276" t="s">
        <v>2006</v>
      </c>
      <c r="C55" s="277"/>
    </row>
    <row r="56" spans="1:7">
      <c r="B56" s="279" t="s">
        <v>1237</v>
      </c>
      <c r="C56" s="281">
        <f ca="1">1-C57</f>
        <v>0.15500000000000003</v>
      </c>
    </row>
    <row r="57" spans="1:7">
      <c r="B57" s="279" t="s">
        <v>1238</v>
      </c>
      <c r="C57" s="280">
        <f ca="1">ROUND(C51/C52,3)</f>
        <v>0.84499999999999997</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70" customWidth="1"/>
    <col min="3" max="3" width="10.375" style="913" customWidth="1"/>
    <col min="4" max="4" width="9.875" style="870" customWidth="1"/>
    <col min="5" max="5" width="9.5" style="737" customWidth="1"/>
    <col min="6" max="6" width="10.125" style="870" customWidth="1"/>
    <col min="7" max="7" width="10.75" style="870" customWidth="1"/>
    <col min="8" max="8" width="10" style="870" customWidth="1"/>
    <col min="9" max="11" width="9.5" style="870" customWidth="1"/>
    <col min="12" max="12" width="9" style="870" customWidth="1"/>
    <col min="13" max="13" width="10.5" style="870" bestFit="1" customWidth="1"/>
    <col min="14" max="254" width="9" style="870" customWidth="1"/>
    <col min="255" max="16384" width="6.625" style="870"/>
  </cols>
  <sheetData>
    <row r="1" spans="1:33" ht="20.25">
      <c r="A1" s="202" t="s">
        <v>2038</v>
      </c>
      <c r="B1" s="1306"/>
      <c r="C1" s="1307"/>
      <c r="D1" s="1305"/>
      <c r="E1" s="2987"/>
      <c r="F1" s="2987"/>
      <c r="G1" s="2850"/>
      <c r="H1" s="2987"/>
      <c r="I1" s="2987"/>
      <c r="J1" s="2987"/>
      <c r="K1" s="2988">
        <f>MATCH(C1,'数据-取费表'!A6:A16,0)+5</f>
        <v>7</v>
      </c>
    </row>
    <row r="2" spans="1:33" ht="18" customHeight="1">
      <c r="A2" s="207" t="s">
        <v>1906</v>
      </c>
      <c r="B2" s="210">
        <f ca="1">C32</f>
        <v>0</v>
      </c>
      <c r="C2" s="282" t="s">
        <v>2039</v>
      </c>
      <c r="D2" s="282"/>
      <c r="E2" s="2987"/>
      <c r="F2" s="2987"/>
      <c r="G2" s="2987"/>
      <c r="H2" s="2987"/>
      <c r="I2" s="2987"/>
      <c r="J2" s="2987"/>
      <c r="K2" s="2987"/>
    </row>
    <row r="3" spans="1:33" ht="18" customHeight="1" thickBot="1">
      <c r="A3" s="209" t="s">
        <v>1908</v>
      </c>
      <c r="B3" s="210">
        <f ca="1">ROUND(B2*10000/IF(C1="",'数据-汇总表'!E3,INDIRECT("'数据-取费表'!K"&amp;$K$1)),0)</f>
        <v>0</v>
      </c>
      <c r="C3" s="282" t="s">
        <v>2040</v>
      </c>
      <c r="D3" s="282"/>
      <c r="E3" s="2987"/>
      <c r="F3" s="2987"/>
      <c r="G3" s="2987"/>
      <c r="H3" s="2987"/>
      <c r="I3" s="2987"/>
      <c r="J3" s="2987"/>
      <c r="K3" s="2987"/>
    </row>
    <row r="4" spans="1:33" s="874" customFormat="1" ht="16.5" customHeight="1">
      <c r="A4" s="871" t="s">
        <v>2041</v>
      </c>
      <c r="B4" s="872"/>
      <c r="C4" s="914">
        <f>SUM(C8:K8)</f>
        <v>0</v>
      </c>
      <c r="D4" s="872"/>
      <c r="E4" s="872"/>
      <c r="F4" s="872"/>
      <c r="G4" s="872"/>
      <c r="H4" s="872"/>
      <c r="I4" s="872"/>
      <c r="J4" s="872"/>
      <c r="K4" s="873"/>
    </row>
    <row r="5" spans="1:33" s="878" customFormat="1" ht="24.75">
      <c r="A5" s="875" t="s">
        <v>2042</v>
      </c>
      <c r="B5" s="876" t="s">
        <v>2043</v>
      </c>
      <c r="C5" s="1997" t="s">
        <v>2044</v>
      </c>
      <c r="D5" s="1997" t="s">
        <v>2045</v>
      </c>
      <c r="E5" s="1997" t="s">
        <v>2046</v>
      </c>
      <c r="F5" s="1997"/>
      <c r="G5" s="1997"/>
      <c r="H5" s="1997"/>
      <c r="I5" s="1997"/>
      <c r="J5" s="1997"/>
      <c r="K5" s="1997"/>
      <c r="L5" s="877"/>
      <c r="M5" s="877"/>
      <c r="N5" s="877"/>
      <c r="O5" s="877"/>
      <c r="P5" s="877"/>
      <c r="Q5" s="877"/>
      <c r="R5" s="877"/>
      <c r="S5" s="877"/>
      <c r="T5" s="877"/>
      <c r="U5" s="877"/>
      <c r="V5" s="877"/>
      <c r="W5" s="877"/>
      <c r="X5" s="877"/>
      <c r="Y5" s="877"/>
      <c r="Z5" s="877"/>
      <c r="AA5" s="877"/>
      <c r="AB5" s="877"/>
      <c r="AC5" s="877"/>
      <c r="AD5" s="877"/>
      <c r="AE5" s="877"/>
      <c r="AF5" s="877"/>
      <c r="AG5" s="877"/>
    </row>
    <row r="6" spans="1:33" s="883" customFormat="1" ht="13.5" customHeight="1">
      <c r="A6" s="879" t="s">
        <v>621</v>
      </c>
      <c r="B6" s="136" t="s">
        <v>2047</v>
      </c>
      <c r="C6" s="880"/>
      <c r="D6" s="880"/>
      <c r="E6" s="880"/>
      <c r="F6" s="880"/>
      <c r="G6" s="880"/>
      <c r="H6" s="880"/>
      <c r="I6" s="880"/>
      <c r="J6" s="880"/>
      <c r="K6" s="881"/>
      <c r="L6" s="882"/>
      <c r="M6" s="882"/>
      <c r="N6" s="882"/>
      <c r="O6" s="882"/>
      <c r="P6" s="882"/>
      <c r="Q6" s="882"/>
      <c r="R6" s="882"/>
      <c r="S6" s="882"/>
      <c r="T6" s="882"/>
      <c r="U6" s="882"/>
      <c r="V6" s="882"/>
      <c r="W6" s="882"/>
      <c r="X6" s="882"/>
      <c r="Y6" s="882"/>
      <c r="Z6" s="882"/>
      <c r="AA6" s="882"/>
      <c r="AB6" s="882"/>
      <c r="AC6" s="882"/>
      <c r="AD6" s="882"/>
      <c r="AE6" s="882"/>
      <c r="AF6" s="882"/>
      <c r="AG6" s="882"/>
    </row>
    <row r="7" spans="1:33" s="883" customFormat="1" ht="13.5" customHeight="1">
      <c r="A7" s="879" t="s">
        <v>2048</v>
      </c>
      <c r="B7" s="136" t="s">
        <v>2049</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2"/>
      <c r="M7" s="882"/>
      <c r="N7" s="882"/>
      <c r="O7" s="882"/>
      <c r="P7" s="882"/>
      <c r="Q7" s="882"/>
      <c r="R7" s="882"/>
      <c r="S7" s="882"/>
      <c r="T7" s="882"/>
      <c r="U7" s="882"/>
      <c r="V7" s="882"/>
      <c r="W7" s="882"/>
      <c r="X7" s="882"/>
      <c r="Y7" s="882"/>
      <c r="Z7" s="882"/>
      <c r="AA7" s="882"/>
      <c r="AB7" s="882"/>
      <c r="AC7" s="882"/>
      <c r="AD7" s="882"/>
      <c r="AE7" s="882"/>
      <c r="AF7" s="882"/>
      <c r="AG7" s="882"/>
    </row>
    <row r="8" spans="1:33" s="883" customFormat="1" ht="13.5" customHeight="1" thickBot="1">
      <c r="A8" s="1998" t="s">
        <v>2050</v>
      </c>
      <c r="B8" s="169" t="s">
        <v>2051</v>
      </c>
      <c r="C8" s="915"/>
      <c r="D8" s="915"/>
      <c r="E8" s="915"/>
      <c r="F8" s="916"/>
      <c r="G8" s="916"/>
      <c r="H8" s="916"/>
      <c r="I8" s="916"/>
      <c r="J8" s="916"/>
      <c r="K8" s="917"/>
      <c r="L8" s="882"/>
      <c r="M8" s="882"/>
      <c r="N8" s="882"/>
      <c r="O8" s="882"/>
      <c r="P8" s="882"/>
      <c r="Q8" s="882"/>
      <c r="R8" s="882"/>
      <c r="S8" s="882"/>
      <c r="T8" s="882"/>
      <c r="U8" s="882"/>
      <c r="V8" s="882"/>
      <c r="W8" s="882"/>
      <c r="X8" s="882"/>
      <c r="Y8" s="882"/>
      <c r="Z8" s="882"/>
      <c r="AA8" s="882"/>
      <c r="AB8" s="882"/>
      <c r="AC8" s="882"/>
      <c r="AD8" s="882"/>
      <c r="AE8" s="882"/>
      <c r="AF8" s="882"/>
      <c r="AG8" s="882"/>
    </row>
    <row r="9" spans="1:33" s="874" customFormat="1" ht="16.5" customHeight="1">
      <c r="A9" s="871" t="s">
        <v>2052</v>
      </c>
      <c r="B9" s="872"/>
      <c r="C9" s="872"/>
      <c r="D9" s="872"/>
      <c r="E9" s="872"/>
      <c r="F9" s="872"/>
      <c r="G9" s="872"/>
      <c r="H9" s="872"/>
      <c r="I9" s="872"/>
      <c r="J9" s="872"/>
      <c r="K9" s="873"/>
    </row>
    <row r="10" spans="1:33" s="888" customFormat="1" ht="13.5" customHeight="1">
      <c r="A10" s="875" t="s">
        <v>2053</v>
      </c>
      <c r="B10" s="8" t="s">
        <v>2054</v>
      </c>
      <c r="C10" s="884" t="s">
        <v>2055</v>
      </c>
      <c r="D10" s="885" t="s">
        <v>2056</v>
      </c>
      <c r="E10" s="885" t="s">
        <v>2057</v>
      </c>
      <c r="F10" s="885" t="s">
        <v>2058</v>
      </c>
      <c r="G10" s="8"/>
      <c r="H10" s="886"/>
      <c r="I10" s="886"/>
      <c r="J10" s="886"/>
      <c r="K10" s="887"/>
    </row>
    <row r="11" spans="1:33" s="893" customFormat="1" ht="13.5" customHeight="1">
      <c r="A11" s="889" t="s">
        <v>1060</v>
      </c>
      <c r="B11" s="890" t="s">
        <v>2059</v>
      </c>
      <c r="C11" s="285">
        <f ca="1">IF(C1="",'数据-取费表'!P16,INDIRECT("'数据-取费表'!p"&amp;$K$1)+INDIRECT("'数据-取费表'!ar"&amp;$K$1))</f>
        <v>0</v>
      </c>
      <c r="D11" s="891"/>
      <c r="E11" s="335"/>
      <c r="F11" s="892">
        <f ca="1">1-IF('数据-取费表'!B24=0,1,IF(C1="",'数据-取费表'!N16,INDIRECT("'数据-取费表'!n"&amp;$K$1)))</f>
        <v>0</v>
      </c>
      <c r="G11" s="8"/>
      <c r="H11" s="886"/>
      <c r="I11" s="886"/>
      <c r="J11" s="886"/>
      <c r="K11" s="887"/>
    </row>
    <row r="12" spans="1:33" s="893" customFormat="1" ht="13.5" customHeight="1">
      <c r="A12" s="889" t="s">
        <v>1061</v>
      </c>
      <c r="B12" s="890" t="s">
        <v>2060</v>
      </c>
      <c r="C12" s="24">
        <f ca="1">ROUND(C11*F12,0)</f>
        <v>0</v>
      </c>
      <c r="D12" s="891"/>
      <c r="E12" s="335"/>
      <c r="F12" s="894">
        <f>'数据-取费表'!B33</f>
        <v>0.03</v>
      </c>
      <c r="G12" s="8" t="s">
        <v>2061</v>
      </c>
      <c r="H12" s="886"/>
      <c r="I12" s="886"/>
      <c r="J12" s="886"/>
      <c r="K12" s="887"/>
    </row>
    <row r="13" spans="1:33" s="893" customFormat="1" ht="13.5" customHeight="1">
      <c r="A13" s="889" t="s">
        <v>1062</v>
      </c>
      <c r="B13" s="890" t="s">
        <v>2062</v>
      </c>
      <c r="C13" s="24">
        <f ca="1">ROUND(IF(C1="",SUMIF('数据-取费表'!C:C,"住宅",'数据-取费表'!P:P)*F13,IF(INDIRECT("'数据-取费表'!c"&amp;$K$1)="住宅",INDIRECT("'数据-取费表'!P"&amp;$K$1)*F13,0)),0)</f>
        <v>0</v>
      </c>
      <c r="D13" s="936"/>
      <c r="E13" s="335"/>
      <c r="F13" s="894">
        <f>'数据-取费表'!B34</f>
        <v>0</v>
      </c>
      <c r="G13" s="8" t="s">
        <v>2063</v>
      </c>
      <c r="H13" s="886"/>
      <c r="I13" s="886"/>
      <c r="J13" s="886"/>
      <c r="K13" s="887"/>
    </row>
    <row r="14" spans="1:33" s="895" customFormat="1" ht="13.5" customHeight="1">
      <c r="A14" s="889" t="s">
        <v>1063</v>
      </c>
      <c r="B14" s="890" t="s">
        <v>2064</v>
      </c>
      <c r="C14" s="24">
        <f ca="1">ROUND(D14*E14*F11/10000,0)</f>
        <v>0</v>
      </c>
      <c r="D14" s="936">
        <f ca="1">IF(C1="",'数据-汇总表'!E3,INDIRECT("'数据-取费表'!K"&amp;$K$1)+INDIRECT("'数据-取费表'!S"&amp;$K$1))</f>
        <v>6531.86</v>
      </c>
      <c r="E14" s="24">
        <f>'数据-取费表'!B35</f>
        <v>200</v>
      </c>
      <c r="F14" s="894"/>
      <c r="G14" s="8" t="s">
        <v>2065</v>
      </c>
      <c r="H14" s="886"/>
      <c r="I14" s="886"/>
      <c r="J14" s="886"/>
      <c r="K14" s="887"/>
      <c r="L14" s="893"/>
      <c r="M14" s="893"/>
      <c r="N14" s="893"/>
      <c r="O14" s="893"/>
      <c r="P14" s="893"/>
      <c r="Q14" s="893"/>
      <c r="R14" s="893"/>
      <c r="S14" s="893"/>
      <c r="T14" s="893"/>
      <c r="U14" s="893"/>
      <c r="V14" s="893"/>
      <c r="W14" s="893"/>
      <c r="X14" s="893"/>
      <c r="Y14" s="893"/>
      <c r="Z14" s="893"/>
      <c r="AA14" s="893"/>
      <c r="AB14" s="893"/>
      <c r="AC14" s="893"/>
      <c r="AD14" s="893"/>
      <c r="AE14" s="893"/>
      <c r="AF14" s="893"/>
      <c r="AG14" s="893"/>
    </row>
    <row r="15" spans="1:33" s="895" customFormat="1" ht="13.5" customHeight="1">
      <c r="A15" s="889" t="s">
        <v>1064</v>
      </c>
      <c r="B15" s="890" t="s">
        <v>2066</v>
      </c>
      <c r="C15" s="901">
        <f ca="1">ROUND(C11*F15,0)</f>
        <v>0</v>
      </c>
      <c r="D15" s="896"/>
      <c r="E15" s="901"/>
      <c r="F15" s="902">
        <f>'数据-取费表'!B36</f>
        <v>1.4999999999999999E-2</v>
      </c>
      <c r="G15" s="136" t="s">
        <v>2067</v>
      </c>
      <c r="H15" s="897"/>
      <c r="I15" s="897"/>
      <c r="J15" s="897"/>
      <c r="K15" s="898"/>
      <c r="L15" s="893"/>
      <c r="M15" s="893"/>
      <c r="N15" s="893"/>
      <c r="O15" s="893"/>
      <c r="P15" s="893"/>
      <c r="Q15" s="893"/>
      <c r="R15" s="893"/>
      <c r="S15" s="893"/>
      <c r="T15" s="893"/>
      <c r="U15" s="893"/>
      <c r="V15" s="893"/>
      <c r="W15" s="893"/>
      <c r="X15" s="893"/>
      <c r="Y15" s="893"/>
      <c r="Z15" s="893"/>
      <c r="AA15" s="893"/>
      <c r="AB15" s="893"/>
      <c r="AC15" s="893"/>
      <c r="AD15" s="893"/>
      <c r="AE15" s="893"/>
      <c r="AF15" s="893"/>
      <c r="AG15" s="893"/>
    </row>
    <row r="16" spans="1:33" s="895" customFormat="1" ht="13.5" customHeight="1">
      <c r="A16" s="889" t="s">
        <v>622</v>
      </c>
      <c r="B16" s="890" t="s">
        <v>2068</v>
      </c>
      <c r="C16" s="901">
        <f ca="1">SUM(C11:C15)</f>
        <v>0</v>
      </c>
      <c r="D16" s="896"/>
      <c r="E16" s="901"/>
      <c r="F16" s="902"/>
      <c r="G16" s="136"/>
      <c r="H16" s="1303"/>
      <c r="I16" s="897"/>
      <c r="J16" s="897"/>
      <c r="K16" s="898"/>
      <c r="L16" s="893"/>
      <c r="M16" s="893"/>
      <c r="N16" s="893"/>
      <c r="O16" s="893"/>
      <c r="P16" s="893"/>
      <c r="Q16" s="893"/>
      <c r="R16" s="893"/>
      <c r="S16" s="893"/>
      <c r="T16" s="893"/>
      <c r="U16" s="893"/>
      <c r="V16" s="893"/>
      <c r="W16" s="893"/>
      <c r="X16" s="893"/>
      <c r="Y16" s="893"/>
      <c r="Z16" s="893"/>
      <c r="AA16" s="893"/>
      <c r="AB16" s="893"/>
      <c r="AC16" s="893"/>
      <c r="AD16" s="893"/>
      <c r="AE16" s="893"/>
      <c r="AF16" s="893"/>
      <c r="AG16" s="893"/>
    </row>
    <row r="17" spans="1:33" s="895" customFormat="1" ht="13.5" customHeight="1">
      <c r="A17" s="889" t="s">
        <v>623</v>
      </c>
      <c r="B17" s="890" t="s">
        <v>2069</v>
      </c>
      <c r="C17" s="24">
        <f ca="1">ROUND(D17*E17/10000,0)</f>
        <v>0</v>
      </c>
      <c r="D17" s="936">
        <f ca="1">D14</f>
        <v>6531.86</v>
      </c>
      <c r="E17" s="24">
        <f>'数据-取费表'!B32</f>
        <v>0</v>
      </c>
      <c r="F17" s="896"/>
      <c r="G17" s="136" t="s">
        <v>2070</v>
      </c>
      <c r="H17" s="1303"/>
      <c r="I17" s="897"/>
      <c r="J17" s="897"/>
      <c r="K17" s="898"/>
      <c r="L17" s="893"/>
      <c r="M17" s="893"/>
      <c r="N17" s="893"/>
      <c r="O17" s="893"/>
      <c r="P17" s="893"/>
      <c r="Q17" s="893"/>
      <c r="R17" s="893"/>
      <c r="S17" s="893"/>
      <c r="T17" s="893"/>
      <c r="U17" s="893"/>
      <c r="V17" s="893"/>
      <c r="W17" s="893"/>
      <c r="X17" s="893"/>
      <c r="Y17" s="893"/>
      <c r="Z17" s="893"/>
      <c r="AA17" s="893"/>
      <c r="AB17" s="893"/>
      <c r="AC17" s="893"/>
      <c r="AD17" s="893"/>
      <c r="AE17" s="893"/>
      <c r="AF17" s="893"/>
      <c r="AG17" s="893"/>
    </row>
    <row r="18" spans="1:33" s="893" customFormat="1" ht="13.5" customHeight="1">
      <c r="A18" s="889" t="s">
        <v>1065</v>
      </c>
      <c r="B18" s="890" t="s">
        <v>2071</v>
      </c>
      <c r="C18" s="24">
        <f ca="1">C19+C20-IF(C1="",'数据-取费表'!B29,IF(G18="已全部缴纳",C19+C20,H18))</f>
        <v>0</v>
      </c>
      <c r="D18" s="936"/>
      <c r="E18" s="24"/>
      <c r="F18" s="894"/>
      <c r="G18" s="1999"/>
      <c r="H18" s="1302"/>
      <c r="I18" s="2000" t="s">
        <v>2072</v>
      </c>
      <c r="J18" s="897"/>
      <c r="K18" s="898"/>
    </row>
    <row r="19" spans="1:33" s="893" customFormat="1" ht="13.5" customHeight="1">
      <c r="A19" s="889" t="s">
        <v>624</v>
      </c>
      <c r="B19" s="890" t="s">
        <v>2073</v>
      </c>
      <c r="C19" s="24">
        <f ca="1">ROUND(D19*E19/10000,0)</f>
        <v>0</v>
      </c>
      <c r="D19" s="936">
        <f ca="1">IF(C1="",'数据-汇总表'!E5,IF(INDIRECT("'数据-取费表'!c"&amp;$K$1)="住宅",INDIRECT("'数据-取费表'!k"&amp;$K$1),0))</f>
        <v>0</v>
      </c>
      <c r="E19" s="24">
        <f>'数据-取费表'!B27</f>
        <v>160</v>
      </c>
      <c r="F19" s="894"/>
      <c r="G19" s="15"/>
      <c r="H19" s="1304"/>
      <c r="I19" s="899"/>
      <c r="J19" s="899"/>
      <c r="K19" s="900"/>
    </row>
    <row r="20" spans="1:33" s="893" customFormat="1" ht="13.5" customHeight="1">
      <c r="A20" s="889" t="s">
        <v>625</v>
      </c>
      <c r="B20" s="890" t="s">
        <v>2074</v>
      </c>
      <c r="C20" s="24">
        <f ca="1">ROUND(D20*E20/10000,0)</f>
        <v>131</v>
      </c>
      <c r="D20" s="936">
        <f ca="1">IF(C1="",'数据-汇总表'!E6,IF(INDIRECT("'数据-取费表'!c"&amp;$K$1)="住宅",INDIRECT("'数据-取费表'!s"&amp;$K$1),INDIRECT("'数据-取费表'!k"&amp;$K$1)+INDIRECT("'数据-取费表'!s"&amp;$K$1)))</f>
        <v>6531.86</v>
      </c>
      <c r="E20" s="24">
        <f>'数据-取费表'!B28</f>
        <v>200</v>
      </c>
      <c r="F20" s="894"/>
      <c r="G20" s="15"/>
      <c r="H20" s="899"/>
      <c r="I20" s="899"/>
      <c r="J20" s="899"/>
      <c r="K20" s="900"/>
    </row>
    <row r="21" spans="1:33" s="893" customFormat="1" ht="13.5" customHeight="1">
      <c r="A21" s="879" t="s">
        <v>621</v>
      </c>
      <c r="B21" s="903" t="s">
        <v>2075</v>
      </c>
      <c r="C21" s="904">
        <f ca="1">C16+C17+C18</f>
        <v>0</v>
      </c>
      <c r="D21" s="905"/>
      <c r="E21" s="287"/>
      <c r="F21" s="287"/>
      <c r="G21" s="136" t="s">
        <v>2076</v>
      </c>
      <c r="H21" s="897"/>
      <c r="I21" s="897"/>
      <c r="J21" s="897"/>
      <c r="K21" s="898"/>
    </row>
    <row r="22" spans="1:33" s="893" customFormat="1" ht="13.5" customHeight="1">
      <c r="A22" s="879" t="s">
        <v>2048</v>
      </c>
      <c r="B22" s="903" t="s">
        <v>2077</v>
      </c>
      <c r="C22" s="904">
        <f ca="1">ROUND(C21*F22,0)</f>
        <v>0</v>
      </c>
      <c r="D22" s="287"/>
      <c r="E22" s="287"/>
      <c r="F22" s="906">
        <f>'数据-取费表'!B37</f>
        <v>0.02</v>
      </c>
      <c r="G22" s="8" t="s">
        <v>2078</v>
      </c>
      <c r="H22" s="886"/>
      <c r="I22" s="886"/>
      <c r="J22" s="886"/>
      <c r="K22" s="887"/>
    </row>
    <row r="23" spans="1:33" s="893" customFormat="1" ht="13.5" customHeight="1">
      <c r="A23" s="879" t="s">
        <v>2050</v>
      </c>
      <c r="B23" s="903" t="s">
        <v>2079</v>
      </c>
      <c r="C23" s="904">
        <f ca="1">ROUND(C4*F23*F11,0)</f>
        <v>0</v>
      </c>
      <c r="D23" s="287"/>
      <c r="E23" s="287"/>
      <c r="F23" s="906">
        <f>'数据-取费表'!B38</f>
        <v>0.02</v>
      </c>
      <c r="G23" s="8" t="s">
        <v>2080</v>
      </c>
      <c r="H23" s="886"/>
      <c r="I23" s="886"/>
      <c r="J23" s="886"/>
      <c r="K23" s="887"/>
    </row>
    <row r="24" spans="1:33" s="893" customFormat="1" ht="13.5" customHeight="1">
      <c r="A24" s="879" t="s">
        <v>2081</v>
      </c>
      <c r="B24" s="903" t="s">
        <v>2082</v>
      </c>
      <c r="C24" s="286">
        <f>ROUND(F24/(1+'数据-取费表'!C42),4)</f>
        <v>2.9000000000000001E-2</v>
      </c>
      <c r="D24" s="287" t="s">
        <v>15</v>
      </c>
      <c r="E24" s="287"/>
      <c r="F24" s="906">
        <f>IF(项目基本情况!B8="出让",0,'数据-取费表'!B48+'数据-取费表'!B49)</f>
        <v>3.0499999999999999E-2</v>
      </c>
      <c r="G24" s="8" t="s">
        <v>2083</v>
      </c>
      <c r="H24" s="908"/>
      <c r="I24" s="908"/>
      <c r="J24" s="908"/>
      <c r="K24" s="909"/>
    </row>
    <row r="25" spans="1:33" s="893" customFormat="1" ht="13.5" customHeight="1">
      <c r="A25" s="879" t="s">
        <v>2084</v>
      </c>
      <c r="B25" s="905" t="s">
        <v>2085</v>
      </c>
      <c r="C25" s="1219">
        <f ca="1">C27</f>
        <v>0</v>
      </c>
      <c r="D25" s="286">
        <f ca="1">C26</f>
        <v>0</v>
      </c>
      <c r="E25" s="288" t="s">
        <v>15</v>
      </c>
      <c r="F25" s="289">
        <f ca="1">'数据-取费表'!B40</f>
        <v>4.1499999999999995E-2</v>
      </c>
      <c r="G25" s="136" t="str">
        <f>IF('数据-取费表'!B22&lt;=1,"单利计息。","复利计息。")&amp;"后续开发成本、管理费用及销售费用产生的利息。"</f>
        <v>复利计息。后续开发成本、管理费用及销售费用产生的利息。</v>
      </c>
      <c r="H25" s="908"/>
      <c r="I25" s="908"/>
      <c r="J25" s="908"/>
      <c r="K25" s="909"/>
    </row>
    <row r="26" spans="1:33" s="911" customFormat="1" ht="13.5" customHeight="1">
      <c r="A26" s="889" t="s">
        <v>622</v>
      </c>
      <c r="B26" s="910" t="s">
        <v>2086</v>
      </c>
      <c r="C26" s="1220">
        <f ca="1">ROUND(IF('数据-取费表'!B22&lt;=1,(1+C24)*F25*'数据-取费表'!B24,(1+C24)*(POWER((1+F25),'数据-取费表'!B24)-1)),4)</f>
        <v>0</v>
      </c>
      <c r="D26" s="290"/>
      <c r="E26" s="291"/>
      <c r="F26" s="292"/>
      <c r="G26" s="2001" t="str">
        <f>IF('数据-取费表'!B22&lt;=1,"（(1)+取得税费率/(1+5%)）×年利率×建设期","（(1)+取得税费率）/(1+5%)×((1+年利率)^建设期-1)")</f>
        <v>（(1)+取得税费率）/(1+5%)×((1+年利率)^建设期-1)</v>
      </c>
      <c r="H26" s="897"/>
      <c r="I26" s="897"/>
      <c r="J26" s="897"/>
      <c r="K26" s="898"/>
    </row>
    <row r="27" spans="1:33" s="911" customFormat="1" ht="13.5" customHeight="1">
      <c r="A27" s="889" t="s">
        <v>623</v>
      </c>
      <c r="B27" s="910" t="s">
        <v>2087</v>
      </c>
      <c r="C27" s="1221">
        <f ca="1">ROUND(IF('数据-取费表'!B22&lt;=1,(C21+C22+C23)*F25*'数据-取费表'!B24/2,(C21+C22+C23)*(POWER((1+F25),'数据-取费表'!B24/2)-1)),0)</f>
        <v>0</v>
      </c>
      <c r="D27" s="290"/>
      <c r="E27" s="291"/>
      <c r="F27" s="292"/>
      <c r="G27" s="2001" t="str">
        <f>IF('数据-取费表'!B22&lt;=1,"（1）-（3）项×年利率×建设期÷2","（1）-（3）项×((1+年利率)^(建设期÷2)-1)")</f>
        <v>（1）-（3）项×((1+年利率)^(建设期÷2)-1)</v>
      </c>
      <c r="H27" s="897"/>
      <c r="I27" s="897"/>
      <c r="J27" s="897"/>
      <c r="K27" s="898"/>
    </row>
    <row r="28" spans="1:33" s="295" customFormat="1" ht="13.5" customHeight="1">
      <c r="A28" s="879" t="s">
        <v>2088</v>
      </c>
      <c r="B28" s="2002" t="s">
        <v>2089</v>
      </c>
      <c r="C28" s="293">
        <f ca="1">C30</f>
        <v>0</v>
      </c>
      <c r="D28" s="286">
        <f ca="1">C29</f>
        <v>0</v>
      </c>
      <c r="E28" s="288" t="s">
        <v>15</v>
      </c>
      <c r="F28" s="294">
        <f ca="1">IF(C1="",'数据-取费表'!Q16,INDIRECT("'数据-取费表'!q"&amp;$K$1))</f>
        <v>0.2</v>
      </c>
      <c r="G28" s="907"/>
      <c r="H28" s="908"/>
      <c r="I28" s="908"/>
      <c r="J28" s="908"/>
      <c r="K28" s="909"/>
    </row>
    <row r="29" spans="1:33" s="297" customFormat="1" ht="13.5" customHeight="1">
      <c r="A29" s="889" t="s">
        <v>622</v>
      </c>
      <c r="B29" s="912" t="s">
        <v>2090</v>
      </c>
      <c r="C29" s="290">
        <f ca="1">ROUND((1+C24)*F28*'数据-取费表'!B24/'数据-取费表'!B20,4)</f>
        <v>0</v>
      </c>
      <c r="D29" s="290"/>
      <c r="E29" s="291"/>
      <c r="F29" s="296"/>
      <c r="G29" s="136" t="s">
        <v>2091</v>
      </c>
      <c r="H29" s="897"/>
      <c r="I29" s="897"/>
      <c r="J29" s="897"/>
      <c r="K29" s="898"/>
    </row>
    <row r="30" spans="1:33" s="297" customFormat="1" ht="13.5" customHeight="1">
      <c r="A30" s="889" t="s">
        <v>623</v>
      </c>
      <c r="B30" s="912" t="s">
        <v>2092</v>
      </c>
      <c r="C30" s="298">
        <f ca="1">ROUND((C21+C22+C23)*F28,0)</f>
        <v>0</v>
      </c>
      <c r="D30" s="290"/>
      <c r="E30" s="291"/>
      <c r="F30" s="296"/>
      <c r="G30" s="136"/>
      <c r="H30" s="897"/>
      <c r="I30" s="897"/>
      <c r="J30" s="897"/>
      <c r="K30" s="898"/>
    </row>
    <row r="31" spans="1:33" s="893" customFormat="1" ht="13.5" customHeight="1" thickBot="1">
      <c r="A31" s="2003" t="s">
        <v>2093</v>
      </c>
      <c r="B31" s="923" t="s">
        <v>2094</v>
      </c>
      <c r="C31" s="924">
        <f>ROUND(C4*F31/(1+'数据-取费表'!C42),0)</f>
        <v>0</v>
      </c>
      <c r="D31" s="925"/>
      <c r="E31" s="926"/>
      <c r="F31" s="927">
        <f>'数据-取费表'!B41</f>
        <v>5.6000000000000001E-2</v>
      </c>
      <c r="G31" s="928" t="s">
        <v>2095</v>
      </c>
      <c r="H31" s="929"/>
      <c r="I31" s="929"/>
      <c r="J31" s="929"/>
      <c r="K31" s="930"/>
    </row>
    <row r="32" spans="1:33" s="888" customFormat="1" ht="13.5" customHeight="1" thickBot="1">
      <c r="A32" s="918" t="s">
        <v>2096</v>
      </c>
      <c r="B32" s="919"/>
      <c r="C32" s="920">
        <f ca="1">ROUND((C4-C21-C22-C23-C25-C28-C31)/(1+C24+D25+D28),0)</f>
        <v>0</v>
      </c>
      <c r="D32" s="919"/>
      <c r="E32" s="919"/>
      <c r="F32" s="919"/>
      <c r="G32" s="921" t="s">
        <v>2097</v>
      </c>
      <c r="H32" s="919"/>
      <c r="I32" s="919"/>
      <c r="J32" s="919"/>
      <c r="K32" s="92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0"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J53" sqref="J5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1312</v>
      </c>
      <c r="B1" s="722"/>
      <c r="C1" s="1514" t="s">
        <v>1102</v>
      </c>
      <c r="D1" s="1497" t="s">
        <v>70</v>
      </c>
      <c r="E1" s="1498" t="s">
        <v>1111</v>
      </c>
      <c r="F1" s="1174">
        <f ca="1">J53</f>
        <v>40</v>
      </c>
      <c r="G1" s="1513">
        <f>MATCH(C1,'数据-取费表'!A6:A16,0)+5</f>
        <v>6</v>
      </c>
      <c r="H1" s="2871"/>
      <c r="I1" s="2872"/>
      <c r="J1" s="2872"/>
      <c r="K1" s="2873"/>
      <c r="L1" s="2872"/>
      <c r="M1" s="287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1239</v>
      </c>
      <c r="B2" s="1521">
        <f ca="1">C40+J29+L46</f>
        <v>15586</v>
      </c>
      <c r="C2" s="1522" t="s">
        <v>1240</v>
      </c>
      <c r="D2" s="1522"/>
      <c r="E2" s="1523"/>
      <c r="F2" s="1524"/>
      <c r="G2" s="2885"/>
      <c r="H2" s="2874"/>
      <c r="I2" s="2874"/>
      <c r="J2" s="2874"/>
      <c r="K2" s="2875"/>
      <c r="L2" s="2874"/>
      <c r="M2" s="2874"/>
    </row>
    <row r="3" spans="1:37" ht="18" customHeight="1" thickBot="1">
      <c r="A3" s="1525" t="s">
        <v>1241</v>
      </c>
      <c r="B3" s="1526">
        <f ca="1">IF(ISERROR(B2*10000/F43),0,ROUND(B2*10000/F43,0))</f>
        <v>28791</v>
      </c>
      <c r="C3" s="1522" t="s">
        <v>1242</v>
      </c>
      <c r="D3" s="1522"/>
      <c r="E3" s="1523"/>
      <c r="F3" s="1524"/>
      <c r="G3" s="2885"/>
      <c r="H3" s="692" t="s">
        <v>1311</v>
      </c>
      <c r="I3" s="1517"/>
      <c r="J3" s="1517"/>
      <c r="K3" s="1518"/>
      <c r="L3" s="1517"/>
      <c r="M3" s="1517"/>
    </row>
    <row r="4" spans="1:37" ht="18" customHeight="1">
      <c r="A4" s="301" t="s">
        <v>1120</v>
      </c>
      <c r="B4" s="302" t="s">
        <v>1121</v>
      </c>
      <c r="C4" s="302" t="s">
        <v>1122</v>
      </c>
      <c r="D4" s="302" t="s">
        <v>1123</v>
      </c>
      <c r="E4" s="303" t="s">
        <v>1124</v>
      </c>
      <c r="F4" s="304"/>
      <c r="G4" s="1519"/>
      <c r="H4" s="301" t="s">
        <v>1120</v>
      </c>
      <c r="I4" s="302" t="s">
        <v>1121</v>
      </c>
      <c r="J4" s="302" t="s">
        <v>1122</v>
      </c>
      <c r="K4" s="302" t="s">
        <v>1123</v>
      </c>
      <c r="L4" s="303" t="s">
        <v>1124</v>
      </c>
      <c r="M4" s="304"/>
    </row>
    <row r="5" spans="1:37" ht="18" customHeight="1">
      <c r="A5" s="305">
        <v>1</v>
      </c>
      <c r="B5" s="306" t="s">
        <v>1125</v>
      </c>
      <c r="C5" s="1183">
        <f ca="1">C6+C10+C12</f>
        <v>890</v>
      </c>
      <c r="D5" s="1499" t="s">
        <v>1126</v>
      </c>
      <c r="E5" s="1184"/>
      <c r="F5" s="1185"/>
      <c r="G5" s="1519"/>
      <c r="H5" s="305">
        <v>1</v>
      </c>
      <c r="I5" s="306" t="s">
        <v>1125</v>
      </c>
      <c r="J5" s="1183">
        <f ca="1">J6+J10+J12</f>
        <v>0</v>
      </c>
      <c r="K5" s="1499" t="s">
        <v>1126</v>
      </c>
      <c r="L5" s="1184"/>
      <c r="M5" s="1185"/>
    </row>
    <row r="6" spans="1:37" ht="18" customHeight="1">
      <c r="A6" s="1182" t="s">
        <v>822</v>
      </c>
      <c r="B6" s="3426" t="s">
        <v>1127</v>
      </c>
      <c r="C6" s="1187">
        <f ca="1">ROUND(F6*F8*F7*(1-F9)/10000,0)</f>
        <v>889</v>
      </c>
      <c r="D6" s="160" t="s">
        <v>2608</v>
      </c>
      <c r="E6" s="308" t="s">
        <v>1129</v>
      </c>
      <c r="F6" s="309">
        <f ca="1">INDIRECT("'数据-取费表'!u"&amp;$G$1)</f>
        <v>5</v>
      </c>
      <c r="G6" s="1519"/>
      <c r="H6" s="1182" t="s">
        <v>822</v>
      </c>
      <c r="I6" s="3426" t="s">
        <v>1127</v>
      </c>
      <c r="J6" s="307">
        <f ca="1">ROUND(M6*M8*M7*(1-M9)/10000,0)</f>
        <v>0</v>
      </c>
      <c r="K6" s="160" t="s">
        <v>2607</v>
      </c>
      <c r="L6" s="308" t="s">
        <v>1129</v>
      </c>
      <c r="M6" s="309">
        <f ca="1">INDIRECT("'数据-取费表'!z"&amp;$G$1)</f>
        <v>0</v>
      </c>
    </row>
    <row r="7" spans="1:37" ht="18" customHeight="1">
      <c r="A7" s="1186"/>
      <c r="B7" s="3427"/>
      <c r="C7" s="1188"/>
      <c r="D7" s="313"/>
      <c r="E7" s="1189" t="s">
        <v>1130</v>
      </c>
      <c r="F7" s="309">
        <f ca="1">IF(INDIRECT("'数据-取费表'!ah"&amp;$G$1)="",INDIRECT("'数据-取费表'!k"&amp;$G$1),INDIRECT("'数据-取费表'!ah"&amp;$G$1))</f>
        <v>5413.53</v>
      </c>
      <c r="G7" s="1519"/>
      <c r="H7" s="310"/>
      <c r="I7" s="3427"/>
      <c r="J7" s="312"/>
      <c r="K7" s="313"/>
      <c r="L7" s="308" t="s">
        <v>1130</v>
      </c>
      <c r="M7" s="309">
        <f ca="1">F7</f>
        <v>5413.53</v>
      </c>
    </row>
    <row r="8" spans="1:37" ht="18" customHeight="1">
      <c r="A8" s="310"/>
      <c r="B8" s="3427"/>
      <c r="C8" s="312"/>
      <c r="D8" s="313"/>
      <c r="E8" s="308" t="s">
        <v>1131</v>
      </c>
      <c r="F8" s="309">
        <f ca="1">INDIRECT("'数据-取费表'!ai"&amp;$G$1)</f>
        <v>365</v>
      </c>
      <c r="G8" s="1519"/>
      <c r="H8" s="310"/>
      <c r="I8" s="3427"/>
      <c r="J8" s="312"/>
      <c r="K8" s="313"/>
      <c r="L8" s="308" t="s">
        <v>1131</v>
      </c>
      <c r="M8" s="309">
        <f ca="1">INDIRECT("'数据-取费表'!ai"&amp;$G$1)</f>
        <v>365</v>
      </c>
    </row>
    <row r="9" spans="1:37" ht="18" customHeight="1">
      <c r="A9" s="310"/>
      <c r="B9" s="3428"/>
      <c r="C9" s="312"/>
      <c r="D9" s="313"/>
      <c r="E9" s="308" t="s">
        <v>1132</v>
      </c>
      <c r="F9" s="318">
        <f ca="1">INDIRECT("'数据-取费表'!w"&amp;$G$1)</f>
        <v>0.1</v>
      </c>
      <c r="G9" s="1519"/>
      <c r="H9" s="310"/>
      <c r="I9" s="3428"/>
      <c r="J9" s="312"/>
      <c r="K9" s="313"/>
      <c r="L9" s="319" t="s">
        <v>1132</v>
      </c>
      <c r="M9" s="320">
        <f ca="1">INDIRECT("'数据-取费表'!ab"&amp;$G$1)</f>
        <v>0</v>
      </c>
    </row>
    <row r="10" spans="1:37" ht="18" customHeight="1">
      <c r="A10" s="1182" t="s">
        <v>826</v>
      </c>
      <c r="B10" s="1500" t="s">
        <v>1133</v>
      </c>
      <c r="C10" s="322">
        <f ca="1">ROUND(IF(F10="押一",C6/12*F11,IF(F10="押二",C6/12*2*F11,IF(F10="押三",C6/12*3*F11,C11*F11))),0)</f>
        <v>1</v>
      </c>
      <c r="D10" s="1501" t="s">
        <v>2616</v>
      </c>
      <c r="E10" s="319" t="s">
        <v>1134</v>
      </c>
      <c r="F10" s="1229" t="s">
        <v>3186</v>
      </c>
      <c r="G10" s="1519"/>
      <c r="H10" s="1182" t="s">
        <v>826</v>
      </c>
      <c r="I10" s="1500" t="s">
        <v>1133</v>
      </c>
      <c r="J10" s="307">
        <f ca="1">ROUND(IF(M10="押一",J6/12*M11,IF(M10="押二",J6/12*2*M11,IF(M10="押三",J6/12*3*M11,J11*M11))),0)</f>
        <v>0</v>
      </c>
      <c r="K10" s="1501" t="s">
        <v>2615</v>
      </c>
      <c r="L10" s="319" t="s">
        <v>1134</v>
      </c>
      <c r="M10" s="1229" t="s">
        <v>1135</v>
      </c>
    </row>
    <row r="11" spans="1:37" ht="18" customHeight="1">
      <c r="A11" s="314"/>
      <c r="B11" s="1502" t="s">
        <v>1112</v>
      </c>
      <c r="C11" s="1071"/>
      <c r="D11" s="1503"/>
      <c r="E11" s="319" t="s">
        <v>1136</v>
      </c>
      <c r="F11" s="320">
        <f ca="1">'数据-取费表'!B39</f>
        <v>1.4999999999999999E-2</v>
      </c>
      <c r="G11" s="1519"/>
      <c r="H11" s="1190"/>
      <c r="I11" s="1502" t="s">
        <v>1112</v>
      </c>
      <c r="J11" s="1071"/>
      <c r="K11" s="693"/>
      <c r="L11" s="319" t="s">
        <v>1136</v>
      </c>
      <c r="M11" s="952">
        <f ca="1">'数据-取费表'!B39</f>
        <v>1.4999999999999999E-2</v>
      </c>
    </row>
    <row r="12" spans="1:37" ht="18" customHeight="1" thickBot="1">
      <c r="A12" s="1196" t="s">
        <v>862</v>
      </c>
      <c r="B12" s="1504" t="s">
        <v>1137</v>
      </c>
      <c r="C12" s="1197"/>
      <c r="D12" s="1198"/>
      <c r="E12" s="1203"/>
      <c r="F12" s="1199"/>
      <c r="G12" s="1519"/>
      <c r="H12" s="1196" t="s">
        <v>862</v>
      </c>
      <c r="I12" s="1504" t="s">
        <v>1137</v>
      </c>
      <c r="J12" s="1197"/>
      <c r="K12" s="1211"/>
      <c r="L12" s="1203"/>
      <c r="M12" s="1212"/>
    </row>
    <row r="13" spans="1:37" ht="18" customHeight="1" thickTop="1">
      <c r="A13" s="1192">
        <v>2</v>
      </c>
      <c r="B13" s="1193" t="s">
        <v>1138</v>
      </c>
      <c r="C13" s="316">
        <f ca="1">ROUND(C29*F13,0)</f>
        <v>2031</v>
      </c>
      <c r="D13" s="1194" t="s">
        <v>1139</v>
      </c>
      <c r="E13" s="1194" t="s">
        <v>1140</v>
      </c>
      <c r="F13" s="1195">
        <f ca="1">INDIRECT("'数据-取费表'!y"&amp;$G$1)</f>
        <v>0.74</v>
      </c>
      <c r="G13" s="1519"/>
      <c r="H13" s="1192">
        <v>2</v>
      </c>
      <c r="I13" s="1193" t="s">
        <v>1138</v>
      </c>
      <c r="J13" s="1181">
        <f ca="1">ROUND(J14*J15,0)</f>
        <v>0</v>
      </c>
      <c r="K13" s="1200" t="s">
        <v>1139</v>
      </c>
      <c r="L13" s="1527"/>
      <c r="M13" s="1528"/>
    </row>
    <row r="14" spans="1:37" ht="18" customHeight="1">
      <c r="A14" s="1094" t="s">
        <v>821</v>
      </c>
      <c r="B14" s="308" t="s">
        <v>1141</v>
      </c>
      <c r="C14" s="324">
        <f ca="1">INDIRECT("'数据-取费表'!m"&amp;$G$1)+INDIRECT("'数据-取费表'!t"&amp;$G$1)</f>
        <v>1786</v>
      </c>
      <c r="D14" s="1480" t="s">
        <v>1142</v>
      </c>
      <c r="E14" s="1477"/>
      <c r="F14" s="325"/>
      <c r="G14" s="1519"/>
      <c r="H14" s="1094" t="s">
        <v>822</v>
      </c>
      <c r="I14" s="308" t="s">
        <v>1143</v>
      </c>
      <c r="J14" s="24">
        <f ca="1">C29</f>
        <v>2745</v>
      </c>
      <c r="K14" s="15"/>
      <c r="L14" s="897"/>
      <c r="M14" s="898"/>
    </row>
    <row r="15" spans="1:37" s="1532" customFormat="1" ht="18" customHeight="1" thickBot="1">
      <c r="A15" s="1094" t="s">
        <v>823</v>
      </c>
      <c r="B15" s="308" t="s">
        <v>1144</v>
      </c>
      <c r="C15" s="24">
        <f ca="1">ROUND(C14*F15,0)</f>
        <v>54</v>
      </c>
      <c r="D15" s="326" t="s">
        <v>1145</v>
      </c>
      <c r="E15" s="326" t="s">
        <v>1146</v>
      </c>
      <c r="F15" s="327">
        <f>'数据-取费表'!B33</f>
        <v>0.03</v>
      </c>
      <c r="G15" s="1531"/>
      <c r="H15" s="1202" t="s">
        <v>826</v>
      </c>
      <c r="I15" s="1203" t="s">
        <v>1140</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1147</v>
      </c>
      <c r="C16" s="24">
        <f ca="1">ROUND(INDIRECT("'数据-取费表'!m"&amp;$G$1)*F16,0)</f>
        <v>0</v>
      </c>
      <c r="D16" s="308" t="s">
        <v>1145</v>
      </c>
      <c r="E16" s="308" t="s">
        <v>1146</v>
      </c>
      <c r="F16" s="328">
        <f ca="1">IF(INDIRECT("'数据-取费表'!c"&amp;$G$1)="住宅",'数据-取费表'!B34,0)</f>
        <v>0</v>
      </c>
      <c r="G16" s="1519"/>
      <c r="H16" s="1192" t="s">
        <v>817</v>
      </c>
      <c r="I16" s="1193" t="s">
        <v>1148</v>
      </c>
      <c r="J16" s="316">
        <f ca="1">ROUND(J17+J22+J23+J24,0)</f>
        <v>64</v>
      </c>
      <c r="K16" s="1200" t="s">
        <v>1149</v>
      </c>
      <c r="L16" s="1201"/>
      <c r="M16" s="1185"/>
    </row>
    <row r="17" spans="1:37" s="1532" customFormat="1" ht="18" customHeight="1">
      <c r="A17" s="1094" t="s">
        <v>1114</v>
      </c>
      <c r="B17" s="308" t="s">
        <v>1150</v>
      </c>
      <c r="C17" s="24">
        <f ca="1">ROUND(F17*(F43+INDIRECT("'数据-取费表'!S"&amp;$G$1))/10000,0)</f>
        <v>131</v>
      </c>
      <c r="D17" s="308" t="s">
        <v>1151</v>
      </c>
      <c r="E17" s="308" t="s">
        <v>1152</v>
      </c>
      <c r="F17" s="26">
        <f>'数据-取费表'!B35</f>
        <v>200</v>
      </c>
      <c r="G17" s="1531"/>
      <c r="H17" s="1094" t="s">
        <v>822</v>
      </c>
      <c r="I17" s="308" t="s">
        <v>1153</v>
      </c>
      <c r="J17" s="2485">
        <f ca="1">ROUND(IF(AND(项目基本情况!B11="自然人",项目基本情况!B10="北京市"),J6*M17/(1+'数据-取费表'!C42),J18+J19+J20),0)</f>
        <v>23</v>
      </c>
      <c r="K17" s="1480" t="s">
        <v>1154</v>
      </c>
      <c r="L17" s="1479" t="s">
        <v>1155</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1156</v>
      </c>
      <c r="C18" s="24">
        <f ca="1">ROUND(C14*F18,0)</f>
        <v>27</v>
      </c>
      <c r="D18" s="308" t="s">
        <v>1145</v>
      </c>
      <c r="E18" s="308" t="s">
        <v>1146</v>
      </c>
      <c r="F18" s="328">
        <f>'数据-取费表'!B36</f>
        <v>1.4999999999999999E-2</v>
      </c>
      <c r="G18" s="1531"/>
      <c r="H18" s="1094" t="s">
        <v>821</v>
      </c>
      <c r="I18" s="308" t="s">
        <v>1157</v>
      </c>
      <c r="J18" s="24">
        <f ca="1">ROUND(J6*M18/(1+'数据-取费表'!C42),2)</f>
        <v>0</v>
      </c>
      <c r="K18" s="1479" t="s">
        <v>1158</v>
      </c>
      <c r="L18" s="308" t="s">
        <v>1146</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1159</v>
      </c>
      <c r="C19" s="24">
        <f ca="1">SUM(C14:C18)</f>
        <v>1998</v>
      </c>
      <c r="D19" s="136" t="s">
        <v>1160</v>
      </c>
      <c r="E19" s="1495"/>
      <c r="F19" s="26"/>
      <c r="G19" s="1519"/>
      <c r="H19" s="1094" t="s">
        <v>823</v>
      </c>
      <c r="I19" s="308" t="s">
        <v>1161</v>
      </c>
      <c r="J19" s="24">
        <f ca="1">IF(K19="按租金收入计税",ROUND(J6*M19/(1+'数据-取费表'!C42),2),ROUND(C29*M19*0.7,2))</f>
        <v>23.06</v>
      </c>
      <c r="K19" s="1505" t="s">
        <v>1162</v>
      </c>
      <c r="L19" s="308" t="s">
        <v>1146</v>
      </c>
      <c r="M19" s="328">
        <f>IF(K19="按租金收入计税",'数据-取费表'!B51,'数据-取费表'!B50)</f>
        <v>1.2E-2</v>
      </c>
    </row>
    <row r="20" spans="1:37" s="1532" customFormat="1" ht="18" customHeight="1">
      <c r="A20" s="1094" t="s">
        <v>826</v>
      </c>
      <c r="B20" s="308" t="s">
        <v>1163</v>
      </c>
      <c r="C20" s="24">
        <f ca="1">ROUND(C19*F20,0)</f>
        <v>40</v>
      </c>
      <c r="D20" s="329" t="s">
        <v>1164</v>
      </c>
      <c r="E20" s="308" t="s">
        <v>1146</v>
      </c>
      <c r="F20" s="328">
        <f>'数据-取费表'!B37</f>
        <v>0.02</v>
      </c>
      <c r="G20" s="1531"/>
      <c r="H20" s="1094" t="s">
        <v>1113</v>
      </c>
      <c r="I20" s="160" t="s">
        <v>1165</v>
      </c>
      <c r="J20" s="25">
        <f ca="1">ROUND(M20*M21/10000,2)</f>
        <v>0</v>
      </c>
      <c r="K20" s="330" t="s">
        <v>1166</v>
      </c>
      <c r="L20" s="308" t="s">
        <v>1167</v>
      </c>
      <c r="M20" s="331">
        <f>'数据-取费表'!B52</f>
        <v>12</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1168</v>
      </c>
      <c r="C21" s="24" t="s">
        <v>18</v>
      </c>
      <c r="D21" s="329" t="s">
        <v>1169</v>
      </c>
      <c r="E21" s="308" t="s">
        <v>1170</v>
      </c>
      <c r="F21" s="328">
        <f>'数据-取费表'!B38</f>
        <v>0.02</v>
      </c>
      <c r="G21" s="1531"/>
      <c r="H21" s="332"/>
      <c r="I21" s="317"/>
      <c r="J21" s="29"/>
      <c r="K21" s="333"/>
      <c r="L21" s="308" t="s">
        <v>1171</v>
      </c>
      <c r="M21" s="309">
        <f ca="1">INDIRECT("'数据-取费表'!r"&amp;$G$1)</f>
        <v>0</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5"/>
      <c r="F22" s="26"/>
      <c r="G22" s="1519"/>
      <c r="H22" s="1094" t="s">
        <v>826</v>
      </c>
      <c r="I22" s="308" t="s">
        <v>1173</v>
      </c>
      <c r="J22" s="24">
        <f ca="1">ROUND(J14*M22,1)</f>
        <v>41.2</v>
      </c>
      <c r="K22" s="1479" t="s">
        <v>1174</v>
      </c>
      <c r="L22" s="308" t="s">
        <v>1146</v>
      </c>
      <c r="M22" s="334">
        <f ca="1">INDIRECT("'数据-取费表'!Ak"&amp;$G$1)</f>
        <v>1.4999999999999999E-2</v>
      </c>
    </row>
    <row r="23" spans="1:37" s="1532" customFormat="1" ht="18" customHeight="1">
      <c r="A23" s="1094" t="s">
        <v>821</v>
      </c>
      <c r="B23" s="308" t="s">
        <v>1175</v>
      </c>
      <c r="C23" s="24">
        <f ca="1">IF('数据-取费表'!B22&lt;=1,ROUND(C19*F24*F23/2,0)+ROUND(C20*F24*F23/2,0),ROUND(C19*(POWER((1+F24),F23/2)-1),0)+ROUND(C20*(POWER((1+F24),F23/2)-1),0))</f>
        <v>85</v>
      </c>
      <c r="D23" s="335" t="str">
        <f>IF(F23&lt;=1,"(建造成本+管理费用)×利率×(建设周期÷2)","(建造成本+管理费用)×((1+利率)^(建设周期÷2)-1)")</f>
        <v>(建造成本+管理费用)×((1+利率)^(建设周期÷2)-1)</v>
      </c>
      <c r="E23" s="308" t="s">
        <v>1176</v>
      </c>
      <c r="F23" s="331">
        <f>'数据-取费表'!B20</f>
        <v>2</v>
      </c>
      <c r="G23" s="1531"/>
      <c r="H23" s="1094" t="s">
        <v>862</v>
      </c>
      <c r="I23" s="308" t="s">
        <v>1177</v>
      </c>
      <c r="J23" s="24">
        <f ca="1">ROUND(J13*M23,1)</f>
        <v>0</v>
      </c>
      <c r="K23" s="1479" t="s">
        <v>1178</v>
      </c>
      <c r="L23" s="308" t="s">
        <v>1179</v>
      </c>
      <c r="M23" s="336">
        <f ca="1">INDIRECT("'数据-取费表'!Al"&amp;$G$1)</f>
        <v>1.5E-3</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1180</v>
      </c>
      <c r="B24" s="308" t="s">
        <v>1181</v>
      </c>
      <c r="C24" s="24">
        <f ca="1">ROUND(IF('数据-取费表'!B22&lt;=1,F21*F24*F23/2,F21*(POWER((1+F24),F23/2)-1)),4)</f>
        <v>8.0000000000000004E-4</v>
      </c>
      <c r="D24" s="335" t="str">
        <f>IF(F23&lt;=1,"销售费用×利率×(建设周期÷2)","销售费用×((1+利率)^(建设周期÷2)-1)")</f>
        <v>销售费用×((1+利率)^(建设周期÷2)-1)</v>
      </c>
      <c r="E24" s="308" t="s">
        <v>1182</v>
      </c>
      <c r="F24" s="337">
        <f ca="1">'数据-取费表'!B40</f>
        <v>4.1499999999999995E-2</v>
      </c>
      <c r="G24" s="1531"/>
      <c r="H24" s="1202" t="s">
        <v>1117</v>
      </c>
      <c r="I24" s="1203" t="s">
        <v>1163</v>
      </c>
      <c r="J24" s="1204">
        <f ca="1">ROUND(J5*M24,1)</f>
        <v>0</v>
      </c>
      <c r="K24" s="1205" t="s">
        <v>1183</v>
      </c>
      <c r="L24" s="1203" t="s">
        <v>1179</v>
      </c>
      <c r="M24" s="1199">
        <f ca="1">INDIRECT("'数据-取费表'!Am"&amp;$G$1)</f>
        <v>1.4999999999999999E-2</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24" customHeight="1" thickTop="1">
      <c r="A25" s="1094" t="s">
        <v>1184</v>
      </c>
      <c r="B25" s="308" t="s">
        <v>1185</v>
      </c>
      <c r="C25" s="24"/>
      <c r="D25" s="136" t="s">
        <v>1186</v>
      </c>
      <c r="E25" s="1495"/>
      <c r="F25" s="26"/>
      <c r="G25" s="1519"/>
      <c r="H25" s="1192" t="s">
        <v>818</v>
      </c>
      <c r="I25" s="1207" t="s">
        <v>1187</v>
      </c>
      <c r="J25" s="316">
        <f ca="1">J5-J16</f>
        <v>-64</v>
      </c>
      <c r="K25" s="1208" t="s">
        <v>1188</v>
      </c>
      <c r="L25" s="1209"/>
      <c r="M25" s="1210"/>
    </row>
    <row r="26" spans="1:37">
      <c r="A26" s="1094" t="s">
        <v>821</v>
      </c>
      <c r="B26" s="308" t="s">
        <v>1189</v>
      </c>
      <c r="C26" s="24">
        <f ca="1">ROUND((C19+C20)*F26,0)</f>
        <v>408</v>
      </c>
      <c r="D26" s="329" t="s">
        <v>1190</v>
      </c>
      <c r="E26" s="319" t="s">
        <v>1191</v>
      </c>
      <c r="F26" s="318">
        <f ca="1">INDIRECT("'数据-取费表'!q"&amp;$G$1)</f>
        <v>0.2</v>
      </c>
      <c r="G26" s="1519"/>
      <c r="H26" s="305" t="s">
        <v>819</v>
      </c>
      <c r="I26" s="306" t="s">
        <v>1192</v>
      </c>
      <c r="J26" s="307">
        <f ca="1">IF(J5&lt;&gt;0,ROUND(J25*(1-((1+M28)/(1+M26))^M27)/(M26-M28),0),0)</f>
        <v>0</v>
      </c>
      <c r="K26" s="330" t="s">
        <v>1193</v>
      </c>
      <c r="L26" s="308" t="s">
        <v>1194</v>
      </c>
      <c r="M26" s="318">
        <f ca="1">INDIRECT("'数据-取费表'!I"&amp;$G$1)</f>
        <v>5.5E-2</v>
      </c>
    </row>
    <row r="27" spans="1:37" ht="18" customHeight="1">
      <c r="A27" s="1094" t="s">
        <v>823</v>
      </c>
      <c r="B27" s="308" t="s">
        <v>1195</v>
      </c>
      <c r="C27" s="24">
        <f ca="1">ROUND(F21*F26,4)</f>
        <v>4.0000000000000001E-3</v>
      </c>
      <c r="D27" s="329" t="s">
        <v>1196</v>
      </c>
      <c r="E27" s="326"/>
      <c r="F27" s="327"/>
      <c r="G27" s="1519"/>
      <c r="H27" s="310"/>
      <c r="I27" s="311"/>
      <c r="J27" s="312"/>
      <c r="K27" s="338" t="s">
        <v>1197</v>
      </c>
      <c r="L27" s="308" t="s">
        <v>1198</v>
      </c>
      <c r="M27" s="339">
        <f ca="1">INDIRECT("'数据-取费表'!ag"&amp;$G$1)</f>
        <v>0</v>
      </c>
    </row>
    <row r="28" spans="1:37" s="1532" customFormat="1" ht="18" customHeight="1">
      <c r="A28" s="1094" t="s">
        <v>824</v>
      </c>
      <c r="B28" s="308" t="s">
        <v>1199</v>
      </c>
      <c r="C28" s="24">
        <f>ROUND(F28/(1+'数据-取费表'!C42),4)</f>
        <v>5.33E-2</v>
      </c>
      <c r="D28" s="329" t="s">
        <v>1200</v>
      </c>
      <c r="E28" s="308" t="s">
        <v>1146</v>
      </c>
      <c r="F28" s="328">
        <f>'数据-取费表'!B41</f>
        <v>5.6000000000000001E-2</v>
      </c>
      <c r="G28" s="1531"/>
      <c r="H28" s="314"/>
      <c r="I28" s="315"/>
      <c r="J28" s="316"/>
      <c r="K28" s="333"/>
      <c r="L28" s="308" t="s">
        <v>1201</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1202</v>
      </c>
      <c r="C29" s="1204">
        <f ca="1">ROUND((C19+C20+C23+C26)/(1-F21-C24-C27-C28),0)</f>
        <v>2745</v>
      </c>
      <c r="D29" s="1205"/>
      <c r="E29" s="1203"/>
      <c r="F29" s="1206"/>
      <c r="G29" s="1531"/>
      <c r="H29" s="340" t="s">
        <v>820</v>
      </c>
      <c r="I29" s="341" t="s">
        <v>1203</v>
      </c>
      <c r="J29" s="342">
        <f ca="1">ROUND(J26/(1+F40)^F41,0)</f>
        <v>0</v>
      </c>
      <c r="K29" s="343" t="s">
        <v>1204</v>
      </c>
      <c r="L29" s="344"/>
      <c r="M29" s="345">
        <f ca="1">INDIRECT("'数据-取费表'!k"&amp;$G$1)</f>
        <v>5413.53</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1148</v>
      </c>
      <c r="C30" s="316">
        <f ca="1">ROUND(C31+C36+C37+C38,0)</f>
        <v>207</v>
      </c>
      <c r="D30" s="1200" t="s">
        <v>1149</v>
      </c>
      <c r="E30" s="1201"/>
      <c r="F30" s="1185"/>
      <c r="G30" s="1519"/>
      <c r="H30" s="2876"/>
      <c r="I30" s="1533"/>
      <c r="J30" s="1534"/>
      <c r="K30" s="2651"/>
      <c r="L30" s="2877"/>
      <c r="M30" s="2878"/>
    </row>
    <row r="31" spans="1:37" ht="18" customHeight="1">
      <c r="A31" s="1094" t="s">
        <v>822</v>
      </c>
      <c r="B31" s="308" t="s">
        <v>1153</v>
      </c>
      <c r="C31" s="2485">
        <f ca="1">ROUND(IF(AND(项目基本情况!B11="自然人",项目基本情况!B10="北京市"),C6*F31/(1+'数据-取费表'!C42),C32+C33+C34),0)</f>
        <v>149</v>
      </c>
      <c r="D31" s="1480" t="s">
        <v>1154</v>
      </c>
      <c r="E31" s="1479" t="s">
        <v>1205</v>
      </c>
      <c r="F31" s="2484" t="str">
        <f>IF(项目基本情况!B11="企业","——",IF('数据-取费表'!B10="住宅",IF(F6*F7*F8/12/(1+'数据-取费表'!F30)&gt;100000,4%,2.5%),IF(F6*F7*F8/12/(1+'数据-取费表'!F30)&gt;100000,12%,7%)))</f>
        <v>——</v>
      </c>
      <c r="G31" s="1519"/>
      <c r="H31" s="2989" t="s">
        <v>2811</v>
      </c>
      <c r="I31" s="1533"/>
      <c r="J31" s="1534"/>
      <c r="K31" s="2651"/>
      <c r="L31" s="2877"/>
      <c r="M31" s="2878"/>
    </row>
    <row r="32" spans="1:37" ht="18" customHeight="1">
      <c r="A32" s="1094" t="s">
        <v>821</v>
      </c>
      <c r="B32" s="308" t="s">
        <v>1157</v>
      </c>
      <c r="C32" s="24">
        <f ca="1">IF(项目基本情况!B11="自然人","——",ROUND(C6*F32/(1+'数据-取费表'!C42),2))</f>
        <v>47.41</v>
      </c>
      <c r="D32" s="1479" t="s">
        <v>1158</v>
      </c>
      <c r="E32" s="308" t="s">
        <v>1146</v>
      </c>
      <c r="F32" s="337">
        <f>'数据-取费表'!B41</f>
        <v>5.6000000000000001E-2</v>
      </c>
      <c r="G32" s="1519"/>
      <c r="H32" s="2876"/>
      <c r="I32" s="1533"/>
      <c r="J32" s="1534"/>
      <c r="K32" s="2651"/>
      <c r="L32" s="2877"/>
      <c r="M32" s="2878"/>
    </row>
    <row r="33" spans="1:18" ht="18" customHeight="1">
      <c r="A33" s="1094" t="s">
        <v>823</v>
      </c>
      <c r="B33" s="308" t="s">
        <v>1161</v>
      </c>
      <c r="C33" s="24">
        <f ca="1">IF(项目基本情况!B11="自然人","——",IF(D33="按租金收入计税",ROUND(C6*F33/(1+'数据-取费表'!C42),2),IF(D33="按房产原值计税",ROUND(C29*F33*0.7,2),INDIRECT("'数据-取费表'!Aj"&amp;$G$1))))</f>
        <v>101.6</v>
      </c>
      <c r="D33" s="1505" t="s">
        <v>3189</v>
      </c>
      <c r="E33" s="308" t="s">
        <v>1146</v>
      </c>
      <c r="F33" s="328">
        <f>IF(D33="按票据","——",IF(D33="按租金收入计税",'数据-取费表'!B51,'数据-取费表'!B50))</f>
        <v>0.12</v>
      </c>
      <c r="G33" s="1519"/>
      <c r="H33" s="2879"/>
      <c r="I33" s="1533"/>
      <c r="J33" s="1534"/>
      <c r="K33" s="2880"/>
      <c r="L33" s="2879"/>
      <c r="M33" s="2879"/>
    </row>
    <row r="34" spans="1:18" ht="18" customHeight="1">
      <c r="A34" s="1182" t="s">
        <v>1113</v>
      </c>
      <c r="B34" s="160" t="s">
        <v>1165</v>
      </c>
      <c r="C34" s="25">
        <f ca="1">IF(项目基本情况!B11="自然人","——",ROUND(F34*F35/10000,2))</f>
        <v>0</v>
      </c>
      <c r="D34" s="330" t="s">
        <v>1166</v>
      </c>
      <c r="E34" s="308" t="s">
        <v>1167</v>
      </c>
      <c r="F34" s="331">
        <f>'数据-取费表'!B52</f>
        <v>12</v>
      </c>
      <c r="G34" s="1519"/>
      <c r="H34" s="2876"/>
      <c r="I34" s="1533"/>
      <c r="J34" s="1534"/>
      <c r="K34" s="2881"/>
      <c r="L34" s="2882"/>
      <c r="M34" s="2882"/>
    </row>
    <row r="35" spans="1:18" ht="18" customHeight="1">
      <c r="A35" s="1216"/>
      <c r="B35" s="1214"/>
      <c r="C35" s="29"/>
      <c r="D35" s="333"/>
      <c r="E35" s="308" t="s">
        <v>1171</v>
      </c>
      <c r="F35" s="309">
        <f ca="1">INDIRECT("'数据-取费表'!r"&amp;$G$1)</f>
        <v>0</v>
      </c>
      <c r="G35" s="1519"/>
      <c r="H35" s="2876"/>
      <c r="I35" s="1533"/>
      <c r="J35" s="1534"/>
      <c r="K35" s="2880"/>
      <c r="L35" s="2879"/>
      <c r="M35" s="2879"/>
    </row>
    <row r="36" spans="1:18" ht="18" customHeight="1">
      <c r="A36" s="1215" t="s">
        <v>826</v>
      </c>
      <c r="B36" s="308" t="s">
        <v>1173</v>
      </c>
      <c r="C36" s="24">
        <f ca="1">ROUND(C29*F36,1)</f>
        <v>41.2</v>
      </c>
      <c r="D36" s="1479" t="s">
        <v>1206</v>
      </c>
      <c r="E36" s="308" t="s">
        <v>1146</v>
      </c>
      <c r="F36" s="334">
        <f ca="1">INDIRECT("'数据-取费表'!Ak"&amp;$G$1)</f>
        <v>1.4999999999999999E-2</v>
      </c>
      <c r="G36" s="1519"/>
      <c r="H36" s="2879"/>
      <c r="I36" s="1533"/>
      <c r="J36" s="1534"/>
      <c r="K36" s="2720"/>
      <c r="L36" s="2879"/>
      <c r="M36" s="2879"/>
    </row>
    <row r="37" spans="1:18" ht="18" customHeight="1">
      <c r="A37" s="1094" t="s">
        <v>862</v>
      </c>
      <c r="B37" s="308" t="s">
        <v>1177</v>
      </c>
      <c r="C37" s="24">
        <f ca="1">ROUND(C13*F37,1)</f>
        <v>3</v>
      </c>
      <c r="D37" s="1479" t="s">
        <v>1178</v>
      </c>
      <c r="E37" s="308" t="s">
        <v>1179</v>
      </c>
      <c r="F37" s="336">
        <f ca="1">INDIRECT("'数据-取费表'!Al"&amp;$G$1)</f>
        <v>1.5E-3</v>
      </c>
      <c r="G37" s="1519"/>
      <c r="H37" s="2879"/>
      <c r="I37" s="1533"/>
      <c r="J37" s="1534"/>
      <c r="K37" s="2720"/>
      <c r="L37" s="2879"/>
      <c r="M37" s="2879"/>
    </row>
    <row r="38" spans="1:18" ht="18" customHeight="1" thickBot="1">
      <c r="A38" s="1202" t="s">
        <v>1117</v>
      </c>
      <c r="B38" s="1203" t="s">
        <v>1163</v>
      </c>
      <c r="C38" s="1204">
        <f ca="1">ROUND(C5*F38,1)</f>
        <v>13.4</v>
      </c>
      <c r="D38" s="1205" t="s">
        <v>1183</v>
      </c>
      <c r="E38" s="1203" t="s">
        <v>1179</v>
      </c>
      <c r="F38" s="1199">
        <f ca="1">INDIRECT("'数据-取费表'!Am"&amp;$G$1)</f>
        <v>1.4999999999999999E-2</v>
      </c>
      <c r="G38" s="1519"/>
      <c r="H38" s="2879"/>
      <c r="I38" s="1533"/>
      <c r="J38" s="1534"/>
      <c r="K38" s="2883"/>
      <c r="L38" s="2879"/>
      <c r="M38" s="2879"/>
    </row>
    <row r="39" spans="1:18" ht="24.6" customHeight="1" thickTop="1">
      <c r="A39" s="1192" t="s">
        <v>818</v>
      </c>
      <c r="B39" s="1207" t="s">
        <v>1207</v>
      </c>
      <c r="C39" s="316">
        <f ca="1">C5-C30</f>
        <v>683</v>
      </c>
      <c r="D39" s="1208" t="s">
        <v>1208</v>
      </c>
      <c r="E39" s="1209"/>
      <c r="F39" s="1210"/>
      <c r="G39" s="1519"/>
      <c r="H39" s="2879"/>
      <c r="I39" s="1533"/>
      <c r="J39" s="1534"/>
      <c r="K39" s="2883"/>
      <c r="L39" s="2879"/>
      <c r="M39" s="2879"/>
    </row>
    <row r="40" spans="1:18" ht="18" customHeight="1">
      <c r="A40" s="305" t="s">
        <v>819</v>
      </c>
      <c r="B40" s="306" t="s">
        <v>1209</v>
      </c>
      <c r="C40" s="307">
        <f ca="1">ROUND(C39*(1-((1+F42)/(1+F40))^F41)/(F40-F42),0)</f>
        <v>15586</v>
      </c>
      <c r="D40" s="330" t="s">
        <v>1193</v>
      </c>
      <c r="E40" s="308" t="s">
        <v>1194</v>
      </c>
      <c r="F40" s="318">
        <f ca="1">INDIRECT("'数据-取费表'!I"&amp;$G$1)</f>
        <v>5.5E-2</v>
      </c>
      <c r="G40" s="1519"/>
      <c r="H40" s="1596"/>
      <c r="I40" s="1533"/>
      <c r="J40" s="1534"/>
      <c r="K40" s="2883"/>
      <c r="L40" s="1596"/>
      <c r="M40" s="1596"/>
    </row>
    <row r="41" spans="1:18" ht="18" customHeight="1">
      <c r="A41" s="310"/>
      <c r="B41" s="311"/>
      <c r="C41" s="312"/>
      <c r="D41" s="338" t="s">
        <v>1210</v>
      </c>
      <c r="E41" s="308" t="s">
        <v>1198</v>
      </c>
      <c r="F41" s="339">
        <f ca="1">IF(INDIRECT("'数据-取费表'!af"&amp;$G$1)=0,INDIRECT("'数据-取费表'!ae"&amp;$G$1),INDIRECT("'数据-取费表'!af"&amp;$G$1))</f>
        <v>40</v>
      </c>
      <c r="G41" s="1519"/>
      <c r="H41" s="1306"/>
      <c r="I41" s="1533"/>
      <c r="J41" s="1534"/>
      <c r="K41" s="2720"/>
      <c r="L41" s="1306"/>
      <c r="M41" s="1306"/>
    </row>
    <row r="42" spans="1:18" ht="18" customHeight="1">
      <c r="A42" s="314"/>
      <c r="B42" s="315"/>
      <c r="C42" s="316"/>
      <c r="D42" s="333"/>
      <c r="E42" s="308" t="s">
        <v>1201</v>
      </c>
      <c r="F42" s="318">
        <f ca="1">INDIRECT("'数据-取费表'!v"&amp;$G$1)</f>
        <v>2.5000000000000001E-2</v>
      </c>
      <c r="G42" s="1519"/>
      <c r="H42" s="1306"/>
      <c r="I42" s="1533"/>
      <c r="J42" s="1534"/>
      <c r="K42" s="2720"/>
      <c r="L42" s="1306"/>
      <c r="M42" s="1306"/>
    </row>
    <row r="43" spans="1:18" ht="18" customHeight="1" thickBot="1">
      <c r="A43" s="340" t="s">
        <v>820</v>
      </c>
      <c r="B43" s="341" t="s">
        <v>1211</v>
      </c>
      <c r="C43" s="342">
        <f ca="1">ROUND(C40*10000/F43,0)</f>
        <v>28791</v>
      </c>
      <c r="D43" s="343" t="s">
        <v>1212</v>
      </c>
      <c r="E43" s="344" t="s">
        <v>1213</v>
      </c>
      <c r="F43" s="345">
        <f ca="1">INDIRECT("'数据-取费表'!k"&amp;$G$1)</f>
        <v>5413.53</v>
      </c>
      <c r="G43" s="1519"/>
      <c r="H43" s="1306"/>
      <c r="I43" s="1306"/>
      <c r="J43" s="1306"/>
      <c r="K43" s="272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536"/>
      <c r="D45" s="1535"/>
      <c r="E45" s="1535"/>
      <c r="F45" s="1535"/>
      <c r="J45" s="735"/>
      <c r="O45" s="2884" t="s">
        <v>1243</v>
      </c>
      <c r="P45" s="1596"/>
      <c r="Q45" s="1596"/>
      <c r="R45" s="1596"/>
    </row>
    <row r="46" spans="1:18" s="1519" customFormat="1" ht="13.5" thickBot="1">
      <c r="A46" s="1539" t="s">
        <v>1244</v>
      </c>
      <c r="C46" s="1540">
        <f ca="1">C68-C40</f>
        <v>-19999</v>
      </c>
      <c r="D46" s="1541" t="str">
        <f>C2</f>
        <v>万元</v>
      </c>
      <c r="E46" s="1535"/>
      <c r="F46" s="1535"/>
      <c r="I46" s="1542" t="s">
        <v>1245</v>
      </c>
      <c r="J46" s="1543"/>
      <c r="K46" s="1544"/>
      <c r="L46" s="1545" t="str">
        <f ca="1">IF(M47="住宅",0,IF(L48&gt;J51,L60,J60))</f>
        <v>0</v>
      </c>
      <c r="O46" s="1546" t="s">
        <v>1246</v>
      </c>
      <c r="P46" s="1547" t="s">
        <v>1247</v>
      </c>
      <c r="Q46" s="1548" t="s">
        <v>1248</v>
      </c>
      <c r="R46" s="1548" t="s">
        <v>1249</v>
      </c>
    </row>
    <row r="47" spans="1:18" s="1519" customFormat="1" ht="13.5" thickBot="1">
      <c r="A47" s="1058" t="s">
        <v>1120</v>
      </c>
      <c r="B47" s="1090" t="s">
        <v>1121</v>
      </c>
      <c r="C47" s="1230" t="s">
        <v>1122</v>
      </c>
      <c r="D47" s="1090" t="s">
        <v>1123</v>
      </c>
      <c r="E47" s="1170" t="s">
        <v>1124</v>
      </c>
      <c r="F47" s="1171"/>
      <c r="G47" s="731"/>
      <c r="I47" s="1549" t="s">
        <v>1250</v>
      </c>
      <c r="J47" s="1550" t="s">
        <v>3187</v>
      </c>
      <c r="K47" s="1551" t="s">
        <v>1251</v>
      </c>
      <c r="L47" s="1552">
        <f ca="1">INDIRECT("'数据-取费表'!d"&amp;$G$1)</f>
        <v>40</v>
      </c>
      <c r="M47" s="1515" t="str">
        <f>IF(ISNUMBER(FIND("住宅",C1)),"住宅","非住宅")</f>
        <v>非住宅</v>
      </c>
      <c r="O47" s="1553" t="s">
        <v>827</v>
      </c>
      <c r="P47" s="1554" t="s">
        <v>1252</v>
      </c>
      <c r="Q47" s="1555">
        <f ca="1">C40+J29</f>
        <v>15586</v>
      </c>
      <c r="R47" s="1555" t="s">
        <v>1253</v>
      </c>
    </row>
    <row r="48" spans="1:18" s="1519" customFormat="1" ht="28.5" thickBot="1">
      <c r="A48" s="1223" t="s">
        <v>863</v>
      </c>
      <c r="B48" s="306" t="s">
        <v>1125</v>
      </c>
      <c r="C48" s="1494">
        <f ca="1">C49+C53+C55</f>
        <v>0</v>
      </c>
      <c r="D48" s="1225"/>
      <c r="E48" s="1226"/>
      <c r="F48" s="1074"/>
      <c r="G48" s="731"/>
      <c r="H48" s="732"/>
      <c r="I48" s="1556" t="s">
        <v>1254</v>
      </c>
      <c r="J48" s="1557" t="s">
        <v>3188</v>
      </c>
      <c r="K48" s="1558" t="s">
        <v>1255</v>
      </c>
      <c r="L48" s="1559">
        <f ca="1">INDIRECT("'数据-取费表'!f"&amp;$G$1)</f>
        <v>40</v>
      </c>
      <c r="O48" s="1553" t="s">
        <v>828</v>
      </c>
      <c r="P48" s="1554" t="s">
        <v>1256</v>
      </c>
      <c r="Q48" s="1555" t="str">
        <f ca="1">J60</f>
        <v>0</v>
      </c>
      <c r="R48" s="1555" t="s">
        <v>1257</v>
      </c>
    </row>
    <row r="49" spans="1:18" s="1519" customFormat="1" ht="13.5" thickBot="1">
      <c r="A49" s="1087" t="s">
        <v>864</v>
      </c>
      <c r="B49" s="1506" t="s">
        <v>1214</v>
      </c>
      <c r="C49" s="1227">
        <f ca="1">ROUND(F49*F51*F50*(1-F52)/10000,0)</f>
        <v>0</v>
      </c>
      <c r="D49" s="1167" t="s">
        <v>2609</v>
      </c>
      <c r="E49" s="1507" t="s">
        <v>1215</v>
      </c>
      <c r="F49" s="1172"/>
      <c r="G49" s="1560"/>
      <c r="H49" s="732"/>
      <c r="I49" s="1556" t="s">
        <v>1258</v>
      </c>
      <c r="J49" s="1561">
        <v>2012</v>
      </c>
      <c r="K49" s="1558" t="s">
        <v>1259</v>
      </c>
      <c r="L49" s="1562"/>
      <c r="O49" s="1563" t="s">
        <v>829</v>
      </c>
      <c r="P49" s="1554" t="s">
        <v>1260</v>
      </c>
      <c r="Q49" s="1555">
        <f ca="1">C29</f>
        <v>2745</v>
      </c>
      <c r="R49" s="1555" t="s">
        <v>1253</v>
      </c>
    </row>
    <row r="50" spans="1:18" s="1519" customFormat="1" ht="13.5" thickBot="1">
      <c r="A50" s="1088"/>
      <c r="B50" s="1091"/>
      <c r="C50" s="1231"/>
      <c r="D50" s="1065"/>
      <c r="E50" s="1168" t="s">
        <v>1130</v>
      </c>
      <c r="F50" s="1169">
        <f ca="1">F7</f>
        <v>5413.53</v>
      </c>
      <c r="H50" s="732"/>
      <c r="I50" s="1556" t="s">
        <v>1261</v>
      </c>
      <c r="J50" s="1564">
        <f>SUMPRODUCT((I63:I65=J47)*(J62:L62=J48)*(J63:L65))</f>
        <v>60</v>
      </c>
      <c r="K50" s="1558" t="s">
        <v>1262</v>
      </c>
      <c r="L50" s="1562"/>
      <c r="M50" s="1565"/>
      <c r="O50" s="1563" t="s">
        <v>830</v>
      </c>
      <c r="P50" s="1554" t="s">
        <v>1263</v>
      </c>
      <c r="Q50" s="1566" t="e">
        <f ca="1">J58</f>
        <v>#VALUE!</v>
      </c>
      <c r="R50" s="1555"/>
    </row>
    <row r="51" spans="1:18" s="1519" customFormat="1" ht="13.5" thickBot="1">
      <c r="A51" s="1089"/>
      <c r="B51" s="1091"/>
      <c r="C51" s="1092"/>
      <c r="D51" s="1065"/>
      <c r="E51" s="1093" t="s">
        <v>1131</v>
      </c>
      <c r="F51" s="309">
        <f ca="1">F8</f>
        <v>365</v>
      </c>
      <c r="I51" s="1567" t="s">
        <v>1264</v>
      </c>
      <c r="J51" s="1568">
        <f>IF(J49="",J50,J49+J50-YEAR('数据-取费表'!B2))</f>
        <v>50</v>
      </c>
      <c r="K51" s="1569" t="s">
        <v>1265</v>
      </c>
      <c r="L51" s="1570">
        <f ca="1">ROUND(-PV(INDIRECT("'数据-取费表'!h"&amp;$G$1),J51,(C39-C13*C76),0),0)</f>
        <v>9873</v>
      </c>
      <c r="M51" s="1571"/>
      <c r="O51" s="1563" t="s">
        <v>831</v>
      </c>
      <c r="P51" s="1554" t="s">
        <v>1266</v>
      </c>
      <c r="Q51" s="1566">
        <f>J52</f>
        <v>7.4999999999999997E-2</v>
      </c>
      <c r="R51" s="1555"/>
    </row>
    <row r="52" spans="1:18" s="1519" customFormat="1" ht="13.5" thickBot="1">
      <c r="A52" s="1089"/>
      <c r="B52" s="1091"/>
      <c r="C52" s="1092"/>
      <c r="D52" s="1065"/>
      <c r="E52" s="1093" t="s">
        <v>1132</v>
      </c>
      <c r="F52" s="1166"/>
      <c r="I52" s="1572" t="s">
        <v>1267</v>
      </c>
      <c r="J52" s="1573">
        <v>7.4999999999999997E-2</v>
      </c>
      <c r="K52" s="1572" t="s">
        <v>1268</v>
      </c>
      <c r="L52" s="1573"/>
      <c r="O52" s="1563" t="s">
        <v>832</v>
      </c>
      <c r="P52" s="1554" t="s">
        <v>1269</v>
      </c>
      <c r="Q52" s="1555">
        <f ca="1">J53</f>
        <v>40</v>
      </c>
      <c r="R52" s="1555" t="s">
        <v>1270</v>
      </c>
    </row>
    <row r="53" spans="1:18" s="1519" customFormat="1" ht="24.75" thickBot="1">
      <c r="A53" s="1267" t="s">
        <v>865</v>
      </c>
      <c r="B53" s="1508" t="s">
        <v>1133</v>
      </c>
      <c r="C53" s="322">
        <f ca="1">ROUND(IF(F53="押一",C49/12*F11,IF(F53="押二",C49/12*2*F11,IF(F53="押三",C49/12*3*F11,C54*F11))),0)</f>
        <v>0</v>
      </c>
      <c r="D53" s="1501" t="s">
        <v>2615</v>
      </c>
      <c r="E53" s="319" t="s">
        <v>1134</v>
      </c>
      <c r="F53" s="1229"/>
      <c r="I53" s="1574" t="s">
        <v>1271</v>
      </c>
      <c r="J53" s="2337">
        <f ca="1">IF(M47="住宅",IF(D1="——",MAX(J51,L48),MAX(J51,L48-'数据-取费表'!B24)),IF(D1="——",MIN(J51,L48),MIN(J51,L48-'数据-取费表'!B24)))</f>
        <v>40</v>
      </c>
      <c r="K53" s="3424" t="s">
        <v>1272</v>
      </c>
      <c r="L53" s="3425"/>
      <c r="O53" s="1553" t="s">
        <v>833</v>
      </c>
      <c r="P53" s="1554" t="s">
        <v>1273</v>
      </c>
      <c r="Q53" s="1555">
        <f ca="1">Q47+Q48</f>
        <v>15586</v>
      </c>
      <c r="R53" s="1555" t="s">
        <v>834</v>
      </c>
    </row>
    <row r="54" spans="1:18" s="1519" customFormat="1" ht="13.5" thickBot="1">
      <c r="A54" s="1268"/>
      <c r="B54" s="1502" t="s">
        <v>1112</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7"/>
      <c r="K54" s="1577"/>
      <c r="L54" s="1577"/>
      <c r="M54" s="1560"/>
      <c r="O54" s="1538" t="s">
        <v>1274</v>
      </c>
      <c r="P54" s="1516"/>
      <c r="Q54" s="1516"/>
      <c r="R54" s="1516"/>
    </row>
    <row r="55" spans="1:18" s="1519" customFormat="1" ht="13.5" thickBot="1">
      <c r="A55" s="1196" t="s">
        <v>862</v>
      </c>
      <c r="B55" s="1504" t="s">
        <v>1137</v>
      </c>
      <c r="C55" s="1197"/>
      <c r="D55" s="1501"/>
      <c r="E55" s="1509"/>
      <c r="F55" s="1575"/>
      <c r="I55" s="1578" t="s">
        <v>1275</v>
      </c>
      <c r="J55" s="1579" t="e">
        <f ca="1">ROUND(IF(J47="钢混",J57/J50,1-(1-2%)*(J50-J57)/J50),3)</f>
        <v>#VALUE!</v>
      </c>
      <c r="K55" s="1580" t="s">
        <v>1276</v>
      </c>
      <c r="L55" s="1581" t="s">
        <v>3204</v>
      </c>
      <c r="O55" s="1546" t="s">
        <v>1246</v>
      </c>
      <c r="P55" s="1547" t="s">
        <v>1247</v>
      </c>
      <c r="Q55" s="1548" t="s">
        <v>1248</v>
      </c>
      <c r="R55" s="1548" t="s">
        <v>1249</v>
      </c>
    </row>
    <row r="56" spans="1:18" s="1519" customFormat="1" ht="25.5" thickTop="1" thickBot="1">
      <c r="A56" s="1069">
        <v>2</v>
      </c>
      <c r="B56" s="1070" t="s">
        <v>1138</v>
      </c>
      <c r="C56" s="238">
        <f ca="1">C13</f>
        <v>2031</v>
      </c>
      <c r="D56" s="1582"/>
      <c r="E56" s="1583"/>
      <c r="F56" s="1575"/>
      <c r="I56" s="1584" t="s">
        <v>1277</v>
      </c>
      <c r="J56" s="1585" t="s">
        <v>3179</v>
      </c>
      <c r="K56" s="1556" t="s">
        <v>1278</v>
      </c>
      <c r="L56" s="1559" t="str">
        <f ca="1">IF(L48&lt;J51,"——",L48-J53)</f>
        <v>——</v>
      </c>
      <c r="O56" s="1553" t="s">
        <v>827</v>
      </c>
      <c r="P56" s="1554" t="s">
        <v>1252</v>
      </c>
      <c r="Q56" s="1555">
        <f ca="1">C40+J29</f>
        <v>15586</v>
      </c>
      <c r="R56" s="1555" t="s">
        <v>1253</v>
      </c>
    </row>
    <row r="57" spans="1:18" s="1519" customFormat="1" ht="24.75" thickBot="1">
      <c r="A57" s="1586"/>
      <c r="B57" s="1062" t="s">
        <v>1202</v>
      </c>
      <c r="C57" s="244">
        <f ca="1">C29</f>
        <v>2745</v>
      </c>
      <c r="D57" s="1587"/>
      <c r="E57" s="1588"/>
      <c r="F57" s="1589"/>
      <c r="I57" s="1590" t="s">
        <v>1279</v>
      </c>
      <c r="J57" s="1591" t="str">
        <f ca="1">IF(OR(M47="住宅",J51&lt;L48,J56="是"),"——",J51-L48)</f>
        <v>——</v>
      </c>
      <c r="K57" s="1556" t="s">
        <v>1280</v>
      </c>
      <c r="L57" s="1559" t="str">
        <f ca="1">IF(L48&lt;J51,"——",IF(L55="比较法",L49,IF(L55="基准地价",L50,L51)))</f>
        <v>——</v>
      </c>
      <c r="O57" s="1553" t="s">
        <v>828</v>
      </c>
      <c r="P57" s="1554" t="s">
        <v>1281</v>
      </c>
      <c r="Q57" s="1555">
        <f ca="1">L60</f>
        <v>0</v>
      </c>
      <c r="R57" s="1555" t="s">
        <v>1282</v>
      </c>
    </row>
    <row r="58" spans="1:18" s="1519" customFormat="1" ht="24.75" thickBot="1">
      <c r="A58" s="321" t="s">
        <v>817</v>
      </c>
      <c r="B58" s="1070" t="s">
        <v>1148</v>
      </c>
      <c r="C58" s="322">
        <f ca="1">ROUND(C59+C64+C65+C66,0)</f>
        <v>275</v>
      </c>
      <c r="D58" s="1072" t="s">
        <v>1149</v>
      </c>
      <c r="E58" s="1073"/>
      <c r="F58" s="1074"/>
      <c r="I58" s="1590" t="s">
        <v>1283</v>
      </c>
      <c r="J58" s="1592" t="e">
        <f ca="1">IF(J55&lt;0.4,0.4,J55)</f>
        <v>#VALUE!</v>
      </c>
      <c r="K58" s="1569" t="s">
        <v>1284</v>
      </c>
      <c r="L58" s="1559" t="e">
        <f ca="1">ROUND(POWER(1+L52,L47-L48)*(POWER(1+L52,L48)-1)/(POWER(1+L52,L47)-1),4)</f>
        <v>#DIV/0!</v>
      </c>
      <c r="O58" s="1563" t="s">
        <v>829</v>
      </c>
      <c r="P58" s="1554" t="s">
        <v>1285</v>
      </c>
      <c r="Q58" s="1555">
        <f>IF(L55="比较法",L49,IF(L55="基准地价",L50,0))</f>
        <v>0</v>
      </c>
      <c r="R58" s="1555" t="s">
        <v>1253</v>
      </c>
    </row>
    <row r="59" spans="1:18" s="1519" customFormat="1" ht="24.75" thickBot="1">
      <c r="A59" s="1094" t="s">
        <v>822</v>
      </c>
      <c r="B59" s="1062" t="s">
        <v>1153</v>
      </c>
      <c r="C59" s="2485">
        <f ca="1">ROUND(IF(AND(项目基本情况!B11="自然人",项目基本情况!B10="北京市"),C49*F59/(1+'数据-取费表'!C42),C60+C61+C62),0)</f>
        <v>231</v>
      </c>
      <c r="D59" s="1075" t="s">
        <v>1154</v>
      </c>
      <c r="E59" s="1076" t="s">
        <v>1155</v>
      </c>
      <c r="F59" s="2484" t="str">
        <f>IF(项目基本情况!B11="企业","——",IF('数据-取费表'!B10="住宅",IF(F49*F50*F51/12/(1+'数据-取费表'!F30)&gt;100000,4%,2.5%),IF(F49*F50*F51/12/(1+'数据-取费表'!F30)&gt;100000,12%,7%)))</f>
        <v>——</v>
      </c>
      <c r="I59" s="1590" t="s">
        <v>1286</v>
      </c>
      <c r="J59" s="1591" t="str">
        <f ca="1">IF(OR(M47="住宅",J51&lt;L48,J56="是"),"——",ROUND(C29*J58,0))</f>
        <v>——</v>
      </c>
      <c r="K59" s="155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9"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3" t="s">
        <v>830</v>
      </c>
      <c r="P59" s="1554" t="s">
        <v>1287</v>
      </c>
      <c r="Q59" s="1566">
        <f>L52</f>
        <v>0</v>
      </c>
      <c r="R59" s="1555"/>
    </row>
    <row r="60" spans="1:18" s="1519" customFormat="1" ht="16.5" thickBot="1">
      <c r="A60" s="1094" t="s">
        <v>821</v>
      </c>
      <c r="B60" s="1062" t="s">
        <v>1157</v>
      </c>
      <c r="C60" s="24">
        <f ca="1">IF(项目基本情况!B11="自然人","——",ROUND(C48*F60/(1+'数据-取费表'!C42),2))</f>
        <v>0</v>
      </c>
      <c r="D60" s="1076" t="s">
        <v>1158</v>
      </c>
      <c r="E60" s="1062" t="s">
        <v>1146</v>
      </c>
      <c r="F60" s="337">
        <f t="shared" ref="F60:F66" si="0">F32</f>
        <v>5.6000000000000001E-2</v>
      </c>
      <c r="I60" s="1593" t="s">
        <v>1288</v>
      </c>
      <c r="J60" s="1594" t="str">
        <f ca="1">IF(OR(M47="住宅",J51&lt;L48,J56="是"),"0",ROUND(J59/(1+J52)^J53,0))</f>
        <v>0</v>
      </c>
      <c r="K60" s="1595" t="s">
        <v>1289</v>
      </c>
      <c r="L60" s="1594">
        <f ca="1">IF(OR(M47="住宅",L48&lt;J51),0,ROUND(L57*(L58/L59-1),0))</f>
        <v>0</v>
      </c>
      <c r="O60" s="1563" t="s">
        <v>831</v>
      </c>
      <c r="P60" s="1554" t="s">
        <v>1290</v>
      </c>
      <c r="Q60" s="1555" t="e">
        <f ca="1">L58</f>
        <v>#DIV/0!</v>
      </c>
      <c r="R60" s="1555" t="s">
        <v>1291</v>
      </c>
    </row>
    <row r="61" spans="1:18" s="1519" customFormat="1" ht="13.5" thickBot="1">
      <c r="A61" s="1094" t="s">
        <v>1216</v>
      </c>
      <c r="B61" s="1062" t="s">
        <v>1217</v>
      </c>
      <c r="C61" s="24">
        <f ca="1">IF(项目基本情况!B11="自然人","——",IF(D61="按租金收入计税",ROUND(C49*F61/(1+'数据-取费表'!C42),2),IF(D61="按房产原值计税",ROUND(C57*F61*0.7,2),INDIRECT("'数据-取费表'!Aj"&amp;$G$1))))</f>
        <v>230.58</v>
      </c>
      <c r="D61" s="1505" t="s">
        <v>1162</v>
      </c>
      <c r="E61" s="1062" t="s">
        <v>1218</v>
      </c>
      <c r="F61" s="328">
        <f t="shared" si="0"/>
        <v>0.12</v>
      </c>
      <c r="I61" s="1596"/>
      <c r="J61" s="1596"/>
      <c r="K61" s="1596"/>
      <c r="L61" s="1596"/>
      <c r="O61" s="1563" t="s">
        <v>832</v>
      </c>
      <c r="P61" s="1554" t="str">
        <f>K59</f>
        <v>建筑物剩余耐用年限下的土地年期修正系数Kn</v>
      </c>
      <c r="Q61" s="1555" t="e">
        <f ca="1">L59</f>
        <v>#DIV/0!</v>
      </c>
      <c r="R61" s="1555" t="s">
        <v>1292</v>
      </c>
    </row>
    <row r="62" spans="1:18" s="1519" customFormat="1" ht="13.5" thickBot="1">
      <c r="A62" s="1094" t="s">
        <v>1219</v>
      </c>
      <c r="B62" s="1061" t="s">
        <v>1220</v>
      </c>
      <c r="C62" s="25">
        <f ca="1">IF(项目基本情况!B11="自然人","——",ROUND(F62*F63/10000,2))</f>
        <v>0</v>
      </c>
      <c r="D62" s="1077" t="s">
        <v>1221</v>
      </c>
      <c r="E62" s="1062" t="s">
        <v>1222</v>
      </c>
      <c r="F62" s="331">
        <f t="shared" si="0"/>
        <v>12</v>
      </c>
      <c r="I62" s="1597" t="s">
        <v>1293</v>
      </c>
      <c r="J62" s="1598" t="s">
        <v>1294</v>
      </c>
      <c r="K62" s="1598" t="s">
        <v>1295</v>
      </c>
      <c r="L62" s="1598" t="s">
        <v>1296</v>
      </c>
      <c r="M62" s="1599" t="s">
        <v>1297</v>
      </c>
      <c r="O62" s="1553" t="s">
        <v>833</v>
      </c>
      <c r="P62" s="1554" t="s">
        <v>1298</v>
      </c>
      <c r="Q62" s="1555">
        <f ca="1">Q56+Q57</f>
        <v>15586</v>
      </c>
      <c r="R62" s="1555" t="s">
        <v>834</v>
      </c>
    </row>
    <row r="63" spans="1:18" s="1519" customFormat="1" ht="13.5" thickBot="1">
      <c r="A63" s="332"/>
      <c r="B63" s="1068"/>
      <c r="C63" s="29"/>
      <c r="D63" s="1078"/>
      <c r="E63" s="1062" t="s">
        <v>1223</v>
      </c>
      <c r="F63" s="309">
        <f t="shared" ca="1" si="0"/>
        <v>0</v>
      </c>
      <c r="I63" s="1597" t="s">
        <v>1299</v>
      </c>
      <c r="J63" s="1598">
        <v>70</v>
      </c>
      <c r="K63" s="1598">
        <v>50</v>
      </c>
      <c r="L63" s="1598">
        <v>80</v>
      </c>
      <c r="M63" s="1600">
        <v>0.02</v>
      </c>
      <c r="O63" s="1538" t="s">
        <v>1300</v>
      </c>
      <c r="P63" s="1516"/>
      <c r="Q63" s="1516"/>
      <c r="R63" s="1516"/>
    </row>
    <row r="64" spans="1:18" s="1519" customFormat="1" ht="13.5" thickBot="1">
      <c r="A64" s="1094" t="s">
        <v>1224</v>
      </c>
      <c r="B64" s="1062" t="s">
        <v>1225</v>
      </c>
      <c r="C64" s="24">
        <f ca="1">ROUND(C57*F64,1)</f>
        <v>41.2</v>
      </c>
      <c r="D64" s="1076" t="s">
        <v>1226</v>
      </c>
      <c r="E64" s="1062" t="s">
        <v>1218</v>
      </c>
      <c r="F64" s="334">
        <f t="shared" ca="1" si="0"/>
        <v>1.4999999999999999E-2</v>
      </c>
      <c r="I64" s="1597" t="s">
        <v>1301</v>
      </c>
      <c r="J64" s="1598">
        <v>50</v>
      </c>
      <c r="K64" s="1598">
        <v>35</v>
      </c>
      <c r="L64" s="1598">
        <v>60</v>
      </c>
      <c r="M64" s="1599">
        <v>0</v>
      </c>
      <c r="O64" s="1546" t="s">
        <v>1246</v>
      </c>
      <c r="P64" s="1547" t="s">
        <v>1247</v>
      </c>
      <c r="Q64" s="1548" t="s">
        <v>1248</v>
      </c>
      <c r="R64" s="1548" t="s">
        <v>1249</v>
      </c>
    </row>
    <row r="65" spans="1:18" s="1519" customFormat="1" ht="13.5" thickBot="1">
      <c r="A65" s="1094" t="s">
        <v>1227</v>
      </c>
      <c r="B65" s="1062" t="s">
        <v>1177</v>
      </c>
      <c r="C65" s="24">
        <f ca="1">ROUND(C56*F65,1)</f>
        <v>3</v>
      </c>
      <c r="D65" s="1076" t="s">
        <v>1178</v>
      </c>
      <c r="E65" s="1062" t="s">
        <v>1179</v>
      </c>
      <c r="F65" s="336">
        <f t="shared" ca="1" si="0"/>
        <v>1.5E-3</v>
      </c>
      <c r="I65" s="1597" t="s">
        <v>1302</v>
      </c>
      <c r="J65" s="1598">
        <v>40</v>
      </c>
      <c r="K65" s="1598">
        <v>30</v>
      </c>
      <c r="L65" s="1598">
        <v>50</v>
      </c>
      <c r="M65" s="1600">
        <v>0.02</v>
      </c>
      <c r="O65" s="1553" t="s">
        <v>827</v>
      </c>
      <c r="P65" s="1554" t="s">
        <v>1303</v>
      </c>
      <c r="Q65" s="1555">
        <f ca="1">C40+J29</f>
        <v>15586</v>
      </c>
      <c r="R65" s="1555" t="s">
        <v>1253</v>
      </c>
    </row>
    <row r="66" spans="1:18" s="1519" customFormat="1" ht="16.5" thickBot="1">
      <c r="A66" s="1094" t="s">
        <v>1228</v>
      </c>
      <c r="B66" s="1062" t="s">
        <v>1163</v>
      </c>
      <c r="C66" s="24">
        <f ca="1">ROUND(C48*F66,1)</f>
        <v>0</v>
      </c>
      <c r="D66" s="1076" t="s">
        <v>1229</v>
      </c>
      <c r="E66" s="1062" t="s">
        <v>1146</v>
      </c>
      <c r="F66" s="318">
        <f t="shared" ca="1" si="0"/>
        <v>1.4999999999999999E-2</v>
      </c>
      <c r="O66" s="1553" t="s">
        <v>828</v>
      </c>
      <c r="P66" s="1554" t="s">
        <v>1281</v>
      </c>
      <c r="Q66" s="1555">
        <f ca="1">L60</f>
        <v>0</v>
      </c>
      <c r="R66" s="1555" t="s">
        <v>1304</v>
      </c>
    </row>
    <row r="67" spans="1:18" s="1519" customFormat="1" ht="16.5" thickBot="1">
      <c r="A67" s="1069" t="s">
        <v>818</v>
      </c>
      <c r="B67" s="1079" t="s">
        <v>1187</v>
      </c>
      <c r="C67" s="322">
        <f ca="1">C48-C58</f>
        <v>-275</v>
      </c>
      <c r="D67" s="1075" t="s">
        <v>1188</v>
      </c>
      <c r="E67" s="1080"/>
      <c r="F67" s="1081"/>
      <c r="O67" s="1563" t="s">
        <v>829</v>
      </c>
      <c r="P67" s="1554" t="s">
        <v>1285</v>
      </c>
      <c r="Q67" s="1601">
        <f ca="1">L51</f>
        <v>9873</v>
      </c>
      <c r="R67" s="1555" t="s">
        <v>1305</v>
      </c>
    </row>
    <row r="68" spans="1:18" s="1519" customFormat="1" ht="16.5" thickBot="1">
      <c r="A68" s="1059" t="s">
        <v>819</v>
      </c>
      <c r="B68" s="1060" t="s">
        <v>1209</v>
      </c>
      <c r="C68" s="307">
        <f ca="1">ROUND(C67*(1-((1+F70)/(1+F68))^F69)/(F68-F70),0)</f>
        <v>-4413</v>
      </c>
      <c r="D68" s="1077" t="s">
        <v>1193</v>
      </c>
      <c r="E68" s="1062" t="s">
        <v>1194</v>
      </c>
      <c r="F68" s="318">
        <f ca="1">F40</f>
        <v>5.5E-2</v>
      </c>
      <c r="O68" s="1563" t="s">
        <v>830</v>
      </c>
      <c r="P68" s="1602" t="s">
        <v>1306</v>
      </c>
      <c r="Q68" s="1555">
        <f ca="1">ROUND(Q69-Q70*Q71,0)</f>
        <v>541</v>
      </c>
      <c r="R68" s="1555" t="s">
        <v>838</v>
      </c>
    </row>
    <row r="69" spans="1:18" s="1519" customFormat="1" ht="13.5" thickBot="1">
      <c r="A69" s="1063"/>
      <c r="B69" s="1064"/>
      <c r="C69" s="312"/>
      <c r="D69" s="1082" t="s">
        <v>1197</v>
      </c>
      <c r="E69" s="1062" t="s">
        <v>1198</v>
      </c>
      <c r="F69" s="339">
        <f ca="1">F41</f>
        <v>40</v>
      </c>
      <c r="O69" s="1563" t="s">
        <v>835</v>
      </c>
      <c r="P69" s="1602" t="s">
        <v>1307</v>
      </c>
      <c r="Q69" s="1555">
        <f ca="1">C39</f>
        <v>683</v>
      </c>
      <c r="R69" s="1555" t="s">
        <v>1253</v>
      </c>
    </row>
    <row r="70" spans="1:18" s="1519" customFormat="1" ht="13.5" thickBot="1">
      <c r="A70" s="1066"/>
      <c r="B70" s="1067"/>
      <c r="C70" s="316"/>
      <c r="D70" s="1078"/>
      <c r="E70" s="1062" t="s">
        <v>1201</v>
      </c>
      <c r="F70" s="1166"/>
      <c r="O70" s="1563" t="s">
        <v>836</v>
      </c>
      <c r="P70" s="1602" t="s">
        <v>1308</v>
      </c>
      <c r="Q70" s="1555">
        <f ca="1">C13</f>
        <v>2031</v>
      </c>
      <c r="R70" s="1555" t="s">
        <v>1253</v>
      </c>
    </row>
    <row r="71" spans="1:18" s="1519" customFormat="1" ht="13.5" thickBot="1">
      <c r="A71" s="1083" t="s">
        <v>820</v>
      </c>
      <c r="B71" s="1084" t="s">
        <v>1211</v>
      </c>
      <c r="C71" s="342">
        <f ca="1">ROUND(C68*10000/F71,0)</f>
        <v>-8152</v>
      </c>
      <c r="D71" s="1085" t="s">
        <v>1212</v>
      </c>
      <c r="E71" s="1086" t="s">
        <v>1213</v>
      </c>
      <c r="F71" s="345">
        <f ca="1">F43</f>
        <v>5413.53</v>
      </c>
      <c r="O71" s="1563" t="s">
        <v>837</v>
      </c>
      <c r="P71" s="1602" t="s">
        <v>1309</v>
      </c>
      <c r="Q71" s="1566">
        <f ca="1">C76</f>
        <v>7.0000000000000007E-2</v>
      </c>
      <c r="R71" s="1555"/>
    </row>
    <row r="72" spans="1:18" s="1519" customFormat="1" ht="13.5" thickBot="1">
      <c r="B72" s="735"/>
      <c r="C72" s="735"/>
      <c r="O72" s="1563" t="s">
        <v>831</v>
      </c>
      <c r="P72" s="1554" t="s">
        <v>1287</v>
      </c>
      <c r="Q72" s="1566">
        <f>L52</f>
        <v>0</v>
      </c>
      <c r="R72" s="1555"/>
    </row>
    <row r="73" spans="1:18" ht="16.5" thickBot="1">
      <c r="A73" s="1519"/>
      <c r="B73" s="735"/>
      <c r="C73" s="735"/>
      <c r="D73" s="1519"/>
      <c r="E73" s="1519"/>
      <c r="F73" s="1519"/>
      <c r="O73" s="1563" t="s">
        <v>832</v>
      </c>
      <c r="P73" s="1554" t="s">
        <v>1290</v>
      </c>
      <c r="Q73" s="1555" t="e">
        <f ca="1">L58</f>
        <v>#DIV/0!</v>
      </c>
      <c r="R73" s="1555" t="s">
        <v>1291</v>
      </c>
    </row>
    <row r="74" spans="1:18" ht="13.5" thickBot="1">
      <c r="A74" s="1519"/>
      <c r="B74" s="279" t="s">
        <v>1310</v>
      </c>
      <c r="C74" s="1604"/>
      <c r="D74" s="1519"/>
      <c r="E74" s="1519"/>
      <c r="F74" s="1519"/>
      <c r="O74" s="1563" t="s">
        <v>839</v>
      </c>
      <c r="P74" s="1554" t="str">
        <f>K59</f>
        <v>建筑物剩余耐用年限下的土地年期修正系数Kn</v>
      </c>
      <c r="Q74" s="1555" t="e">
        <f ca="1">L59</f>
        <v>#DIV/0!</v>
      </c>
      <c r="R74" s="1555" t="s">
        <v>1292</v>
      </c>
    </row>
    <row r="75" spans="1:18" ht="13.5" thickBot="1">
      <c r="A75" s="1519"/>
      <c r="B75" s="346" t="s">
        <v>1230</v>
      </c>
      <c r="C75" s="347">
        <f ca="1">ROUND(C13*C76,0)</f>
        <v>142</v>
      </c>
      <c r="D75" s="1519"/>
      <c r="E75" s="1519"/>
      <c r="F75" s="1519"/>
      <c r="K75" s="1537"/>
      <c r="L75" s="1519"/>
      <c r="O75" s="1553" t="s">
        <v>833</v>
      </c>
      <c r="P75" s="1554" t="s">
        <v>1273</v>
      </c>
      <c r="Q75" s="1555">
        <f ca="1">Q65+Q66</f>
        <v>15586</v>
      </c>
      <c r="R75" s="1555" t="s">
        <v>834</v>
      </c>
    </row>
    <row r="76" spans="1:18">
      <c r="B76" s="348" t="s">
        <v>1231</v>
      </c>
      <c r="C76" s="349">
        <f ca="1">INDIRECT("'数据-取费表'!j"&amp;$G$1)</f>
        <v>7.0000000000000007E-2</v>
      </c>
      <c r="I76" s="1519"/>
      <c r="J76" s="1519"/>
      <c r="K76" s="1537"/>
      <c r="L76" s="1519"/>
    </row>
    <row r="77" spans="1:18">
      <c r="B77" s="350" t="s">
        <v>1232</v>
      </c>
      <c r="C77" s="351"/>
      <c r="I77" s="1519"/>
      <c r="J77" s="1519"/>
      <c r="K77" s="1537"/>
      <c r="L77" s="1519"/>
    </row>
    <row r="78" spans="1:18">
      <c r="B78" s="276" t="s">
        <v>1233</v>
      </c>
      <c r="C78" s="352"/>
    </row>
    <row r="79" spans="1:18">
      <c r="B79" s="346" t="s">
        <v>1234</v>
      </c>
      <c r="C79" s="280">
        <f ca="1">1-C80</f>
        <v>0.79200000000000004</v>
      </c>
    </row>
    <row r="80" spans="1:18">
      <c r="B80" s="346" t="s">
        <v>1235</v>
      </c>
      <c r="C80" s="280">
        <f ca="1">ROUND(C75/C39,3)</f>
        <v>0.20799999999999999</v>
      </c>
    </row>
    <row r="81" spans="2:3">
      <c r="B81" s="276" t="s">
        <v>1236</v>
      </c>
      <c r="C81" s="244"/>
    </row>
    <row r="82" spans="2:3">
      <c r="B82" s="279" t="s">
        <v>1237</v>
      </c>
      <c r="C82" s="281">
        <f ca="1">1-C83</f>
        <v>0.87</v>
      </c>
    </row>
    <row r="83" spans="2:3">
      <c r="B83" s="279" t="s">
        <v>1238</v>
      </c>
      <c r="C83" s="280">
        <f ca="1">ROUND(C13/C40,3)</f>
        <v>0.13</v>
      </c>
    </row>
  </sheetData>
  <sheetProtection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H5" sqref="H5"/>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3" customWidth="1"/>
    <col min="12" max="12" width="16.375" style="264" customWidth="1"/>
    <col min="13" max="13" width="13" style="264" customWidth="1"/>
    <col min="14" max="14" width="13.75" style="1519" customWidth="1"/>
    <col min="15" max="15" width="5.125" style="1519" customWidth="1"/>
    <col min="16" max="16" width="25.75" style="1519" customWidth="1"/>
    <col min="17" max="17" width="13.75" style="1519" customWidth="1"/>
    <col min="18" max="18" width="20.5" style="1519" customWidth="1"/>
    <col min="19" max="19" width="13.25" style="1519" customWidth="1"/>
    <col min="20" max="37" width="9" style="1519"/>
    <col min="38" max="16384" width="9" style="264"/>
  </cols>
  <sheetData>
    <row r="1" spans="1:37" s="299" customFormat="1" ht="21">
      <c r="A1" s="1510" t="s">
        <v>1312</v>
      </c>
      <c r="B1" s="722"/>
      <c r="C1" s="1514"/>
      <c r="D1" s="1497"/>
      <c r="E1" s="1498" t="s">
        <v>1111</v>
      </c>
      <c r="F1" s="1174">
        <f ca="1">J53</f>
        <v>0</v>
      </c>
      <c r="G1" s="1513">
        <f>MATCH(C1,'数据-取费表'!A6:A16,0)+5</f>
        <v>7</v>
      </c>
      <c r="H1" s="2871"/>
      <c r="I1" s="2872"/>
      <c r="J1" s="2872"/>
      <c r="K1" s="2873"/>
      <c r="L1" s="2872"/>
      <c r="M1" s="287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20" t="s">
        <v>1313</v>
      </c>
      <c r="B2" s="1521" t="e">
        <f ca="1">ROUND(D2/10000,0)</f>
        <v>#DIV/0!</v>
      </c>
      <c r="C2" s="1522" t="s">
        <v>1314</v>
      </c>
      <c r="D2" s="1606" t="e">
        <f ca="1">C40+J29+L46</f>
        <v>#DIV/0!</v>
      </c>
      <c r="E2" s="1523" t="s">
        <v>1315</v>
      </c>
      <c r="F2" s="1524"/>
      <c r="G2" s="2885"/>
      <c r="H2" s="2874"/>
      <c r="I2" s="2874"/>
      <c r="J2" s="2874"/>
      <c r="K2" s="2875"/>
      <c r="L2" s="2874"/>
      <c r="M2" s="2874"/>
    </row>
    <row r="3" spans="1:37" ht="18" customHeight="1" thickBot="1">
      <c r="A3" s="1525" t="s">
        <v>1316</v>
      </c>
      <c r="B3" s="1526">
        <f ca="1">IF(ISERROR(D2/F43),0,ROUND(D2/F43,0))</f>
        <v>0</v>
      </c>
      <c r="C3" s="1522" t="s">
        <v>1317</v>
      </c>
      <c r="D3" s="1522"/>
      <c r="E3" s="1523"/>
      <c r="F3" s="1524"/>
      <c r="G3" s="2885"/>
      <c r="H3" s="692" t="s">
        <v>1311</v>
      </c>
      <c r="I3" s="1517"/>
      <c r="J3" s="1517"/>
      <c r="K3" s="1518"/>
      <c r="L3" s="1517"/>
      <c r="M3" s="1517"/>
    </row>
    <row r="4" spans="1:37" ht="18" customHeight="1">
      <c r="A4" s="301" t="s">
        <v>1318</v>
      </c>
      <c r="B4" s="302" t="s">
        <v>1319</v>
      </c>
      <c r="C4" s="302" t="s">
        <v>1320</v>
      </c>
      <c r="D4" s="302" t="s">
        <v>1321</v>
      </c>
      <c r="E4" s="303" t="s">
        <v>1322</v>
      </c>
      <c r="F4" s="304"/>
      <c r="G4" s="1519"/>
      <c r="H4" s="301" t="s">
        <v>1318</v>
      </c>
      <c r="I4" s="302" t="s">
        <v>1319</v>
      </c>
      <c r="J4" s="302" t="s">
        <v>1320</v>
      </c>
      <c r="K4" s="302" t="s">
        <v>1321</v>
      </c>
      <c r="L4" s="303" t="s">
        <v>1322</v>
      </c>
      <c r="M4" s="304"/>
    </row>
    <row r="5" spans="1:37" ht="18" customHeight="1">
      <c r="A5" s="305">
        <v>1</v>
      </c>
      <c r="B5" s="306" t="s">
        <v>1323</v>
      </c>
      <c r="C5" s="1183">
        <f ca="1">C6+C10+C12</f>
        <v>0</v>
      </c>
      <c r="D5" s="1499" t="s">
        <v>1324</v>
      </c>
      <c r="E5" s="1184"/>
      <c r="F5" s="1185"/>
      <c r="G5" s="1519"/>
      <c r="H5" s="305">
        <v>1</v>
      </c>
      <c r="I5" s="306" t="s">
        <v>1323</v>
      </c>
      <c r="J5" s="1183">
        <f ca="1">J6+J10+J12</f>
        <v>0</v>
      </c>
      <c r="K5" s="1499" t="s">
        <v>1324</v>
      </c>
      <c r="L5" s="1184"/>
      <c r="M5" s="1185"/>
    </row>
    <row r="6" spans="1:37" ht="18" customHeight="1">
      <c r="A6" s="1182" t="s">
        <v>822</v>
      </c>
      <c r="B6" s="3426" t="s">
        <v>1127</v>
      </c>
      <c r="C6" s="1187">
        <f ca="1">ROUND(F6*F8*F7*(1-F9),0)</f>
        <v>0</v>
      </c>
      <c r="D6" s="160" t="s">
        <v>2605</v>
      </c>
      <c r="E6" s="308" t="s">
        <v>1129</v>
      </c>
      <c r="F6" s="309">
        <f ca="1">INDIRECT("'数据-取费表'!u"&amp;$G$1)</f>
        <v>0</v>
      </c>
      <c r="G6" s="1519"/>
      <c r="H6" s="1182" t="s">
        <v>822</v>
      </c>
      <c r="I6" s="3426" t="s">
        <v>1127</v>
      </c>
      <c r="J6" s="307">
        <f ca="1">ROUND(M6*M8*M7*(1-M9),0)</f>
        <v>0</v>
      </c>
      <c r="K6" s="1511" t="s">
        <v>2606</v>
      </c>
      <c r="L6" s="308" t="s">
        <v>1129</v>
      </c>
      <c r="M6" s="309">
        <f ca="1">INDIRECT("'数据-取费表'!z"&amp;$G$1)</f>
        <v>0</v>
      </c>
    </row>
    <row r="7" spans="1:37" ht="18" customHeight="1">
      <c r="A7" s="1186"/>
      <c r="B7" s="3427"/>
      <c r="C7" s="1188"/>
      <c r="D7" s="313"/>
      <c r="E7" s="1189" t="s">
        <v>1130</v>
      </c>
      <c r="F7" s="309">
        <f ca="1">IF(INDIRECT("'数据-取费表'!ah"&amp;$G$1)="",INDIRECT("'数据-取费表'!k"&amp;$G$1),INDIRECT("'数据-取费表'!ah"&amp;$G$1))</f>
        <v>0</v>
      </c>
      <c r="G7" s="1519"/>
      <c r="H7" s="310"/>
      <c r="I7" s="3427"/>
      <c r="J7" s="312"/>
      <c r="K7" s="313"/>
      <c r="L7" s="308" t="s">
        <v>1130</v>
      </c>
      <c r="M7" s="309">
        <f ca="1">F7</f>
        <v>0</v>
      </c>
    </row>
    <row r="8" spans="1:37" ht="18" customHeight="1">
      <c r="A8" s="310"/>
      <c r="B8" s="3427"/>
      <c r="C8" s="312"/>
      <c r="D8" s="313"/>
      <c r="E8" s="308" t="s">
        <v>1131</v>
      </c>
      <c r="F8" s="309">
        <f ca="1">INDIRECT("'数据-取费表'!ai"&amp;$G$1)</f>
        <v>0</v>
      </c>
      <c r="G8" s="1519"/>
      <c r="H8" s="310"/>
      <c r="I8" s="3427"/>
      <c r="J8" s="312"/>
      <c r="K8" s="313"/>
      <c r="L8" s="308" t="s">
        <v>1131</v>
      </c>
      <c r="M8" s="309">
        <f ca="1">INDIRECT("'数据-取费表'!ai"&amp;$G$1)</f>
        <v>0</v>
      </c>
    </row>
    <row r="9" spans="1:37" ht="18" customHeight="1">
      <c r="A9" s="310"/>
      <c r="B9" s="3428"/>
      <c r="C9" s="312"/>
      <c r="D9" s="313"/>
      <c r="E9" s="308" t="s">
        <v>1132</v>
      </c>
      <c r="F9" s="318">
        <f ca="1">INDIRECT("'数据-取费表'!w"&amp;$G$1)</f>
        <v>0</v>
      </c>
      <c r="G9" s="1519"/>
      <c r="H9" s="310"/>
      <c r="I9" s="3428"/>
      <c r="J9" s="312"/>
      <c r="K9" s="313"/>
      <c r="L9" s="319" t="s">
        <v>1132</v>
      </c>
      <c r="M9" s="320">
        <f ca="1">INDIRECT("'数据-取费表'!ab"&amp;$G$1)</f>
        <v>0</v>
      </c>
    </row>
    <row r="10" spans="1:37" ht="18" customHeight="1">
      <c r="A10" s="1182" t="s">
        <v>826</v>
      </c>
      <c r="B10" s="1500" t="s">
        <v>1133</v>
      </c>
      <c r="C10" s="322">
        <f ca="1">ROUND(IF(F10="押一",C6/12*F11,IF(F10="押二",C6/12*2*F11,IF(F10="押三",C6/12*3*F11,C11*F11))),0)</f>
        <v>0</v>
      </c>
      <c r="D10" s="1501" t="s">
        <v>2615</v>
      </c>
      <c r="E10" s="319" t="s">
        <v>1134</v>
      </c>
      <c r="F10" s="1229"/>
      <c r="G10" s="1519"/>
      <c r="H10" s="1182" t="s">
        <v>826</v>
      </c>
      <c r="I10" s="1500" t="s">
        <v>1133</v>
      </c>
      <c r="J10" s="307">
        <f ca="1">ROUND(IF(M10="押一",J6/12*M11,IF(M10="押二",J6/12*2*M11,IF(M10="押三",J6/12*3*M11,J11*M11))),0)</f>
        <v>0</v>
      </c>
      <c r="K10" s="1512" t="s">
        <v>2617</v>
      </c>
      <c r="L10" s="319" t="s">
        <v>1134</v>
      </c>
      <c r="M10" s="1229"/>
    </row>
    <row r="11" spans="1:37" ht="18" customHeight="1">
      <c r="A11" s="314"/>
      <c r="B11" s="1502" t="s">
        <v>1325</v>
      </c>
      <c r="C11" s="1071"/>
      <c r="D11" s="313"/>
      <c r="E11" s="319" t="s">
        <v>1136</v>
      </c>
      <c r="F11" s="320">
        <f ca="1">'数据-取费表'!B39</f>
        <v>1.4999999999999999E-2</v>
      </c>
      <c r="G11" s="1519"/>
      <c r="H11" s="1190"/>
      <c r="I11" s="1502" t="s">
        <v>1326</v>
      </c>
      <c r="J11" s="1071"/>
      <c r="K11" s="693"/>
      <c r="L11" s="319" t="s">
        <v>1136</v>
      </c>
      <c r="M11" s="952">
        <f ca="1">'数据-取费表'!B39</f>
        <v>1.4999999999999999E-2</v>
      </c>
    </row>
    <row r="12" spans="1:37" ht="18" customHeight="1" thickBot="1">
      <c r="A12" s="1196" t="s">
        <v>862</v>
      </c>
      <c r="B12" s="1504" t="s">
        <v>1137</v>
      </c>
      <c r="C12" s="1197"/>
      <c r="D12" s="1198"/>
      <c r="E12" s="1203"/>
      <c r="F12" s="1199"/>
      <c r="G12" s="1519"/>
      <c r="H12" s="1196" t="s">
        <v>862</v>
      </c>
      <c r="I12" s="1504" t="s">
        <v>1137</v>
      </c>
      <c r="J12" s="1197"/>
      <c r="K12" s="1211"/>
      <c r="L12" s="1203"/>
      <c r="M12" s="1212"/>
    </row>
    <row r="13" spans="1:37" ht="18" customHeight="1" thickTop="1">
      <c r="A13" s="1192">
        <v>2</v>
      </c>
      <c r="B13" s="1193" t="s">
        <v>1138</v>
      </c>
      <c r="C13" s="316">
        <f ca="1">ROUND(C29*F13,0)</f>
        <v>0</v>
      </c>
      <c r="D13" s="1194" t="s">
        <v>1139</v>
      </c>
      <c r="E13" s="1194" t="s">
        <v>1140</v>
      </c>
      <c r="F13" s="1195">
        <f ca="1">INDIRECT("'数据-取费表'!y"&amp;$G$1)</f>
        <v>0</v>
      </c>
      <c r="G13" s="1519"/>
      <c r="H13" s="1192">
        <v>2</v>
      </c>
      <c r="I13" s="1193" t="s">
        <v>1138</v>
      </c>
      <c r="J13" s="1181">
        <f ca="1">ROUND(J14*J15,0)</f>
        <v>0</v>
      </c>
      <c r="K13" s="1200" t="s">
        <v>1139</v>
      </c>
      <c r="L13" s="1527"/>
      <c r="M13" s="1528"/>
    </row>
    <row r="14" spans="1:37" ht="18" customHeight="1">
      <c r="A14" s="1094" t="s">
        <v>821</v>
      </c>
      <c r="B14" s="308" t="s">
        <v>1141</v>
      </c>
      <c r="C14" s="324">
        <f ca="1">ROUND(INDIRECT("'数据-取费表'!l"&amp;$G$1)*F43+'数据-取费表'!L14*INDIRECT("'数据-取费表'!S"&amp;$G$1),0)</f>
        <v>0</v>
      </c>
      <c r="D14" s="1480" t="s">
        <v>1142</v>
      </c>
      <c r="E14" s="1477"/>
      <c r="F14" s="325"/>
      <c r="G14" s="1519"/>
      <c r="H14" s="1094" t="s">
        <v>822</v>
      </c>
      <c r="I14" s="308" t="s">
        <v>1143</v>
      </c>
      <c r="J14" s="24">
        <f ca="1">C29</f>
        <v>0</v>
      </c>
      <c r="K14" s="15"/>
      <c r="L14" s="897"/>
      <c r="M14" s="898"/>
    </row>
    <row r="15" spans="1:37" s="1532" customFormat="1" ht="18" customHeight="1" thickBot="1">
      <c r="A15" s="1094" t="s">
        <v>823</v>
      </c>
      <c r="B15" s="308" t="s">
        <v>1144</v>
      </c>
      <c r="C15" s="24">
        <f ca="1">ROUND(C14*F15,0)</f>
        <v>0</v>
      </c>
      <c r="D15" s="326" t="s">
        <v>1145</v>
      </c>
      <c r="E15" s="326" t="s">
        <v>1146</v>
      </c>
      <c r="F15" s="327">
        <f>'数据-取费表'!B33</f>
        <v>0.03</v>
      </c>
      <c r="G15" s="1531"/>
      <c r="H15" s="1202" t="s">
        <v>826</v>
      </c>
      <c r="I15" s="1203" t="s">
        <v>1140</v>
      </c>
      <c r="J15" s="1212">
        <f ca="1">INDIRECT("'数据-取费表'!ad"&amp;$G$1)</f>
        <v>0</v>
      </c>
      <c r="K15" s="1213"/>
      <c r="L15" s="1529"/>
      <c r="M15" s="1530"/>
      <c r="N15" s="1531"/>
      <c r="O15" s="1531"/>
      <c r="P15" s="1531"/>
      <c r="Q15" s="1531"/>
      <c r="R15" s="1531"/>
      <c r="S15" s="1531"/>
      <c r="T15" s="1531"/>
      <c r="U15" s="1531"/>
      <c r="V15" s="1531"/>
      <c r="W15" s="1531"/>
      <c r="X15" s="1531"/>
      <c r="Y15" s="1531"/>
      <c r="Z15" s="1531"/>
      <c r="AA15" s="1531"/>
      <c r="AB15" s="1531"/>
      <c r="AC15" s="1531"/>
      <c r="AD15" s="1531"/>
      <c r="AE15" s="1531"/>
      <c r="AF15" s="1531"/>
      <c r="AG15" s="1531"/>
      <c r="AH15" s="1531"/>
      <c r="AI15" s="1531"/>
      <c r="AJ15" s="1531"/>
      <c r="AK15" s="1531"/>
    </row>
    <row r="16" spans="1:37" ht="18" customHeight="1" thickTop="1">
      <c r="A16" s="1094" t="s">
        <v>1113</v>
      </c>
      <c r="B16" s="308" t="s">
        <v>1147</v>
      </c>
      <c r="C16" s="24">
        <f ca="1">ROUND(INDIRECT("'数据-取费表'!l"&amp;$G$1)*F43*F16,0)</f>
        <v>0</v>
      </c>
      <c r="D16" s="308" t="s">
        <v>1145</v>
      </c>
      <c r="E16" s="308" t="s">
        <v>1146</v>
      </c>
      <c r="F16" s="328">
        <f ca="1">IF(INDIRECT("'数据-取费表'!c"&amp;$G$1)="住宅",'数据-取费表'!B34,0)</f>
        <v>0</v>
      </c>
      <c r="G16" s="1519"/>
      <c r="H16" s="1192" t="s">
        <v>817</v>
      </c>
      <c r="I16" s="1193" t="s">
        <v>1148</v>
      </c>
      <c r="J16" s="316">
        <f ca="1">ROUND(J17+J22+J23+J24,0)</f>
        <v>0</v>
      </c>
      <c r="K16" s="1200" t="s">
        <v>1149</v>
      </c>
      <c r="L16" s="1201"/>
      <c r="M16" s="1185"/>
    </row>
    <row r="17" spans="1:37" s="1532" customFormat="1" ht="18" customHeight="1">
      <c r="A17" s="1094" t="s">
        <v>1114</v>
      </c>
      <c r="B17" s="308" t="s">
        <v>1150</v>
      </c>
      <c r="C17" s="24">
        <f ca="1">ROUND(F17*(F43+INDIRECT("'数据-取费表'!S"&amp;$G$1)),0)</f>
        <v>0</v>
      </c>
      <c r="D17" s="308" t="s">
        <v>1151</v>
      </c>
      <c r="E17" s="308" t="s">
        <v>1152</v>
      </c>
      <c r="F17" s="26">
        <f>'数据-取费表'!B35</f>
        <v>200</v>
      </c>
      <c r="G17" s="1531"/>
      <c r="H17" s="1094" t="s">
        <v>822</v>
      </c>
      <c r="I17" s="308" t="s">
        <v>1153</v>
      </c>
      <c r="J17" s="2485">
        <f ca="1">ROUND(IF(AND(项目基本情况!B11="自然人",项目基本情况!B10="北京市"),J6*M17/(1+'数据-取费表'!C42),J18+J19+J20),0)</f>
        <v>0</v>
      </c>
      <c r="K17" s="1480" t="s">
        <v>1154</v>
      </c>
      <c r="L17" s="1479" t="s">
        <v>1155</v>
      </c>
      <c r="M17" s="2484" t="str">
        <f>IF(项目基本情况!B11="企业","",IF('数据-取费表'!B10="住宅",IF(M6*M7*M8/12/(1+'数据-取费表'!F30)&gt;100000,4%,2.5%),IF(M6*M7*M8/12/(1+'数据-取费表'!F30)&gt;100000,12%,7%)))</f>
        <v/>
      </c>
      <c r="N17" s="1531"/>
      <c r="O17" s="1531"/>
      <c r="P17" s="1531"/>
      <c r="Q17" s="1531"/>
      <c r="R17" s="1531"/>
      <c r="S17" s="1531"/>
      <c r="T17" s="1531"/>
      <c r="U17" s="1531"/>
      <c r="V17" s="1531"/>
      <c r="W17" s="1531"/>
      <c r="X17" s="1531"/>
      <c r="Y17" s="1531"/>
      <c r="Z17" s="1531"/>
      <c r="AA17" s="1531"/>
      <c r="AB17" s="1531"/>
      <c r="AC17" s="1531"/>
      <c r="AD17" s="1531"/>
      <c r="AE17" s="1531"/>
      <c r="AF17" s="1531"/>
      <c r="AG17" s="1531"/>
      <c r="AH17" s="1531"/>
      <c r="AI17" s="1531"/>
      <c r="AJ17" s="1531"/>
      <c r="AK17" s="1531"/>
    </row>
    <row r="18" spans="1:37" s="1532" customFormat="1" ht="18" customHeight="1">
      <c r="A18" s="1094" t="s">
        <v>1115</v>
      </c>
      <c r="B18" s="308" t="s">
        <v>1156</v>
      </c>
      <c r="C18" s="24">
        <f ca="1">ROUND(C14*F18,0)</f>
        <v>0</v>
      </c>
      <c r="D18" s="308" t="s">
        <v>1145</v>
      </c>
      <c r="E18" s="308" t="s">
        <v>1146</v>
      </c>
      <c r="F18" s="328">
        <f>'数据-取费表'!B36</f>
        <v>1.4999999999999999E-2</v>
      </c>
      <c r="G18" s="1531"/>
      <c r="H18" s="1094" t="s">
        <v>821</v>
      </c>
      <c r="I18" s="308" t="s">
        <v>1157</v>
      </c>
      <c r="J18" s="24">
        <f ca="1">ROUND(J6*M18/(1+'数据-取费表'!C42),0)</f>
        <v>0</v>
      </c>
      <c r="K18" s="1479" t="s">
        <v>1158</v>
      </c>
      <c r="L18" s="308" t="s">
        <v>1146</v>
      </c>
      <c r="M18" s="328">
        <f>'数据-取费表'!B41</f>
        <v>5.6000000000000001E-2</v>
      </c>
      <c r="N18" s="1531"/>
      <c r="O18" s="1531"/>
      <c r="P18" s="1531"/>
      <c r="Q18" s="1531"/>
      <c r="R18" s="1531"/>
      <c r="S18" s="1531"/>
      <c r="T18" s="1531"/>
      <c r="U18" s="1531"/>
      <c r="V18" s="1531"/>
      <c r="W18" s="1531"/>
      <c r="X18" s="1531"/>
      <c r="Y18" s="1531"/>
      <c r="Z18" s="1531"/>
      <c r="AA18" s="1531"/>
      <c r="AB18" s="1531"/>
      <c r="AC18" s="1531"/>
      <c r="AD18" s="1531"/>
      <c r="AE18" s="1531"/>
      <c r="AF18" s="1531"/>
      <c r="AG18" s="1531"/>
      <c r="AH18" s="1531"/>
      <c r="AI18" s="1531"/>
      <c r="AJ18" s="1531"/>
      <c r="AK18" s="1531"/>
    </row>
    <row r="19" spans="1:37" ht="18" customHeight="1">
      <c r="A19" s="1094" t="s">
        <v>822</v>
      </c>
      <c r="B19" s="308" t="s">
        <v>1159</v>
      </c>
      <c r="C19" s="24">
        <f ca="1">SUM(C14:C18)</f>
        <v>0</v>
      </c>
      <c r="D19" s="136" t="s">
        <v>1160</v>
      </c>
      <c r="E19" s="1495"/>
      <c r="F19" s="26"/>
      <c r="G19" s="1519"/>
      <c r="H19" s="1094" t="s">
        <v>823</v>
      </c>
      <c r="I19" s="308" t="s">
        <v>1161</v>
      </c>
      <c r="J19" s="24">
        <f ca="1">IF(K19="按租金收入计税",ROUND(J6*M19/(1+'数据-取费表'!C42),0),ROUND(C29*M19*0.7,0))</f>
        <v>0</v>
      </c>
      <c r="K19" s="1505" t="s">
        <v>1162</v>
      </c>
      <c r="L19" s="308" t="s">
        <v>1146</v>
      </c>
      <c r="M19" s="328">
        <f>IF(K19="按租金收入计税",'数据-取费表'!B51,'数据-取费表'!B50)</f>
        <v>1.2E-2</v>
      </c>
    </row>
    <row r="20" spans="1:37" s="1532" customFormat="1" ht="18" customHeight="1">
      <c r="A20" s="1094" t="s">
        <v>826</v>
      </c>
      <c r="B20" s="308" t="s">
        <v>1163</v>
      </c>
      <c r="C20" s="24">
        <f ca="1">ROUND(C19*F20,0)</f>
        <v>0</v>
      </c>
      <c r="D20" s="329" t="s">
        <v>1164</v>
      </c>
      <c r="E20" s="308" t="s">
        <v>1146</v>
      </c>
      <c r="F20" s="328">
        <f>'数据-取费表'!B37</f>
        <v>0.02</v>
      </c>
      <c r="G20" s="1531"/>
      <c r="H20" s="1094" t="s">
        <v>1113</v>
      </c>
      <c r="I20" s="160" t="s">
        <v>1165</v>
      </c>
      <c r="J20" s="25">
        <f ca="1">ROUND(M20*M21,0)</f>
        <v>0</v>
      </c>
      <c r="K20" s="330" t="s">
        <v>1166</v>
      </c>
      <c r="L20" s="308" t="s">
        <v>1167</v>
      </c>
      <c r="M20" s="331">
        <f>'数据-取费表'!B52</f>
        <v>12</v>
      </c>
      <c r="N20" s="1531"/>
      <c r="O20" s="1531"/>
      <c r="P20" s="1531"/>
      <c r="Q20" s="1531"/>
      <c r="R20" s="1531"/>
      <c r="S20" s="1531"/>
      <c r="T20" s="1531"/>
      <c r="U20" s="1531"/>
      <c r="V20" s="1531"/>
      <c r="W20" s="1531"/>
      <c r="X20" s="1531"/>
      <c r="Y20" s="1531"/>
      <c r="Z20" s="1531"/>
      <c r="AA20" s="1531"/>
      <c r="AB20" s="1531"/>
      <c r="AC20" s="1531"/>
      <c r="AD20" s="1531"/>
      <c r="AE20" s="1531"/>
      <c r="AF20" s="1531"/>
      <c r="AG20" s="1531"/>
      <c r="AH20" s="1531"/>
      <c r="AI20" s="1531"/>
      <c r="AJ20" s="1531"/>
      <c r="AK20" s="1531"/>
    </row>
    <row r="21" spans="1:37" s="1532" customFormat="1" ht="18" customHeight="1">
      <c r="A21" s="1094" t="s">
        <v>862</v>
      </c>
      <c r="B21" s="308" t="s">
        <v>1168</v>
      </c>
      <c r="C21" s="24" t="s">
        <v>1</v>
      </c>
      <c r="D21" s="329" t="s">
        <v>1169</v>
      </c>
      <c r="E21" s="308" t="s">
        <v>1170</v>
      </c>
      <c r="F21" s="328">
        <f>'数据-取费表'!B38</f>
        <v>0.02</v>
      </c>
      <c r="G21" s="1531"/>
      <c r="H21" s="332"/>
      <c r="I21" s="317"/>
      <c r="J21" s="29"/>
      <c r="K21" s="333"/>
      <c r="L21" s="308" t="s">
        <v>1171</v>
      </c>
      <c r="M21" s="309">
        <f ca="1">INDIRECT("'数据-取费表'!r"&amp;$G$1)</f>
        <v>0</v>
      </c>
      <c r="N21" s="1531"/>
      <c r="O21" s="1531"/>
      <c r="P21" s="1531"/>
      <c r="Q21" s="1531"/>
      <c r="R21" s="1531"/>
      <c r="S21" s="1531"/>
      <c r="T21" s="1531"/>
      <c r="U21" s="1531"/>
      <c r="V21" s="1531"/>
      <c r="W21" s="1531"/>
      <c r="X21" s="1531"/>
      <c r="Y21" s="1531"/>
      <c r="Z21" s="1531"/>
      <c r="AA21" s="1531"/>
      <c r="AB21" s="1531"/>
      <c r="AC21" s="1531"/>
      <c r="AD21" s="1531"/>
      <c r="AE21" s="1531"/>
      <c r="AF21" s="1531"/>
      <c r="AG21" s="1531"/>
      <c r="AH21" s="1531"/>
      <c r="AI21" s="1531"/>
      <c r="AJ21" s="1531"/>
      <c r="AK21" s="1531"/>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5"/>
      <c r="F22" s="26"/>
      <c r="G22" s="1519"/>
      <c r="H22" s="1094" t="s">
        <v>826</v>
      </c>
      <c r="I22" s="308" t="s">
        <v>1173</v>
      </c>
      <c r="J22" s="24">
        <f ca="1">ROUND(J14*M22,0)</f>
        <v>0</v>
      </c>
      <c r="K22" s="1479" t="s">
        <v>1174</v>
      </c>
      <c r="L22" s="308" t="s">
        <v>1146</v>
      </c>
      <c r="M22" s="334">
        <f ca="1">INDIRECT("'数据-取费表'!Ak"&amp;$G$1)</f>
        <v>0</v>
      </c>
    </row>
    <row r="23" spans="1:37" s="1532" customFormat="1" ht="18" customHeight="1">
      <c r="A23" s="1094" t="s">
        <v>821</v>
      </c>
      <c r="B23" s="308" t="s">
        <v>1175</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1176</v>
      </c>
      <c r="F23" s="331">
        <f>'数据-取费表'!B20</f>
        <v>2</v>
      </c>
      <c r="G23" s="1531"/>
      <c r="H23" s="1094" t="s">
        <v>862</v>
      </c>
      <c r="I23" s="308" t="s">
        <v>1177</v>
      </c>
      <c r="J23" s="24">
        <f ca="1">ROUND(J13*M23,0)</f>
        <v>0</v>
      </c>
      <c r="K23" s="1479" t="s">
        <v>1178</v>
      </c>
      <c r="L23" s="308" t="s">
        <v>1179</v>
      </c>
      <c r="M23" s="336">
        <f ca="1">INDIRECT("'数据-取费表'!Al"&amp;$G$1)</f>
        <v>0</v>
      </c>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row>
    <row r="24" spans="1:37" s="1532" customFormat="1" ht="18" customHeight="1" thickBot="1">
      <c r="A24" s="1094" t="s">
        <v>1180</v>
      </c>
      <c r="B24" s="308" t="s">
        <v>1181</v>
      </c>
      <c r="C24" s="24">
        <f ca="1">ROUND(IF('数据-取费表'!B22&lt;=1,F21*F24*F23/2,F21*(POWER((1+F24),F23/2)-1)),4)</f>
        <v>8.0000000000000004E-4</v>
      </c>
      <c r="D24" s="335" t="str">
        <f>IF(F23&lt;=1,"销售费用×利率×(建设周期÷2)","销售费用×((1+利率)^(建设周期÷2)-1)")</f>
        <v>销售费用×((1+利率)^(建设周期÷2)-1)</v>
      </c>
      <c r="E24" s="308" t="s">
        <v>1182</v>
      </c>
      <c r="F24" s="337">
        <f ca="1">'数据-取费表'!B40</f>
        <v>4.1499999999999995E-2</v>
      </c>
      <c r="G24" s="1531"/>
      <c r="H24" s="1202" t="s">
        <v>1117</v>
      </c>
      <c r="I24" s="1203" t="s">
        <v>1163</v>
      </c>
      <c r="J24" s="1204">
        <f ca="1">ROUND(J5*M24,0)</f>
        <v>0</v>
      </c>
      <c r="K24" s="1205" t="s">
        <v>1183</v>
      </c>
      <c r="L24" s="1203" t="s">
        <v>1179</v>
      </c>
      <c r="M24" s="1199">
        <f ca="1">INDIRECT("'数据-取费表'!Am"&amp;$G$1)</f>
        <v>0</v>
      </c>
      <c r="N24" s="1531"/>
      <c r="O24" s="1531"/>
      <c r="P24" s="1531"/>
      <c r="Q24" s="1531"/>
      <c r="R24" s="1531"/>
      <c r="S24" s="1531"/>
      <c r="T24" s="1531"/>
      <c r="U24" s="1531"/>
      <c r="V24" s="1531"/>
      <c r="W24" s="1531"/>
      <c r="X24" s="1531"/>
      <c r="Y24" s="1531"/>
      <c r="Z24" s="1531"/>
      <c r="AA24" s="1531"/>
      <c r="AB24" s="1531"/>
      <c r="AC24" s="1531"/>
      <c r="AD24" s="1531"/>
      <c r="AE24" s="1531"/>
      <c r="AF24" s="1531"/>
      <c r="AG24" s="1531"/>
      <c r="AH24" s="1531"/>
      <c r="AI24" s="1531"/>
      <c r="AJ24" s="1531"/>
      <c r="AK24" s="1531"/>
    </row>
    <row r="25" spans="1:37" ht="18" customHeight="1" thickTop="1">
      <c r="A25" s="1094" t="s">
        <v>1184</v>
      </c>
      <c r="B25" s="308" t="s">
        <v>1185</v>
      </c>
      <c r="C25" s="24"/>
      <c r="D25" s="136" t="s">
        <v>1186</v>
      </c>
      <c r="E25" s="1495"/>
      <c r="F25" s="26"/>
      <c r="G25" s="1519"/>
      <c r="H25" s="1192" t="s">
        <v>818</v>
      </c>
      <c r="I25" s="1207" t="s">
        <v>1187</v>
      </c>
      <c r="J25" s="316">
        <f ca="1">J5-J16</f>
        <v>0</v>
      </c>
      <c r="K25" s="1208" t="s">
        <v>1188</v>
      </c>
      <c r="L25" s="1209"/>
      <c r="M25" s="1210"/>
    </row>
    <row r="26" spans="1:37" ht="18" customHeight="1">
      <c r="A26" s="1094" t="s">
        <v>821</v>
      </c>
      <c r="B26" s="308" t="s">
        <v>1189</v>
      </c>
      <c r="C26" s="24">
        <f ca="1">ROUND((C19+C20)*F26,0)</f>
        <v>0</v>
      </c>
      <c r="D26" s="329" t="s">
        <v>1190</v>
      </c>
      <c r="E26" s="319" t="s">
        <v>1191</v>
      </c>
      <c r="F26" s="318">
        <f ca="1">INDIRECT("'数据-取费表'!q"&amp;$G$1)</f>
        <v>0</v>
      </c>
      <c r="G26" s="1519"/>
      <c r="H26" s="305" t="s">
        <v>819</v>
      </c>
      <c r="I26" s="306" t="s">
        <v>1192</v>
      </c>
      <c r="J26" s="307">
        <f ca="1">IF(J5&lt;&gt;0,ROUND(J25*(1-((1+M28)/(1+M26))^M27)/(M26-M28),0),0)</f>
        <v>0</v>
      </c>
      <c r="K26" s="330" t="s">
        <v>1193</v>
      </c>
      <c r="L26" s="308" t="s">
        <v>1194</v>
      </c>
      <c r="M26" s="318">
        <f ca="1">INDIRECT("'数据-取费表'!I"&amp;$G$1)</f>
        <v>0</v>
      </c>
    </row>
    <row r="27" spans="1:37" ht="18" customHeight="1">
      <c r="A27" s="1094" t="s">
        <v>823</v>
      </c>
      <c r="B27" s="308" t="s">
        <v>1195</v>
      </c>
      <c r="C27" s="24">
        <f ca="1">ROUND(F21*F26,4)</f>
        <v>0</v>
      </c>
      <c r="D27" s="329" t="s">
        <v>1196</v>
      </c>
      <c r="E27" s="326"/>
      <c r="F27" s="327"/>
      <c r="G27" s="1519"/>
      <c r="H27" s="310"/>
      <c r="I27" s="311"/>
      <c r="J27" s="312"/>
      <c r="K27" s="338" t="s">
        <v>1197</v>
      </c>
      <c r="L27" s="308" t="s">
        <v>1198</v>
      </c>
      <c r="M27" s="339">
        <f ca="1">INDIRECT("'数据-取费表'!ag"&amp;$G$1)</f>
        <v>0</v>
      </c>
    </row>
    <row r="28" spans="1:37" s="1532" customFormat="1" ht="18" customHeight="1">
      <c r="A28" s="1094" t="s">
        <v>824</v>
      </c>
      <c r="B28" s="308" t="s">
        <v>1199</v>
      </c>
      <c r="C28" s="24">
        <f>ROUND(F28/(1+'数据-取费表'!C42),4)</f>
        <v>5.33E-2</v>
      </c>
      <c r="D28" s="329" t="s">
        <v>1200</v>
      </c>
      <c r="E28" s="308" t="s">
        <v>1146</v>
      </c>
      <c r="F28" s="328">
        <f>'数据-取费表'!B41</f>
        <v>5.6000000000000001E-2</v>
      </c>
      <c r="G28" s="1531"/>
      <c r="H28" s="314"/>
      <c r="I28" s="315"/>
      <c r="J28" s="316"/>
      <c r="K28" s="333"/>
      <c r="L28" s="308" t="s">
        <v>1201</v>
      </c>
      <c r="M28" s="318">
        <f ca="1">INDIRECT("'数据-取费表'!aa"&amp;$G$1)</f>
        <v>0</v>
      </c>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1531"/>
      <c r="AK28" s="1531"/>
    </row>
    <row r="29" spans="1:37" s="1532" customFormat="1" ht="18" customHeight="1" thickBot="1">
      <c r="A29" s="1202" t="s">
        <v>825</v>
      </c>
      <c r="B29" s="1203" t="s">
        <v>1202</v>
      </c>
      <c r="C29" s="1204">
        <f ca="1">ROUND((C19+C20+C23+C26)/(1-F21-C24-C27-C28),0)</f>
        <v>0</v>
      </c>
      <c r="D29" s="1205"/>
      <c r="E29" s="1203"/>
      <c r="F29" s="1206"/>
      <c r="G29" s="1531"/>
      <c r="H29" s="340" t="s">
        <v>820</v>
      </c>
      <c r="I29" s="341" t="s">
        <v>1203</v>
      </c>
      <c r="J29" s="342">
        <f ca="1">ROUND(J26/(1+F40)^F41,0)</f>
        <v>0</v>
      </c>
      <c r="K29" s="343" t="s">
        <v>1204</v>
      </c>
      <c r="L29" s="344"/>
      <c r="M29" s="345">
        <f ca="1">INDIRECT("'数据-取费表'!k"&amp;$G$1)</f>
        <v>0</v>
      </c>
      <c r="N29" s="1531"/>
      <c r="O29" s="1531"/>
      <c r="P29" s="1531"/>
      <c r="Q29" s="1531"/>
      <c r="R29" s="1531"/>
      <c r="S29" s="1531"/>
      <c r="T29" s="1531"/>
      <c r="U29" s="1531"/>
      <c r="V29" s="1531"/>
      <c r="W29" s="1531"/>
      <c r="X29" s="1531"/>
      <c r="Y29" s="1531"/>
      <c r="Z29" s="1531"/>
      <c r="AA29" s="1531"/>
      <c r="AB29" s="1531"/>
      <c r="AC29" s="1531"/>
      <c r="AD29" s="1531"/>
      <c r="AE29" s="1531"/>
      <c r="AF29" s="1531"/>
      <c r="AG29" s="1531"/>
      <c r="AH29" s="1531"/>
      <c r="AI29" s="1531"/>
      <c r="AJ29" s="1531"/>
      <c r="AK29" s="1531"/>
    </row>
    <row r="30" spans="1:37" ht="18" customHeight="1" thickTop="1">
      <c r="A30" s="1192" t="s">
        <v>817</v>
      </c>
      <c r="B30" s="1193" t="s">
        <v>1148</v>
      </c>
      <c r="C30" s="316">
        <f ca="1">ROUND(C31+C36+C37+C38,0)</f>
        <v>0</v>
      </c>
      <c r="D30" s="1200" t="s">
        <v>1149</v>
      </c>
      <c r="E30" s="1201"/>
      <c r="F30" s="1185"/>
      <c r="G30" s="1519"/>
      <c r="H30" s="2876"/>
      <c r="I30" s="1533"/>
      <c r="J30" s="1534"/>
      <c r="K30" s="2651"/>
      <c r="L30" s="2877"/>
      <c r="M30" s="2878"/>
    </row>
    <row r="31" spans="1:37" ht="18" customHeight="1">
      <c r="A31" s="1094" t="s">
        <v>822</v>
      </c>
      <c r="B31" s="308" t="s">
        <v>1153</v>
      </c>
      <c r="C31" s="2485">
        <f ca="1">ROUND(IF(AND(项目基本情况!B11="自然人",项目基本情况!B10="北京市"),C6*F31/(1+'数据-取费表'!C42),C32+C33+C34),0)</f>
        <v>0</v>
      </c>
      <c r="D31" s="1480" t="s">
        <v>1154</v>
      </c>
      <c r="E31" s="1479" t="s">
        <v>1205</v>
      </c>
      <c r="F31" s="2484" t="str">
        <f>IF(项目基本情况!B11="企业","——",IF('数据-取费表'!B10="住宅",IF(F6*F7*F8/12/(1+'数据-取费表'!F30)&gt;100000,4%,2.5%),IF(F6*F7*F8/12/(1+'数据-取费表'!F30)&gt;100000,12%,7%)))</f>
        <v>——</v>
      </c>
      <c r="G31" s="1519"/>
      <c r="H31" s="2989" t="s">
        <v>2811</v>
      </c>
      <c r="I31" s="1533"/>
      <c r="J31" s="1534"/>
      <c r="K31" s="2651"/>
      <c r="L31" s="2877"/>
      <c r="M31" s="2878"/>
    </row>
    <row r="32" spans="1:37" ht="18" customHeight="1">
      <c r="A32" s="1094" t="s">
        <v>821</v>
      </c>
      <c r="B32" s="308" t="s">
        <v>1157</v>
      </c>
      <c r="C32" s="24">
        <f ca="1">IF(项目基本情况!B11="自然人","——",ROUND(C6*F32/(1+'数据-取费表'!C42),0))</f>
        <v>0</v>
      </c>
      <c r="D32" s="1479" t="s">
        <v>1158</v>
      </c>
      <c r="E32" s="308" t="s">
        <v>1146</v>
      </c>
      <c r="F32" s="337">
        <f>'数据-取费表'!B41</f>
        <v>5.6000000000000001E-2</v>
      </c>
      <c r="G32" s="1519"/>
      <c r="H32" s="2876"/>
      <c r="I32" s="1533"/>
      <c r="J32" s="1534"/>
      <c r="K32" s="2651"/>
      <c r="L32" s="2877"/>
      <c r="M32" s="2878"/>
    </row>
    <row r="33" spans="1:18" ht="18" customHeight="1">
      <c r="A33" s="1094" t="s">
        <v>823</v>
      </c>
      <c r="B33" s="308" t="s">
        <v>1161</v>
      </c>
      <c r="C33" s="24">
        <f ca="1">IF(项目基本情况!B11="自然人","——",IF(D33="按租金收入计税",ROUND(C6*F33/(1+'数据-取费表'!C42),0),IF(D33="按房产原值计税",ROUND(C29*F33*0.7,0),INDIRECT("'数据-取费表'!Aj"&amp;$G$1))))</f>
        <v>0</v>
      </c>
      <c r="D33" s="1505" t="s">
        <v>1162</v>
      </c>
      <c r="E33" s="308" t="s">
        <v>1146</v>
      </c>
      <c r="F33" s="328">
        <f>IF(D33="按票据","——",IF(D33="按租金收入计税",'数据-取费表'!B51,'数据-取费表'!B50))</f>
        <v>1.2E-2</v>
      </c>
      <c r="G33" s="1519"/>
      <c r="H33" s="2879"/>
      <c r="I33" s="1533"/>
      <c r="J33" s="1534"/>
      <c r="K33" s="2880"/>
      <c r="L33" s="2879"/>
      <c r="M33" s="2879"/>
    </row>
    <row r="34" spans="1:18" ht="18" customHeight="1">
      <c r="A34" s="1182" t="s">
        <v>1113</v>
      </c>
      <c r="B34" s="160" t="s">
        <v>1165</v>
      </c>
      <c r="C34" s="25">
        <f ca="1">IF(项目基本情况!B11="自然人","——",ROUND(F34*F35,))</f>
        <v>0</v>
      </c>
      <c r="D34" s="330" t="s">
        <v>1166</v>
      </c>
      <c r="E34" s="308" t="s">
        <v>1167</v>
      </c>
      <c r="F34" s="331">
        <f>'数据-取费表'!B52</f>
        <v>12</v>
      </c>
      <c r="G34" s="1519"/>
      <c r="H34" s="2876"/>
      <c r="I34" s="1533"/>
      <c r="J34" s="1534"/>
      <c r="K34" s="2881"/>
      <c r="L34" s="2882"/>
      <c r="M34" s="2882"/>
    </row>
    <row r="35" spans="1:18" ht="18" customHeight="1">
      <c r="A35" s="1216"/>
      <c r="B35" s="1214"/>
      <c r="C35" s="29"/>
      <c r="D35" s="333"/>
      <c r="E35" s="308" t="s">
        <v>1171</v>
      </c>
      <c r="F35" s="309">
        <f ca="1">INDIRECT("'数据-取费表'!r"&amp;$G$1)</f>
        <v>0</v>
      </c>
      <c r="G35" s="1519"/>
      <c r="H35" s="2876"/>
      <c r="I35" s="1533"/>
      <c r="J35" s="1534"/>
      <c r="K35" s="2880"/>
      <c r="L35" s="2879"/>
      <c r="M35" s="2879"/>
    </row>
    <row r="36" spans="1:18" ht="18" customHeight="1">
      <c r="A36" s="1215" t="s">
        <v>826</v>
      </c>
      <c r="B36" s="308" t="s">
        <v>1173</v>
      </c>
      <c r="C36" s="24">
        <f ca="1">ROUND(C29*F36,0)</f>
        <v>0</v>
      </c>
      <c r="D36" s="1479" t="s">
        <v>1206</v>
      </c>
      <c r="E36" s="308" t="s">
        <v>1146</v>
      </c>
      <c r="F36" s="334">
        <f ca="1">INDIRECT("'数据-取费表'!Ak"&amp;$G$1)</f>
        <v>0</v>
      </c>
      <c r="G36" s="1519"/>
      <c r="H36" s="2879"/>
      <c r="I36" s="1533"/>
      <c r="J36" s="1534"/>
      <c r="K36" s="2720"/>
      <c r="L36" s="2879"/>
      <c r="M36" s="2879"/>
    </row>
    <row r="37" spans="1:18" ht="18" customHeight="1">
      <c r="A37" s="1094" t="s">
        <v>862</v>
      </c>
      <c r="B37" s="308" t="s">
        <v>1177</v>
      </c>
      <c r="C37" s="24">
        <f ca="1">ROUND(C13*F37,0)</f>
        <v>0</v>
      </c>
      <c r="D37" s="1479" t="s">
        <v>1178</v>
      </c>
      <c r="E37" s="308" t="s">
        <v>1179</v>
      </c>
      <c r="F37" s="336">
        <f ca="1">INDIRECT("'数据-取费表'!Al"&amp;$G$1)</f>
        <v>0</v>
      </c>
      <c r="G37" s="1519"/>
      <c r="H37" s="2879"/>
      <c r="I37" s="1533"/>
      <c r="J37" s="1534"/>
      <c r="K37" s="2720"/>
      <c r="L37" s="2879"/>
      <c r="M37" s="2879"/>
    </row>
    <row r="38" spans="1:18" ht="18" customHeight="1" thickBot="1">
      <c r="A38" s="1202" t="s">
        <v>1117</v>
      </c>
      <c r="B38" s="1203" t="s">
        <v>1163</v>
      </c>
      <c r="C38" s="1204">
        <f ca="1">ROUND(C5*F38,1)</f>
        <v>0</v>
      </c>
      <c r="D38" s="1205" t="s">
        <v>1183</v>
      </c>
      <c r="E38" s="1203" t="s">
        <v>1179</v>
      </c>
      <c r="F38" s="1199">
        <f ca="1">INDIRECT("'数据-取费表'!Am"&amp;$G$1)</f>
        <v>0</v>
      </c>
      <c r="G38" s="1519"/>
      <c r="H38" s="2879"/>
      <c r="I38" s="1533"/>
      <c r="J38" s="1534"/>
      <c r="K38" s="2883"/>
      <c r="L38" s="2879"/>
      <c r="M38" s="2879"/>
    </row>
    <row r="39" spans="1:18" ht="24.6" customHeight="1" thickTop="1">
      <c r="A39" s="1192" t="s">
        <v>818</v>
      </c>
      <c r="B39" s="1207" t="s">
        <v>1207</v>
      </c>
      <c r="C39" s="316">
        <f ca="1">C5-C30</f>
        <v>0</v>
      </c>
      <c r="D39" s="1208" t="s">
        <v>1208</v>
      </c>
      <c r="E39" s="1209"/>
      <c r="F39" s="1210"/>
      <c r="G39" s="1519"/>
      <c r="H39" s="2879"/>
      <c r="I39" s="1533"/>
      <c r="J39" s="1534"/>
      <c r="K39" s="2883"/>
      <c r="L39" s="2879"/>
      <c r="M39" s="2879"/>
    </row>
    <row r="40" spans="1:18" ht="18" customHeight="1">
      <c r="A40" s="305" t="s">
        <v>819</v>
      </c>
      <c r="B40" s="306" t="s">
        <v>1209</v>
      </c>
      <c r="C40" s="307" t="e">
        <f ca="1">ROUND(C39*(1-((1+F42)/(1+F40))^F41)/(F40-F42),0)</f>
        <v>#DIV/0!</v>
      </c>
      <c r="D40" s="330" t="s">
        <v>1193</v>
      </c>
      <c r="E40" s="308" t="s">
        <v>1194</v>
      </c>
      <c r="F40" s="318">
        <f ca="1">INDIRECT("'数据-取费表'!I"&amp;$G$1)</f>
        <v>0</v>
      </c>
      <c r="G40" s="1519"/>
      <c r="H40" s="1596"/>
      <c r="I40" s="1533"/>
      <c r="J40" s="1534"/>
      <c r="K40" s="2883"/>
      <c r="L40" s="1596"/>
      <c r="M40" s="1596"/>
    </row>
    <row r="41" spans="1:18" ht="18" customHeight="1">
      <c r="A41" s="310"/>
      <c r="B41" s="311"/>
      <c r="C41" s="312"/>
      <c r="D41" s="338" t="s">
        <v>1210</v>
      </c>
      <c r="E41" s="308" t="s">
        <v>1198</v>
      </c>
      <c r="F41" s="339">
        <f ca="1">IF(INDIRECT("'数据-取费表'!af"&amp;$G$1)=0,INDIRECT("'数据-取费表'!ae"&amp;$G$1),INDIRECT("'数据-取费表'!af"&amp;$G$1))</f>
        <v>0</v>
      </c>
      <c r="G41" s="1519"/>
      <c r="H41" s="1306"/>
      <c r="I41" s="1533"/>
      <c r="J41" s="1534"/>
      <c r="K41" s="2720"/>
      <c r="L41" s="1306"/>
      <c r="M41" s="1306"/>
    </row>
    <row r="42" spans="1:18" ht="18" customHeight="1">
      <c r="A42" s="314"/>
      <c r="B42" s="315"/>
      <c r="C42" s="316"/>
      <c r="D42" s="333"/>
      <c r="E42" s="308" t="s">
        <v>1201</v>
      </c>
      <c r="F42" s="318">
        <f ca="1">INDIRECT("'数据-取费表'!v"&amp;$G$1)</f>
        <v>0</v>
      </c>
      <c r="G42" s="1519"/>
      <c r="H42" s="1306"/>
      <c r="I42" s="1533"/>
      <c r="J42" s="1534"/>
      <c r="K42" s="2720"/>
      <c r="L42" s="1306"/>
      <c r="M42" s="1306"/>
    </row>
    <row r="43" spans="1:18" ht="18" customHeight="1" thickBot="1">
      <c r="A43" s="340" t="s">
        <v>820</v>
      </c>
      <c r="B43" s="341" t="s">
        <v>1211</v>
      </c>
      <c r="C43" s="342" t="e">
        <f ca="1">ROUND(C40/F43,0)</f>
        <v>#DIV/0!</v>
      </c>
      <c r="D43" s="343" t="s">
        <v>1212</v>
      </c>
      <c r="E43" s="344" t="s">
        <v>1213</v>
      </c>
      <c r="F43" s="345">
        <f ca="1">INDIRECT("'数据-取费表'!k"&amp;$G$1)</f>
        <v>0</v>
      </c>
      <c r="G43" s="1519"/>
      <c r="H43" s="1306"/>
      <c r="I43" s="1306"/>
      <c r="J43" s="1306"/>
      <c r="K43" s="2720"/>
      <c r="L43" s="1306"/>
      <c r="M43" s="1306"/>
    </row>
    <row r="44" spans="1:18" s="1519" customFormat="1" ht="18" customHeight="1">
      <c r="A44" s="1535"/>
      <c r="B44" s="1535"/>
      <c r="C44" s="1536"/>
      <c r="D44" s="1535"/>
      <c r="E44" s="1535"/>
      <c r="F44" s="1535"/>
      <c r="K44" s="1537"/>
    </row>
    <row r="45" spans="1:18" s="1519" customFormat="1" ht="18" customHeight="1" thickBot="1">
      <c r="A45" s="1535"/>
      <c r="B45" s="1535"/>
      <c r="C45" s="1607" t="e">
        <f ca="1">C68-C40</f>
        <v>#DIV/0!</v>
      </c>
      <c r="D45" s="1608" t="s">
        <v>1327</v>
      </c>
      <c r="E45" s="1535"/>
      <c r="F45" s="1535"/>
      <c r="O45" s="1538" t="s">
        <v>1243</v>
      </c>
      <c r="P45" s="1596"/>
      <c r="Q45" s="1596"/>
      <c r="R45" s="1596"/>
    </row>
    <row r="46" spans="1:18" s="1519" customFormat="1" ht="13.5" thickBot="1">
      <c r="A46" s="1539" t="s">
        <v>1244</v>
      </c>
      <c r="C46" s="1540" t="e">
        <f ca="1">ROUND(C45/10000,0)</f>
        <v>#DIV/0!</v>
      </c>
      <c r="D46" s="1541" t="str">
        <f>C2</f>
        <v>万元</v>
      </c>
      <c r="I46" s="1542" t="s">
        <v>1245</v>
      </c>
      <c r="J46" s="1543"/>
      <c r="K46" s="1544"/>
      <c r="L46" s="1545" t="e">
        <f ca="1">IF(M47="住宅",0,IF(L48&gt;J51,L60,J60))</f>
        <v>#DIV/0!</v>
      </c>
      <c r="O46" s="1546" t="s">
        <v>1246</v>
      </c>
      <c r="P46" s="1547" t="s">
        <v>1247</v>
      </c>
      <c r="Q46" s="1548" t="s">
        <v>1248</v>
      </c>
      <c r="R46" s="1548" t="s">
        <v>1249</v>
      </c>
    </row>
    <row r="47" spans="1:18" s="1519" customFormat="1" ht="13.5" thickBot="1">
      <c r="A47" s="1058" t="s">
        <v>1120</v>
      </c>
      <c r="B47" s="1090" t="s">
        <v>1121</v>
      </c>
      <c r="C47" s="1090" t="s">
        <v>1122</v>
      </c>
      <c r="D47" s="1090" t="s">
        <v>1123</v>
      </c>
      <c r="E47" s="1170" t="s">
        <v>1124</v>
      </c>
      <c r="F47" s="1171"/>
      <c r="G47" s="731"/>
      <c r="I47" s="1549" t="s">
        <v>1250</v>
      </c>
      <c r="J47" s="1550"/>
      <c r="K47" s="1551" t="s">
        <v>1251</v>
      </c>
      <c r="L47" s="1552">
        <f ca="1">INDIRECT("'数据-取费表'!d"&amp;$G$1)</f>
        <v>0</v>
      </c>
      <c r="M47" s="1515" t="str">
        <f>IF(ISNUMBER(FIND("住宅",C1)),"住宅","非住宅")</f>
        <v>非住宅</v>
      </c>
      <c r="O47" s="1553" t="s">
        <v>827</v>
      </c>
      <c r="P47" s="1554" t="s">
        <v>1252</v>
      </c>
      <c r="Q47" s="1555" t="e">
        <f ca="1">C40+J29</f>
        <v>#DIV/0!</v>
      </c>
      <c r="R47" s="1555" t="s">
        <v>1253</v>
      </c>
    </row>
    <row r="48" spans="1:18" s="1519" customFormat="1" ht="28.5" thickBot="1">
      <c r="A48" s="1223" t="s">
        <v>863</v>
      </c>
      <c r="B48" s="306" t="s">
        <v>1125</v>
      </c>
      <c r="C48" s="1494">
        <f ca="1">C49+C53+C55</f>
        <v>0</v>
      </c>
      <c r="D48" s="1225"/>
      <c r="E48" s="1226"/>
      <c r="F48" s="1074"/>
      <c r="G48" s="731"/>
      <c r="H48" s="732"/>
      <c r="I48" s="1556" t="s">
        <v>1254</v>
      </c>
      <c r="J48" s="1557"/>
      <c r="K48" s="1558" t="s">
        <v>1255</v>
      </c>
      <c r="L48" s="1559">
        <f ca="1">INDIRECT("'数据-取费表'!f"&amp;$G$1)</f>
        <v>0</v>
      </c>
      <c r="O48" s="1553" t="s">
        <v>828</v>
      </c>
      <c r="P48" s="1554" t="s">
        <v>1256</v>
      </c>
      <c r="Q48" s="1555" t="e">
        <f ca="1">J60</f>
        <v>#DIV/0!</v>
      </c>
      <c r="R48" s="1555" t="s">
        <v>1257</v>
      </c>
    </row>
    <row r="49" spans="1:18" s="1519" customFormat="1" ht="13.5" thickBot="1">
      <c r="A49" s="1087" t="s">
        <v>864</v>
      </c>
      <c r="B49" s="1506" t="s">
        <v>1214</v>
      </c>
      <c r="C49" s="1227">
        <f ca="1">ROUND(F49*F51*F50*(1-F52),0)</f>
        <v>0</v>
      </c>
      <c r="D49" s="1167" t="s">
        <v>1128</v>
      </c>
      <c r="E49" s="1507" t="s">
        <v>1215</v>
      </c>
      <c r="F49" s="1172"/>
      <c r="G49" s="1560"/>
      <c r="H49" s="732"/>
      <c r="I49" s="1556" t="s">
        <v>1258</v>
      </c>
      <c r="J49" s="1561"/>
      <c r="K49" s="1558" t="s">
        <v>1259</v>
      </c>
      <c r="L49" s="1562"/>
      <c r="O49" s="1563" t="s">
        <v>829</v>
      </c>
      <c r="P49" s="1554" t="s">
        <v>1260</v>
      </c>
      <c r="Q49" s="1555">
        <f ca="1">C29</f>
        <v>0</v>
      </c>
      <c r="R49" s="1555" t="s">
        <v>1253</v>
      </c>
    </row>
    <row r="50" spans="1:18" s="1519" customFormat="1" ht="13.5" thickBot="1">
      <c r="A50" s="1088"/>
      <c r="B50" s="1091"/>
      <c r="C50" s="1092"/>
      <c r="D50" s="1065"/>
      <c r="E50" s="1168" t="s">
        <v>1130</v>
      </c>
      <c r="F50" s="1169">
        <f ca="1">F7</f>
        <v>0</v>
      </c>
      <c r="H50" s="732"/>
      <c r="I50" s="1556" t="s">
        <v>1261</v>
      </c>
      <c r="J50" s="1564">
        <f>SUMPRODUCT((I63:I65=J47)*(J62:L62=J48)*(J63:L65))</f>
        <v>0</v>
      </c>
      <c r="K50" s="1558" t="s">
        <v>1262</v>
      </c>
      <c r="L50" s="1562"/>
      <c r="M50" s="1565"/>
      <c r="O50" s="1563" t="s">
        <v>830</v>
      </c>
      <c r="P50" s="1554" t="s">
        <v>1263</v>
      </c>
      <c r="Q50" s="1566" t="e">
        <f ca="1">J58</f>
        <v>#DIV/0!</v>
      </c>
      <c r="R50" s="1555"/>
    </row>
    <row r="51" spans="1:18" s="1519" customFormat="1" ht="13.5" thickBot="1">
      <c r="A51" s="1089"/>
      <c r="B51" s="1091"/>
      <c r="C51" s="1092"/>
      <c r="D51" s="1065"/>
      <c r="E51" s="1093" t="s">
        <v>1131</v>
      </c>
      <c r="F51" s="309">
        <f ca="1">F8</f>
        <v>0</v>
      </c>
      <c r="I51" s="1567" t="s">
        <v>1264</v>
      </c>
      <c r="J51" s="1568">
        <f>IF(J49="",J50,J49+J50-YEAR('数据-取费表'!B2))</f>
        <v>0</v>
      </c>
      <c r="K51" s="1569" t="s">
        <v>1265</v>
      </c>
      <c r="L51" s="1570">
        <f ca="1">ROUND(-PV(INDIRECT("'数据-取费表'!h"&amp;$G$1),J51,(C39-C13*C76),0),0)</f>
        <v>0</v>
      </c>
      <c r="M51" s="1571"/>
      <c r="O51" s="1563" t="s">
        <v>831</v>
      </c>
      <c r="P51" s="1554" t="s">
        <v>1266</v>
      </c>
      <c r="Q51" s="1566">
        <f>J52</f>
        <v>0</v>
      </c>
      <c r="R51" s="1555"/>
    </row>
    <row r="52" spans="1:18" s="1519" customFormat="1" ht="13.5" thickBot="1">
      <c r="A52" s="1089"/>
      <c r="B52" s="1091"/>
      <c r="C52" s="1092"/>
      <c r="D52" s="1065"/>
      <c r="E52" s="1093" t="s">
        <v>1132</v>
      </c>
      <c r="F52" s="1166"/>
      <c r="I52" s="1572" t="s">
        <v>1267</v>
      </c>
      <c r="J52" s="1573"/>
      <c r="K52" s="1572" t="s">
        <v>1268</v>
      </c>
      <c r="L52" s="1573"/>
      <c r="O52" s="1563" t="s">
        <v>832</v>
      </c>
      <c r="P52" s="1554" t="s">
        <v>1269</v>
      </c>
      <c r="Q52" s="1555">
        <f ca="1">J53</f>
        <v>0</v>
      </c>
      <c r="R52" s="1555" t="s">
        <v>1270</v>
      </c>
    </row>
    <row r="53" spans="1:18" s="1519" customFormat="1" ht="30.75" customHeight="1" thickBot="1">
      <c r="A53" s="1224" t="s">
        <v>865</v>
      </c>
      <c r="B53" s="329" t="s">
        <v>1133</v>
      </c>
      <c r="C53" s="322">
        <f ca="1">ROUND(IF(F53="押一",C49/12*F11,IF(F53="押二",C49/12*2*F11,IF(F53="押三",C49/12*3*F11,C54*F11))),0)</f>
        <v>0</v>
      </c>
      <c r="D53" s="1501" t="s">
        <v>2618</v>
      </c>
      <c r="E53" s="319" t="s">
        <v>1134</v>
      </c>
      <c r="F53" s="1229"/>
      <c r="I53" s="1574" t="s">
        <v>1271</v>
      </c>
      <c r="J53" s="2337">
        <f ca="1">IF(M47="住宅",IF(D1="——",MAX(J51,L48),MAX(J51,L48-'数据-取费表'!B24)),IF(D1="——",MIN(J51,L48),MIN(J51,L48-'数据-取费表'!B24)))</f>
        <v>0</v>
      </c>
      <c r="K53" s="3424" t="s">
        <v>1272</v>
      </c>
      <c r="L53" s="3425"/>
      <c r="O53" s="1553" t="s">
        <v>833</v>
      </c>
      <c r="P53" s="1554" t="s">
        <v>1273</v>
      </c>
      <c r="Q53" s="1555" t="e">
        <f ca="1">Q47+Q48</f>
        <v>#DIV/0!</v>
      </c>
      <c r="R53" s="1555" t="s">
        <v>834</v>
      </c>
    </row>
    <row r="54" spans="1:18" s="1519" customFormat="1" ht="13.5" thickBot="1">
      <c r="A54" s="1087"/>
      <c r="B54" s="1609" t="s">
        <v>1326</v>
      </c>
      <c r="C54" s="1071"/>
      <c r="D54" s="1501"/>
      <c r="E54" s="1509"/>
      <c r="F54" s="1575"/>
      <c r="I54" s="157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7"/>
      <c r="K54" s="1577"/>
      <c r="L54" s="1577"/>
      <c r="M54" s="1560"/>
      <c r="O54" s="1538" t="s">
        <v>1274</v>
      </c>
      <c r="P54" s="1516"/>
      <c r="Q54" s="1516"/>
      <c r="R54" s="1516"/>
    </row>
    <row r="55" spans="1:18" s="1519" customFormat="1" ht="13.5" thickBot="1">
      <c r="A55" s="1196" t="s">
        <v>862</v>
      </c>
      <c r="B55" s="1504" t="s">
        <v>1137</v>
      </c>
      <c r="C55" s="1197"/>
      <c r="D55" s="1501"/>
      <c r="E55" s="1509"/>
      <c r="F55" s="1575"/>
      <c r="I55" s="1578" t="s">
        <v>1275</v>
      </c>
      <c r="J55" s="1579" t="e">
        <f ca="1">ROUND(IF(J47="钢混",J57/J50,1-(1-2%)*(J50-J57)/J50),3)</f>
        <v>#DIV/0!</v>
      </c>
      <c r="K55" s="1580" t="s">
        <v>1276</v>
      </c>
      <c r="L55" s="1581"/>
      <c r="O55" s="1546" t="s">
        <v>1246</v>
      </c>
      <c r="P55" s="1547" t="s">
        <v>1247</v>
      </c>
      <c r="Q55" s="1548" t="s">
        <v>1248</v>
      </c>
      <c r="R55" s="1548" t="s">
        <v>1249</v>
      </c>
    </row>
    <row r="56" spans="1:18" s="1519" customFormat="1" ht="36" customHeight="1" thickTop="1" thickBot="1">
      <c r="A56" s="1069">
        <v>2</v>
      </c>
      <c r="B56" s="1070" t="s">
        <v>1138</v>
      </c>
      <c r="C56" s="238">
        <f ca="1">C13</f>
        <v>0</v>
      </c>
      <c r="D56" s="1582"/>
      <c r="E56" s="1583"/>
      <c r="F56" s="1575"/>
      <c r="I56" s="1584" t="s">
        <v>1277</v>
      </c>
      <c r="J56" s="1585"/>
      <c r="K56" s="1556" t="s">
        <v>1278</v>
      </c>
      <c r="L56" s="1559">
        <f ca="1">IF(L48&lt;J51,"——",L48-J51)</f>
        <v>0</v>
      </c>
      <c r="O56" s="1553" t="s">
        <v>827</v>
      </c>
      <c r="P56" s="1554" t="s">
        <v>1252</v>
      </c>
      <c r="Q56" s="1555" t="e">
        <f ca="1">C40+J29</f>
        <v>#DIV/0!</v>
      </c>
      <c r="R56" s="1555" t="s">
        <v>1253</v>
      </c>
    </row>
    <row r="57" spans="1:18" s="1519" customFormat="1" ht="24.75" thickBot="1">
      <c r="A57" s="1586"/>
      <c r="B57" s="1062" t="s">
        <v>1202</v>
      </c>
      <c r="C57" s="244">
        <f ca="1">C29</f>
        <v>0</v>
      </c>
      <c r="D57" s="1587"/>
      <c r="E57" s="1588"/>
      <c r="F57" s="1589"/>
      <c r="I57" s="1590" t="s">
        <v>1279</v>
      </c>
      <c r="J57" s="1591">
        <f ca="1">IF(OR(M47="住宅",J51&lt;L48,J56="是"),"——",J51-L48)</f>
        <v>0</v>
      </c>
      <c r="K57" s="1556" t="s">
        <v>1328</v>
      </c>
      <c r="L57" s="1559">
        <f ca="1">IF(L48&lt;J51,"——",IF(L55="比较法",L49,IF(L55="基准地价",L50,L51)))</f>
        <v>0</v>
      </c>
      <c r="O57" s="1553" t="s">
        <v>828</v>
      </c>
      <c r="P57" s="1554" t="s">
        <v>1329</v>
      </c>
      <c r="Q57" s="1555" t="e">
        <f ca="1">L60</f>
        <v>#DIV/0!</v>
      </c>
      <c r="R57" s="1555" t="s">
        <v>1330</v>
      </c>
    </row>
    <row r="58" spans="1:18" s="1519" customFormat="1" ht="24.75" thickBot="1">
      <c r="A58" s="321" t="s">
        <v>817</v>
      </c>
      <c r="B58" s="1070" t="s">
        <v>1148</v>
      </c>
      <c r="C58" s="322">
        <f ca="1">ROUND(C59+C64+C65+C66,0)</f>
        <v>0</v>
      </c>
      <c r="D58" s="1072" t="s">
        <v>1149</v>
      </c>
      <c r="E58" s="1073"/>
      <c r="F58" s="1074"/>
      <c r="I58" s="1590" t="s">
        <v>1283</v>
      </c>
      <c r="J58" s="1592" t="e">
        <f ca="1">IF(J55&lt;0.4,0.4,J55)</f>
        <v>#DIV/0!</v>
      </c>
      <c r="K58" s="1569" t="s">
        <v>1331</v>
      </c>
      <c r="L58" s="1559" t="e">
        <f ca="1">ROUND(POWER(1+L52,L47-L48)*(POWER(1+L52,L48)-1)/(POWER(1+L52,L47)-1),4)</f>
        <v>#DIV/0!</v>
      </c>
      <c r="O58" s="1563" t="s">
        <v>829</v>
      </c>
      <c r="P58" s="1554" t="s">
        <v>1285</v>
      </c>
      <c r="Q58" s="1555">
        <f>IF(L55="比较法",L49,IF(L55="基准地价",L50,0))</f>
        <v>0</v>
      </c>
      <c r="R58" s="1555" t="s">
        <v>1253</v>
      </c>
    </row>
    <row r="59" spans="1:18" s="1519" customFormat="1" ht="24.75" thickBot="1">
      <c r="A59" s="1094" t="s">
        <v>822</v>
      </c>
      <c r="B59" s="1062" t="s">
        <v>1153</v>
      </c>
      <c r="C59" s="2485">
        <f ca="1">ROUND(IF(AND(项目基本情况!B11="自然人",项目基本情况!B10="北京市"),C49*F59/(1+'数据-取费表'!C42),C60+C61+C62),0)</f>
        <v>0</v>
      </c>
      <c r="D59" s="1075" t="s">
        <v>1154</v>
      </c>
      <c r="E59" s="1076" t="s">
        <v>1155</v>
      </c>
      <c r="F59" s="2484" t="str">
        <f>IF(项目基本情况!B11="企业","——",IF('数据-取费表'!B10="住宅",IF(F49*F50*F51/12/(1+'数据-取费表'!F30)&gt;100000,4%,2.5%),IF(F49*F50*F51/12/(1+'数据-取费表'!F30)&gt;100000,12%,7%)))</f>
        <v>——</v>
      </c>
      <c r="I59" s="1590" t="s">
        <v>1286</v>
      </c>
      <c r="J59" s="1591" t="e">
        <f ca="1">IF(OR(M47="住宅",J51&lt;L48,J56="是"),"——",ROUND(C29*J58,0))</f>
        <v>#DIV/0!</v>
      </c>
      <c r="K59" s="155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9" t="e">
        <f ca="1">ROUND(IF(D1="在建（套用方法）",M59,IF(D1="土地（套用方法）",N59,POWER(1+L52,L47-J51)*(POWER(1+L52,J51)-1)/(POWER(1+L52,L47)-1))),4)</f>
        <v>#DIV/0!</v>
      </c>
      <c r="M59" s="1516" t="e">
        <f ca="1">ROUND(POWER(1+L52,L47-(J51+'数据-取费表'!B24))*(POWER(1+L52,(J51+'数据-取费表'!B24))-1)/(POWER(1+L52,L47)-1),4)</f>
        <v>#DIV/0!</v>
      </c>
      <c r="N59" s="1516" t="e">
        <f ca="1">ROUND(POWER(1+L52,L47-(J51+'数据-取费表'!B20))*(POWER(1+L52,(J51+'数据-取费表'!B20))-1)/(POWER(1+L52,L47)-1),4)</f>
        <v>#DIV/0!</v>
      </c>
      <c r="O59" s="1563" t="s">
        <v>830</v>
      </c>
      <c r="P59" s="1554" t="s">
        <v>1287</v>
      </c>
      <c r="Q59" s="1566">
        <f>L52</f>
        <v>0</v>
      </c>
      <c r="R59" s="1555"/>
    </row>
    <row r="60" spans="1:18" s="1519" customFormat="1" ht="16.5" thickBot="1">
      <c r="A60" s="1094" t="s">
        <v>821</v>
      </c>
      <c r="B60" s="1062" t="s">
        <v>1157</v>
      </c>
      <c r="C60" s="24">
        <f ca="1">IF(项目基本情况!B11="自然人","——",ROUND(C48*F60/(1+'数据-取费表'!C42),0))</f>
        <v>0</v>
      </c>
      <c r="D60" s="1076" t="s">
        <v>1158</v>
      </c>
      <c r="E60" s="1062" t="s">
        <v>1146</v>
      </c>
      <c r="F60" s="337">
        <f t="shared" ref="F60:F66" si="0">F32</f>
        <v>5.6000000000000001E-2</v>
      </c>
      <c r="I60" s="1593" t="s">
        <v>1288</v>
      </c>
      <c r="J60" s="1594" t="e">
        <f ca="1">IF(OR(M47="住宅",J51&lt;L48,J56="是"),"0",ROUND(J59/(1+J52)^J53,0))</f>
        <v>#DIV/0!</v>
      </c>
      <c r="K60" s="1595" t="s">
        <v>1289</v>
      </c>
      <c r="L60" s="1594" t="e">
        <f ca="1">IF(OR(M47="住宅",L48&lt;J51),0,ROUND(L57*(L58/L59-1),0))</f>
        <v>#DIV/0!</v>
      </c>
      <c r="O60" s="1563" t="s">
        <v>831</v>
      </c>
      <c r="P60" s="1554" t="s">
        <v>1290</v>
      </c>
      <c r="Q60" s="1555" t="e">
        <f ca="1">L58</f>
        <v>#DIV/0!</v>
      </c>
      <c r="R60" s="1555" t="s">
        <v>1291</v>
      </c>
    </row>
    <row r="61" spans="1:18" s="1519" customFormat="1" ht="13.5" thickBot="1">
      <c r="A61" s="1094" t="s">
        <v>1216</v>
      </c>
      <c r="B61" s="1062" t="s">
        <v>1217</v>
      </c>
      <c r="C61" s="24">
        <f ca="1">IF(项目基本情况!B11="自然人","——",IF(D61="按租金收入计税",ROUND(C49*F61/(1+'数据-取费表'!C42),0),IF(D61="按房产原值计税",ROUND(C57*F61*0.7,0),INDIRECT("'数据-取费表'!Aj"&amp;$G$1))))</f>
        <v>0</v>
      </c>
      <c r="D61" s="1505" t="s">
        <v>1162</v>
      </c>
      <c r="E61" s="1062" t="s">
        <v>1218</v>
      </c>
      <c r="F61" s="328">
        <f t="shared" si="0"/>
        <v>1.2E-2</v>
      </c>
      <c r="I61" s="1596"/>
      <c r="J61" s="1596"/>
      <c r="K61" s="1596"/>
      <c r="L61" s="1596"/>
      <c r="O61" s="1563" t="s">
        <v>832</v>
      </c>
      <c r="P61" s="1554" t="str">
        <f>K59</f>
        <v>建设期及建筑物耐用年限下的土地年期修正系数Kn</v>
      </c>
      <c r="Q61" s="1555" t="e">
        <f ca="1">L59</f>
        <v>#DIV/0!</v>
      </c>
      <c r="R61" s="1555" t="s">
        <v>1292</v>
      </c>
    </row>
    <row r="62" spans="1:18" s="1519" customFormat="1" ht="13.5" thickBot="1">
      <c r="A62" s="1094" t="s">
        <v>1219</v>
      </c>
      <c r="B62" s="1061" t="s">
        <v>1220</v>
      </c>
      <c r="C62" s="25">
        <f ca="1">IF(项目基本情况!B11="自然人","——",ROUND(F62*F63,0))</f>
        <v>0</v>
      </c>
      <c r="D62" s="1077" t="s">
        <v>1221</v>
      </c>
      <c r="E62" s="1062" t="s">
        <v>1222</v>
      </c>
      <c r="F62" s="331">
        <f t="shared" si="0"/>
        <v>12</v>
      </c>
      <c r="I62" s="1597" t="s">
        <v>1293</v>
      </c>
      <c r="J62" s="1598" t="s">
        <v>1294</v>
      </c>
      <c r="K62" s="1598" t="s">
        <v>1295</v>
      </c>
      <c r="L62" s="1598" t="s">
        <v>1296</v>
      </c>
      <c r="M62" s="1599" t="s">
        <v>1297</v>
      </c>
      <c r="O62" s="1553" t="s">
        <v>833</v>
      </c>
      <c r="P62" s="1554" t="s">
        <v>1298</v>
      </c>
      <c r="Q62" s="1555" t="e">
        <f ca="1">Q56+Q57</f>
        <v>#DIV/0!</v>
      </c>
      <c r="R62" s="1555" t="s">
        <v>834</v>
      </c>
    </row>
    <row r="63" spans="1:18" s="1519" customFormat="1" ht="13.5" thickBot="1">
      <c r="A63" s="332"/>
      <c r="B63" s="1068"/>
      <c r="C63" s="29"/>
      <c r="D63" s="1078"/>
      <c r="E63" s="1062" t="s">
        <v>1223</v>
      </c>
      <c r="F63" s="309">
        <f t="shared" ca="1" si="0"/>
        <v>0</v>
      </c>
      <c r="I63" s="1597" t="s">
        <v>1299</v>
      </c>
      <c r="J63" s="1598">
        <v>70</v>
      </c>
      <c r="K63" s="1598">
        <v>50</v>
      </c>
      <c r="L63" s="1598">
        <v>80</v>
      </c>
      <c r="M63" s="1600">
        <v>0.02</v>
      </c>
      <c r="O63" s="1538" t="s">
        <v>1300</v>
      </c>
      <c r="P63" s="1516"/>
      <c r="Q63" s="1516"/>
      <c r="R63" s="1516"/>
    </row>
    <row r="64" spans="1:18" s="1519" customFormat="1" ht="13.5" thickBot="1">
      <c r="A64" s="1094" t="s">
        <v>1224</v>
      </c>
      <c r="B64" s="1062" t="s">
        <v>1225</v>
      </c>
      <c r="C64" s="24">
        <f ca="1">ROUND(C57*F64,0)</f>
        <v>0</v>
      </c>
      <c r="D64" s="1076" t="s">
        <v>1226</v>
      </c>
      <c r="E64" s="1062" t="s">
        <v>1218</v>
      </c>
      <c r="F64" s="334">
        <f t="shared" ca="1" si="0"/>
        <v>0</v>
      </c>
      <c r="I64" s="1597" t="s">
        <v>1301</v>
      </c>
      <c r="J64" s="1598">
        <v>50</v>
      </c>
      <c r="K64" s="1598">
        <v>35</v>
      </c>
      <c r="L64" s="1598">
        <v>60</v>
      </c>
      <c r="M64" s="1599">
        <v>0</v>
      </c>
      <c r="O64" s="1546" t="s">
        <v>1246</v>
      </c>
      <c r="P64" s="1547" t="s">
        <v>1247</v>
      </c>
      <c r="Q64" s="1548" t="s">
        <v>1248</v>
      </c>
      <c r="R64" s="1548" t="s">
        <v>1249</v>
      </c>
    </row>
    <row r="65" spans="1:18" s="1519" customFormat="1" ht="13.5" thickBot="1">
      <c r="A65" s="1094" t="s">
        <v>1227</v>
      </c>
      <c r="B65" s="1062" t="s">
        <v>1177</v>
      </c>
      <c r="C65" s="24">
        <f ca="1">ROUND(C56*F65,0)</f>
        <v>0</v>
      </c>
      <c r="D65" s="1076" t="s">
        <v>1178</v>
      </c>
      <c r="E65" s="1062" t="s">
        <v>1179</v>
      </c>
      <c r="F65" s="336">
        <f t="shared" ca="1" si="0"/>
        <v>0</v>
      </c>
      <c r="I65" s="1597" t="s">
        <v>1302</v>
      </c>
      <c r="J65" s="1598">
        <v>40</v>
      </c>
      <c r="K65" s="1598">
        <v>30</v>
      </c>
      <c r="L65" s="1598">
        <v>50</v>
      </c>
      <c r="M65" s="1600">
        <v>0.02</v>
      </c>
      <c r="O65" s="1553" t="s">
        <v>827</v>
      </c>
      <c r="P65" s="1554" t="s">
        <v>1303</v>
      </c>
      <c r="Q65" s="1555" t="e">
        <f ca="1">C40+J29</f>
        <v>#DIV/0!</v>
      </c>
      <c r="R65" s="1555" t="s">
        <v>1253</v>
      </c>
    </row>
    <row r="66" spans="1:18" s="1519" customFormat="1" ht="16.5" thickBot="1">
      <c r="A66" s="1094" t="s">
        <v>1228</v>
      </c>
      <c r="B66" s="1062" t="s">
        <v>1163</v>
      </c>
      <c r="C66" s="24">
        <f ca="1">ROUND(C48*F66,0)</f>
        <v>0</v>
      </c>
      <c r="D66" s="1076" t="s">
        <v>1229</v>
      </c>
      <c r="E66" s="1062" t="s">
        <v>1146</v>
      </c>
      <c r="F66" s="318">
        <f t="shared" ca="1" si="0"/>
        <v>0</v>
      </c>
      <c r="O66" s="1553" t="s">
        <v>828</v>
      </c>
      <c r="P66" s="1554" t="s">
        <v>1281</v>
      </c>
      <c r="Q66" s="1555" t="e">
        <f ca="1">L60</f>
        <v>#DIV/0!</v>
      </c>
      <c r="R66" s="1555" t="s">
        <v>1304</v>
      </c>
    </row>
    <row r="67" spans="1:18" s="1519" customFormat="1" ht="16.5" thickBot="1">
      <c r="A67" s="1069" t="s">
        <v>818</v>
      </c>
      <c r="B67" s="1079" t="s">
        <v>1187</v>
      </c>
      <c r="C67" s="322">
        <f ca="1">C48-C58</f>
        <v>0</v>
      </c>
      <c r="D67" s="1075" t="s">
        <v>1188</v>
      </c>
      <c r="E67" s="1080"/>
      <c r="F67" s="1081"/>
      <c r="O67" s="1563" t="s">
        <v>829</v>
      </c>
      <c r="P67" s="1554" t="s">
        <v>1285</v>
      </c>
      <c r="Q67" s="1601">
        <f ca="1">L51</f>
        <v>0</v>
      </c>
      <c r="R67" s="1555" t="s">
        <v>1305</v>
      </c>
    </row>
    <row r="68" spans="1:18" s="1519" customFormat="1" ht="16.5" thickBot="1">
      <c r="A68" s="1059" t="s">
        <v>819</v>
      </c>
      <c r="B68" s="1060" t="s">
        <v>1209</v>
      </c>
      <c r="C68" s="307" t="e">
        <f ca="1">ROUND(C67*(1-((1+F70)/(1+F68))^F69)/(F68-F70),0)</f>
        <v>#DIV/0!</v>
      </c>
      <c r="D68" s="1077" t="s">
        <v>1193</v>
      </c>
      <c r="E68" s="1062" t="s">
        <v>1194</v>
      </c>
      <c r="F68" s="318">
        <f ca="1">F40</f>
        <v>0</v>
      </c>
      <c r="O68" s="1563" t="s">
        <v>830</v>
      </c>
      <c r="P68" s="1602" t="s">
        <v>1306</v>
      </c>
      <c r="Q68" s="1555">
        <f ca="1">ROUND(Q69-Q70*Q71,0)</f>
        <v>0</v>
      </c>
      <c r="R68" s="1555" t="s">
        <v>838</v>
      </c>
    </row>
    <row r="69" spans="1:18" s="1519" customFormat="1" ht="13.5" thickBot="1">
      <c r="A69" s="1063"/>
      <c r="B69" s="1064"/>
      <c r="C69" s="312"/>
      <c r="D69" s="1082" t="s">
        <v>1197</v>
      </c>
      <c r="E69" s="1062" t="s">
        <v>1198</v>
      </c>
      <c r="F69" s="339">
        <f ca="1">F41</f>
        <v>0</v>
      </c>
      <c r="O69" s="1563" t="s">
        <v>835</v>
      </c>
      <c r="P69" s="1602" t="s">
        <v>1307</v>
      </c>
      <c r="Q69" s="1555">
        <f ca="1">C39</f>
        <v>0</v>
      </c>
      <c r="R69" s="1555" t="s">
        <v>1253</v>
      </c>
    </row>
    <row r="70" spans="1:18" s="1519" customFormat="1" ht="13.5" thickBot="1">
      <c r="A70" s="1066"/>
      <c r="B70" s="1067"/>
      <c r="C70" s="316"/>
      <c r="D70" s="1078"/>
      <c r="E70" s="1062" t="s">
        <v>1201</v>
      </c>
      <c r="F70" s="1166">
        <f ca="1">F42</f>
        <v>0</v>
      </c>
      <c r="O70" s="1563" t="s">
        <v>836</v>
      </c>
      <c r="P70" s="1602" t="s">
        <v>1308</v>
      </c>
      <c r="Q70" s="1555">
        <f ca="1">C13</f>
        <v>0</v>
      </c>
      <c r="R70" s="1555" t="s">
        <v>1253</v>
      </c>
    </row>
    <row r="71" spans="1:18" s="1519" customFormat="1" ht="13.5" thickBot="1">
      <c r="A71" s="1083" t="s">
        <v>820</v>
      </c>
      <c r="B71" s="1084" t="s">
        <v>1211</v>
      </c>
      <c r="C71" s="342" t="e">
        <f ca="1">ROUND(C68/F71,0)</f>
        <v>#DIV/0!</v>
      </c>
      <c r="D71" s="1085" t="s">
        <v>1212</v>
      </c>
      <c r="E71" s="1086" t="s">
        <v>1213</v>
      </c>
      <c r="F71" s="345">
        <f ca="1">F43</f>
        <v>0</v>
      </c>
      <c r="O71" s="1563" t="s">
        <v>837</v>
      </c>
      <c r="P71" s="1602" t="s">
        <v>1309</v>
      </c>
      <c r="Q71" s="1566">
        <f ca="1">C76</f>
        <v>0</v>
      </c>
      <c r="R71" s="1555"/>
    </row>
    <row r="72" spans="1:18" s="1519" customFormat="1" ht="13.5" thickBot="1">
      <c r="B72" s="735"/>
      <c r="C72" s="735"/>
      <c r="O72" s="1563" t="s">
        <v>831</v>
      </c>
      <c r="P72" s="1554" t="s">
        <v>1287</v>
      </c>
      <c r="Q72" s="1566">
        <f>L52</f>
        <v>0</v>
      </c>
      <c r="R72" s="1555"/>
    </row>
    <row r="73" spans="1:18" ht="16.5" thickBot="1">
      <c r="A73" s="1519"/>
      <c r="B73" s="735"/>
      <c r="C73" s="735"/>
      <c r="D73" s="1519"/>
      <c r="E73" s="1519"/>
      <c r="F73" s="1519"/>
      <c r="O73" s="1563" t="s">
        <v>832</v>
      </c>
      <c r="P73" s="1554" t="s">
        <v>1290</v>
      </c>
      <c r="Q73" s="1555" t="e">
        <f ca="1">L58</f>
        <v>#DIV/0!</v>
      </c>
      <c r="R73" s="1555" t="s">
        <v>1291</v>
      </c>
    </row>
    <row r="74" spans="1:18" ht="13.5" thickBot="1">
      <c r="A74" s="1519"/>
      <c r="B74" s="279" t="s">
        <v>1310</v>
      </c>
      <c r="C74" s="1604"/>
      <c r="D74" s="1519"/>
      <c r="E74" s="1519"/>
      <c r="F74" s="1519"/>
      <c r="O74" s="1563" t="s">
        <v>839</v>
      </c>
      <c r="P74" s="1554" t="str">
        <f>K59</f>
        <v>建设期及建筑物耐用年限下的土地年期修正系数Kn</v>
      </c>
      <c r="Q74" s="1555" t="e">
        <f ca="1">L59</f>
        <v>#DIV/0!</v>
      </c>
      <c r="R74" s="1555" t="s">
        <v>1292</v>
      </c>
    </row>
    <row r="75" spans="1:18" ht="13.5" thickBot="1">
      <c r="A75" s="1519"/>
      <c r="B75" s="346" t="s">
        <v>1230</v>
      </c>
      <c r="C75" s="347">
        <f ca="1">ROUND(C13*C76,0)</f>
        <v>0</v>
      </c>
      <c r="D75" s="1519"/>
      <c r="E75" s="1519"/>
      <c r="F75" s="1519"/>
      <c r="K75" s="1537"/>
      <c r="L75" s="1519"/>
      <c r="O75" s="1553" t="s">
        <v>833</v>
      </c>
      <c r="P75" s="1554" t="s">
        <v>1273</v>
      </c>
      <c r="Q75" s="1555" t="e">
        <f ca="1">Q65+Q66</f>
        <v>#DIV/0!</v>
      </c>
      <c r="R75" s="1555" t="s">
        <v>834</v>
      </c>
    </row>
    <row r="76" spans="1:18">
      <c r="B76" s="348" t="s">
        <v>1231</v>
      </c>
      <c r="C76" s="349">
        <f ca="1">INDIRECT("'数据-取费表'!j"&amp;$G$1)</f>
        <v>0</v>
      </c>
      <c r="I76" s="1519"/>
      <c r="J76" s="1519"/>
      <c r="K76" s="1537"/>
      <c r="L76" s="1519"/>
    </row>
    <row r="77" spans="1:18">
      <c r="B77" s="350" t="s">
        <v>1232</v>
      </c>
      <c r="C77" s="351"/>
      <c r="I77" s="1519"/>
      <c r="J77" s="1519"/>
      <c r="K77" s="1537"/>
      <c r="L77" s="1519"/>
    </row>
    <row r="78" spans="1:18">
      <c r="B78" s="276" t="s">
        <v>1233</v>
      </c>
      <c r="C78" s="352"/>
    </row>
    <row r="79" spans="1:18">
      <c r="B79" s="346" t="s">
        <v>1234</v>
      </c>
      <c r="C79" s="280" t="e">
        <f ca="1">1-C80</f>
        <v>#DIV/0!</v>
      </c>
    </row>
    <row r="80" spans="1:18">
      <c r="B80" s="346" t="s">
        <v>1235</v>
      </c>
      <c r="C80" s="280" t="e">
        <f ca="1">ROUND(C75/C39,3)</f>
        <v>#DIV/0!</v>
      </c>
    </row>
    <row r="81" spans="2:3">
      <c r="B81" s="276" t="s">
        <v>1236</v>
      </c>
      <c r="C81" s="244"/>
    </row>
    <row r="82" spans="2:3">
      <c r="B82" s="279" t="s">
        <v>1237</v>
      </c>
      <c r="C82" s="281" t="e">
        <f ca="1">1-C83</f>
        <v>#DIV/0!</v>
      </c>
    </row>
    <row r="83" spans="2:3">
      <c r="B83" s="279" t="s">
        <v>1238</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H5" sqref="H5"/>
    </sheetView>
  </sheetViews>
  <sheetFormatPr defaultRowHeight="13.15" customHeight="1"/>
  <cols>
    <col min="1" max="1" width="9.5" style="3023" customWidth="1"/>
    <col min="2" max="2" width="8.875" style="3023"/>
    <col min="3" max="5" width="12.875" style="3023" customWidth="1"/>
    <col min="6" max="6" width="47.5" style="3023" customWidth="1"/>
    <col min="7" max="7" width="13" style="3182" customWidth="1"/>
    <col min="8" max="8" width="8.875" style="3017"/>
    <col min="9" max="9" width="8.875" style="3018"/>
    <col min="10" max="10" width="5.75" style="3183" customWidth="1"/>
    <col min="11" max="11" width="11.75" style="3183" customWidth="1"/>
    <col min="12" max="13" width="10.75" style="3183" customWidth="1"/>
    <col min="14" max="14" width="10" style="3183" customWidth="1"/>
    <col min="15" max="16" width="10.5" style="3183" bestFit="1" customWidth="1"/>
    <col min="17" max="17" width="10" style="3183" customWidth="1"/>
    <col min="18" max="18" width="10.125" style="3183" customWidth="1"/>
    <col min="19" max="19" width="10" style="3183" customWidth="1"/>
    <col min="20" max="20" width="26.125" style="3183" customWidth="1"/>
    <col min="21" max="21" width="8.875" style="3183"/>
    <col min="22" max="22" width="8.875" style="3018"/>
    <col min="23" max="256" width="8.875" style="3023"/>
    <col min="257" max="257" width="9.5" style="3023" customWidth="1"/>
    <col min="258" max="258" width="8.875" style="3023"/>
    <col min="259" max="261" width="12.875" style="3023" customWidth="1"/>
    <col min="262" max="262" width="47.5" style="3023" customWidth="1"/>
    <col min="263" max="263" width="13" style="3023" customWidth="1"/>
    <col min="264" max="265" width="8.875" style="3023"/>
    <col min="266" max="266" width="5.75" style="3023" customWidth="1"/>
    <col min="267" max="267" width="11.75" style="3023" customWidth="1"/>
    <col min="268" max="269" width="10.75" style="3023" customWidth="1"/>
    <col min="270" max="270" width="10" style="3023" customWidth="1"/>
    <col min="271" max="272" width="10.5" style="3023" bestFit="1" customWidth="1"/>
    <col min="273" max="273" width="10" style="3023" customWidth="1"/>
    <col min="274" max="274" width="10.125" style="3023" customWidth="1"/>
    <col min="275" max="275" width="10" style="3023" customWidth="1"/>
    <col min="276" max="276" width="26.125" style="3023" customWidth="1"/>
    <col min="277" max="512" width="8.875" style="3023"/>
    <col min="513" max="513" width="9.5" style="3023" customWidth="1"/>
    <col min="514" max="514" width="8.875" style="3023"/>
    <col min="515" max="517" width="12.875" style="3023" customWidth="1"/>
    <col min="518" max="518" width="47.5" style="3023" customWidth="1"/>
    <col min="519" max="519" width="13" style="3023" customWidth="1"/>
    <col min="520" max="521" width="8.875" style="3023"/>
    <col min="522" max="522" width="5.75" style="3023" customWidth="1"/>
    <col min="523" max="523" width="11.75" style="3023" customWidth="1"/>
    <col min="524" max="525" width="10.75" style="3023" customWidth="1"/>
    <col min="526" max="526" width="10" style="3023" customWidth="1"/>
    <col min="527" max="528" width="10.5" style="3023" bestFit="1" customWidth="1"/>
    <col min="529" max="529" width="10" style="3023" customWidth="1"/>
    <col min="530" max="530" width="10.125" style="3023" customWidth="1"/>
    <col min="531" max="531" width="10" style="3023" customWidth="1"/>
    <col min="532" max="532" width="26.125" style="3023" customWidth="1"/>
    <col min="533" max="768" width="8.875" style="3023"/>
    <col min="769" max="769" width="9.5" style="3023" customWidth="1"/>
    <col min="770" max="770" width="8.875" style="3023"/>
    <col min="771" max="773" width="12.875" style="3023" customWidth="1"/>
    <col min="774" max="774" width="47.5" style="3023" customWidth="1"/>
    <col min="775" max="775" width="13" style="3023" customWidth="1"/>
    <col min="776" max="777" width="8.875" style="3023"/>
    <col min="778" max="778" width="5.75" style="3023" customWidth="1"/>
    <col min="779" max="779" width="11.75" style="3023" customWidth="1"/>
    <col min="780" max="781" width="10.75" style="3023" customWidth="1"/>
    <col min="782" max="782" width="10" style="3023" customWidth="1"/>
    <col min="783" max="784" width="10.5" style="3023" bestFit="1" customWidth="1"/>
    <col min="785" max="785" width="10" style="3023" customWidth="1"/>
    <col min="786" max="786" width="10.125" style="3023" customWidth="1"/>
    <col min="787" max="787" width="10" style="3023" customWidth="1"/>
    <col min="788" max="788" width="26.125" style="3023" customWidth="1"/>
    <col min="789" max="1024" width="8.875" style="3023"/>
    <col min="1025" max="1025" width="9.5" style="3023" customWidth="1"/>
    <col min="1026" max="1026" width="8.875" style="3023"/>
    <col min="1027" max="1029" width="12.875" style="3023" customWidth="1"/>
    <col min="1030" max="1030" width="47.5" style="3023" customWidth="1"/>
    <col min="1031" max="1031" width="13" style="3023" customWidth="1"/>
    <col min="1032" max="1033" width="8.875" style="3023"/>
    <col min="1034" max="1034" width="5.75" style="3023" customWidth="1"/>
    <col min="1035" max="1035" width="11.75" style="3023" customWidth="1"/>
    <col min="1036" max="1037" width="10.75" style="3023" customWidth="1"/>
    <col min="1038" max="1038" width="10" style="3023" customWidth="1"/>
    <col min="1039" max="1040" width="10.5" style="3023" bestFit="1" customWidth="1"/>
    <col min="1041" max="1041" width="10" style="3023" customWidth="1"/>
    <col min="1042" max="1042" width="10.125" style="3023" customWidth="1"/>
    <col min="1043" max="1043" width="10" style="3023" customWidth="1"/>
    <col min="1044" max="1044" width="26.125" style="3023" customWidth="1"/>
    <col min="1045" max="1280" width="8.875" style="3023"/>
    <col min="1281" max="1281" width="9.5" style="3023" customWidth="1"/>
    <col min="1282" max="1282" width="8.875" style="3023"/>
    <col min="1283" max="1285" width="12.875" style="3023" customWidth="1"/>
    <col min="1286" max="1286" width="47.5" style="3023" customWidth="1"/>
    <col min="1287" max="1287" width="13" style="3023" customWidth="1"/>
    <col min="1288" max="1289" width="8.875" style="3023"/>
    <col min="1290" max="1290" width="5.75" style="3023" customWidth="1"/>
    <col min="1291" max="1291" width="11.75" style="3023" customWidth="1"/>
    <col min="1292" max="1293" width="10.75" style="3023" customWidth="1"/>
    <col min="1294" max="1294" width="10" style="3023" customWidth="1"/>
    <col min="1295" max="1296" width="10.5" style="3023" bestFit="1" customWidth="1"/>
    <col min="1297" max="1297" width="10" style="3023" customWidth="1"/>
    <col min="1298" max="1298" width="10.125" style="3023" customWidth="1"/>
    <col min="1299" max="1299" width="10" style="3023" customWidth="1"/>
    <col min="1300" max="1300" width="26.125" style="3023" customWidth="1"/>
    <col min="1301" max="1536" width="8.875" style="3023"/>
    <col min="1537" max="1537" width="9.5" style="3023" customWidth="1"/>
    <col min="1538" max="1538" width="8.875" style="3023"/>
    <col min="1539" max="1541" width="12.875" style="3023" customWidth="1"/>
    <col min="1542" max="1542" width="47.5" style="3023" customWidth="1"/>
    <col min="1543" max="1543" width="13" style="3023" customWidth="1"/>
    <col min="1544" max="1545" width="8.875" style="3023"/>
    <col min="1546" max="1546" width="5.75" style="3023" customWidth="1"/>
    <col min="1547" max="1547" width="11.75" style="3023" customWidth="1"/>
    <col min="1548" max="1549" width="10.75" style="3023" customWidth="1"/>
    <col min="1550" max="1550" width="10" style="3023" customWidth="1"/>
    <col min="1551" max="1552" width="10.5" style="3023" bestFit="1" customWidth="1"/>
    <col min="1553" max="1553" width="10" style="3023" customWidth="1"/>
    <col min="1554" max="1554" width="10.125" style="3023" customWidth="1"/>
    <col min="1555" max="1555" width="10" style="3023" customWidth="1"/>
    <col min="1556" max="1556" width="26.125" style="3023" customWidth="1"/>
    <col min="1557" max="1792" width="8.875" style="3023"/>
    <col min="1793" max="1793" width="9.5" style="3023" customWidth="1"/>
    <col min="1794" max="1794" width="8.875" style="3023"/>
    <col min="1795" max="1797" width="12.875" style="3023" customWidth="1"/>
    <col min="1798" max="1798" width="47.5" style="3023" customWidth="1"/>
    <col min="1799" max="1799" width="13" style="3023" customWidth="1"/>
    <col min="1800" max="1801" width="8.875" style="3023"/>
    <col min="1802" max="1802" width="5.75" style="3023" customWidth="1"/>
    <col min="1803" max="1803" width="11.75" style="3023" customWidth="1"/>
    <col min="1804" max="1805" width="10.75" style="3023" customWidth="1"/>
    <col min="1806" max="1806" width="10" style="3023" customWidth="1"/>
    <col min="1807" max="1808" width="10.5" style="3023" bestFit="1" customWidth="1"/>
    <col min="1809" max="1809" width="10" style="3023" customWidth="1"/>
    <col min="1810" max="1810" width="10.125" style="3023" customWidth="1"/>
    <col min="1811" max="1811" width="10" style="3023" customWidth="1"/>
    <col min="1812" max="1812" width="26.125" style="3023" customWidth="1"/>
    <col min="1813" max="2048" width="8.875" style="3023"/>
    <col min="2049" max="2049" width="9.5" style="3023" customWidth="1"/>
    <col min="2050" max="2050" width="8.875" style="3023"/>
    <col min="2051" max="2053" width="12.875" style="3023" customWidth="1"/>
    <col min="2054" max="2054" width="47.5" style="3023" customWidth="1"/>
    <col min="2055" max="2055" width="13" style="3023" customWidth="1"/>
    <col min="2056" max="2057" width="8.875" style="3023"/>
    <col min="2058" max="2058" width="5.75" style="3023" customWidth="1"/>
    <col min="2059" max="2059" width="11.75" style="3023" customWidth="1"/>
    <col min="2060" max="2061" width="10.75" style="3023" customWidth="1"/>
    <col min="2062" max="2062" width="10" style="3023" customWidth="1"/>
    <col min="2063" max="2064" width="10.5" style="3023" bestFit="1" customWidth="1"/>
    <col min="2065" max="2065" width="10" style="3023" customWidth="1"/>
    <col min="2066" max="2066" width="10.125" style="3023" customWidth="1"/>
    <col min="2067" max="2067" width="10" style="3023" customWidth="1"/>
    <col min="2068" max="2068" width="26.125" style="3023" customWidth="1"/>
    <col min="2069" max="2304" width="8.875" style="3023"/>
    <col min="2305" max="2305" width="9.5" style="3023" customWidth="1"/>
    <col min="2306" max="2306" width="8.875" style="3023"/>
    <col min="2307" max="2309" width="12.875" style="3023" customWidth="1"/>
    <col min="2310" max="2310" width="47.5" style="3023" customWidth="1"/>
    <col min="2311" max="2311" width="13" style="3023" customWidth="1"/>
    <col min="2312" max="2313" width="8.875" style="3023"/>
    <col min="2314" max="2314" width="5.75" style="3023" customWidth="1"/>
    <col min="2315" max="2315" width="11.75" style="3023" customWidth="1"/>
    <col min="2316" max="2317" width="10.75" style="3023" customWidth="1"/>
    <col min="2318" max="2318" width="10" style="3023" customWidth="1"/>
    <col min="2319" max="2320" width="10.5" style="3023" bestFit="1" customWidth="1"/>
    <col min="2321" max="2321" width="10" style="3023" customWidth="1"/>
    <col min="2322" max="2322" width="10.125" style="3023" customWidth="1"/>
    <col min="2323" max="2323" width="10" style="3023" customWidth="1"/>
    <col min="2324" max="2324" width="26.125" style="3023" customWidth="1"/>
    <col min="2325" max="2560" width="8.875" style="3023"/>
    <col min="2561" max="2561" width="9.5" style="3023" customWidth="1"/>
    <col min="2562" max="2562" width="8.875" style="3023"/>
    <col min="2563" max="2565" width="12.875" style="3023" customWidth="1"/>
    <col min="2566" max="2566" width="47.5" style="3023" customWidth="1"/>
    <col min="2567" max="2567" width="13" style="3023" customWidth="1"/>
    <col min="2568" max="2569" width="8.875" style="3023"/>
    <col min="2570" max="2570" width="5.75" style="3023" customWidth="1"/>
    <col min="2571" max="2571" width="11.75" style="3023" customWidth="1"/>
    <col min="2572" max="2573" width="10.75" style="3023" customWidth="1"/>
    <col min="2574" max="2574" width="10" style="3023" customWidth="1"/>
    <col min="2575" max="2576" width="10.5" style="3023" bestFit="1" customWidth="1"/>
    <col min="2577" max="2577" width="10" style="3023" customWidth="1"/>
    <col min="2578" max="2578" width="10.125" style="3023" customWidth="1"/>
    <col min="2579" max="2579" width="10" style="3023" customWidth="1"/>
    <col min="2580" max="2580" width="26.125" style="3023" customWidth="1"/>
    <col min="2581" max="2816" width="8.875" style="3023"/>
    <col min="2817" max="2817" width="9.5" style="3023" customWidth="1"/>
    <col min="2818" max="2818" width="8.875" style="3023"/>
    <col min="2819" max="2821" width="12.875" style="3023" customWidth="1"/>
    <col min="2822" max="2822" width="47.5" style="3023" customWidth="1"/>
    <col min="2823" max="2823" width="13" style="3023" customWidth="1"/>
    <col min="2824" max="2825" width="8.875" style="3023"/>
    <col min="2826" max="2826" width="5.75" style="3023" customWidth="1"/>
    <col min="2827" max="2827" width="11.75" style="3023" customWidth="1"/>
    <col min="2828" max="2829" width="10.75" style="3023" customWidth="1"/>
    <col min="2830" max="2830" width="10" style="3023" customWidth="1"/>
    <col min="2831" max="2832" width="10.5" style="3023" bestFit="1" customWidth="1"/>
    <col min="2833" max="2833" width="10" style="3023" customWidth="1"/>
    <col min="2834" max="2834" width="10.125" style="3023" customWidth="1"/>
    <col min="2835" max="2835" width="10" style="3023" customWidth="1"/>
    <col min="2836" max="2836" width="26.125" style="3023" customWidth="1"/>
    <col min="2837" max="3072" width="8.875" style="3023"/>
    <col min="3073" max="3073" width="9.5" style="3023" customWidth="1"/>
    <col min="3074" max="3074" width="8.875" style="3023"/>
    <col min="3075" max="3077" width="12.875" style="3023" customWidth="1"/>
    <col min="3078" max="3078" width="47.5" style="3023" customWidth="1"/>
    <col min="3079" max="3079" width="13" style="3023" customWidth="1"/>
    <col min="3080" max="3081" width="8.875" style="3023"/>
    <col min="3082" max="3082" width="5.75" style="3023" customWidth="1"/>
    <col min="3083" max="3083" width="11.75" style="3023" customWidth="1"/>
    <col min="3084" max="3085" width="10.75" style="3023" customWidth="1"/>
    <col min="3086" max="3086" width="10" style="3023" customWidth="1"/>
    <col min="3087" max="3088" width="10.5" style="3023" bestFit="1" customWidth="1"/>
    <col min="3089" max="3089" width="10" style="3023" customWidth="1"/>
    <col min="3090" max="3090" width="10.125" style="3023" customWidth="1"/>
    <col min="3091" max="3091" width="10" style="3023" customWidth="1"/>
    <col min="3092" max="3092" width="26.125" style="3023" customWidth="1"/>
    <col min="3093" max="3328" width="8.875" style="3023"/>
    <col min="3329" max="3329" width="9.5" style="3023" customWidth="1"/>
    <col min="3330" max="3330" width="8.875" style="3023"/>
    <col min="3331" max="3333" width="12.875" style="3023" customWidth="1"/>
    <col min="3334" max="3334" width="47.5" style="3023" customWidth="1"/>
    <col min="3335" max="3335" width="13" style="3023" customWidth="1"/>
    <col min="3336" max="3337" width="8.875" style="3023"/>
    <col min="3338" max="3338" width="5.75" style="3023" customWidth="1"/>
    <col min="3339" max="3339" width="11.75" style="3023" customWidth="1"/>
    <col min="3340" max="3341" width="10.75" style="3023" customWidth="1"/>
    <col min="3342" max="3342" width="10" style="3023" customWidth="1"/>
    <col min="3343" max="3344" width="10.5" style="3023" bestFit="1" customWidth="1"/>
    <col min="3345" max="3345" width="10" style="3023" customWidth="1"/>
    <col min="3346" max="3346" width="10.125" style="3023" customWidth="1"/>
    <col min="3347" max="3347" width="10" style="3023" customWidth="1"/>
    <col min="3348" max="3348" width="26.125" style="3023" customWidth="1"/>
    <col min="3349" max="3584" width="8.875" style="3023"/>
    <col min="3585" max="3585" width="9.5" style="3023" customWidth="1"/>
    <col min="3586" max="3586" width="8.875" style="3023"/>
    <col min="3587" max="3589" width="12.875" style="3023" customWidth="1"/>
    <col min="3590" max="3590" width="47.5" style="3023" customWidth="1"/>
    <col min="3591" max="3591" width="13" style="3023" customWidth="1"/>
    <col min="3592" max="3593" width="8.875" style="3023"/>
    <col min="3594" max="3594" width="5.75" style="3023" customWidth="1"/>
    <col min="3595" max="3595" width="11.75" style="3023" customWidth="1"/>
    <col min="3596" max="3597" width="10.75" style="3023" customWidth="1"/>
    <col min="3598" max="3598" width="10" style="3023" customWidth="1"/>
    <col min="3599" max="3600" width="10.5" style="3023" bestFit="1" customWidth="1"/>
    <col min="3601" max="3601" width="10" style="3023" customWidth="1"/>
    <col min="3602" max="3602" width="10.125" style="3023" customWidth="1"/>
    <col min="3603" max="3603" width="10" style="3023" customWidth="1"/>
    <col min="3604" max="3604" width="26.125" style="3023" customWidth="1"/>
    <col min="3605" max="3840" width="8.875" style="3023"/>
    <col min="3841" max="3841" width="9.5" style="3023" customWidth="1"/>
    <col min="3842" max="3842" width="8.875" style="3023"/>
    <col min="3843" max="3845" width="12.875" style="3023" customWidth="1"/>
    <col min="3846" max="3846" width="47.5" style="3023" customWidth="1"/>
    <col min="3847" max="3847" width="13" style="3023" customWidth="1"/>
    <col min="3848" max="3849" width="8.875" style="3023"/>
    <col min="3850" max="3850" width="5.75" style="3023" customWidth="1"/>
    <col min="3851" max="3851" width="11.75" style="3023" customWidth="1"/>
    <col min="3852" max="3853" width="10.75" style="3023" customWidth="1"/>
    <col min="3854" max="3854" width="10" style="3023" customWidth="1"/>
    <col min="3855" max="3856" width="10.5" style="3023" bestFit="1" customWidth="1"/>
    <col min="3857" max="3857" width="10" style="3023" customWidth="1"/>
    <col min="3858" max="3858" width="10.125" style="3023" customWidth="1"/>
    <col min="3859" max="3859" width="10" style="3023" customWidth="1"/>
    <col min="3860" max="3860" width="26.125" style="3023" customWidth="1"/>
    <col min="3861" max="4096" width="8.875" style="3023"/>
    <col min="4097" max="4097" width="9.5" style="3023" customWidth="1"/>
    <col min="4098" max="4098" width="8.875" style="3023"/>
    <col min="4099" max="4101" width="12.875" style="3023" customWidth="1"/>
    <col min="4102" max="4102" width="47.5" style="3023" customWidth="1"/>
    <col min="4103" max="4103" width="13" style="3023" customWidth="1"/>
    <col min="4104" max="4105" width="8.875" style="3023"/>
    <col min="4106" max="4106" width="5.75" style="3023" customWidth="1"/>
    <col min="4107" max="4107" width="11.75" style="3023" customWidth="1"/>
    <col min="4108" max="4109" width="10.75" style="3023" customWidth="1"/>
    <col min="4110" max="4110" width="10" style="3023" customWidth="1"/>
    <col min="4111" max="4112" width="10.5" style="3023" bestFit="1" customWidth="1"/>
    <col min="4113" max="4113" width="10" style="3023" customWidth="1"/>
    <col min="4114" max="4114" width="10.125" style="3023" customWidth="1"/>
    <col min="4115" max="4115" width="10" style="3023" customWidth="1"/>
    <col min="4116" max="4116" width="26.125" style="3023" customWidth="1"/>
    <col min="4117" max="4352" width="8.875" style="3023"/>
    <col min="4353" max="4353" width="9.5" style="3023" customWidth="1"/>
    <col min="4354" max="4354" width="8.875" style="3023"/>
    <col min="4355" max="4357" width="12.875" style="3023" customWidth="1"/>
    <col min="4358" max="4358" width="47.5" style="3023" customWidth="1"/>
    <col min="4359" max="4359" width="13" style="3023" customWidth="1"/>
    <col min="4360" max="4361" width="8.875" style="3023"/>
    <col min="4362" max="4362" width="5.75" style="3023" customWidth="1"/>
    <col min="4363" max="4363" width="11.75" style="3023" customWidth="1"/>
    <col min="4364" max="4365" width="10.75" style="3023" customWidth="1"/>
    <col min="4366" max="4366" width="10" style="3023" customWidth="1"/>
    <col min="4367" max="4368" width="10.5" style="3023" bestFit="1" customWidth="1"/>
    <col min="4369" max="4369" width="10" style="3023" customWidth="1"/>
    <col min="4370" max="4370" width="10.125" style="3023" customWidth="1"/>
    <col min="4371" max="4371" width="10" style="3023" customWidth="1"/>
    <col min="4372" max="4372" width="26.125" style="3023" customWidth="1"/>
    <col min="4373" max="4608" width="8.875" style="3023"/>
    <col min="4609" max="4609" width="9.5" style="3023" customWidth="1"/>
    <col min="4610" max="4610" width="8.875" style="3023"/>
    <col min="4611" max="4613" width="12.875" style="3023" customWidth="1"/>
    <col min="4614" max="4614" width="47.5" style="3023" customWidth="1"/>
    <col min="4615" max="4615" width="13" style="3023" customWidth="1"/>
    <col min="4616" max="4617" width="8.875" style="3023"/>
    <col min="4618" max="4618" width="5.75" style="3023" customWidth="1"/>
    <col min="4619" max="4619" width="11.75" style="3023" customWidth="1"/>
    <col min="4620" max="4621" width="10.75" style="3023" customWidth="1"/>
    <col min="4622" max="4622" width="10" style="3023" customWidth="1"/>
    <col min="4623" max="4624" width="10.5" style="3023" bestFit="1" customWidth="1"/>
    <col min="4625" max="4625" width="10" style="3023" customWidth="1"/>
    <col min="4626" max="4626" width="10.125" style="3023" customWidth="1"/>
    <col min="4627" max="4627" width="10" style="3023" customWidth="1"/>
    <col min="4628" max="4628" width="26.125" style="3023" customWidth="1"/>
    <col min="4629" max="4864" width="8.875" style="3023"/>
    <col min="4865" max="4865" width="9.5" style="3023" customWidth="1"/>
    <col min="4866" max="4866" width="8.875" style="3023"/>
    <col min="4867" max="4869" width="12.875" style="3023" customWidth="1"/>
    <col min="4870" max="4870" width="47.5" style="3023" customWidth="1"/>
    <col min="4871" max="4871" width="13" style="3023" customWidth="1"/>
    <col min="4872" max="4873" width="8.875" style="3023"/>
    <col min="4874" max="4874" width="5.75" style="3023" customWidth="1"/>
    <col min="4875" max="4875" width="11.75" style="3023" customWidth="1"/>
    <col min="4876" max="4877" width="10.75" style="3023" customWidth="1"/>
    <col min="4878" max="4878" width="10" style="3023" customWidth="1"/>
    <col min="4879" max="4880" width="10.5" style="3023" bestFit="1" customWidth="1"/>
    <col min="4881" max="4881" width="10" style="3023" customWidth="1"/>
    <col min="4882" max="4882" width="10.125" style="3023" customWidth="1"/>
    <col min="4883" max="4883" width="10" style="3023" customWidth="1"/>
    <col min="4884" max="4884" width="26.125" style="3023" customWidth="1"/>
    <col min="4885" max="5120" width="8.875" style="3023"/>
    <col min="5121" max="5121" width="9.5" style="3023" customWidth="1"/>
    <col min="5122" max="5122" width="8.875" style="3023"/>
    <col min="5123" max="5125" width="12.875" style="3023" customWidth="1"/>
    <col min="5126" max="5126" width="47.5" style="3023" customWidth="1"/>
    <col min="5127" max="5127" width="13" style="3023" customWidth="1"/>
    <col min="5128" max="5129" width="8.875" style="3023"/>
    <col min="5130" max="5130" width="5.75" style="3023" customWidth="1"/>
    <col min="5131" max="5131" width="11.75" style="3023" customWidth="1"/>
    <col min="5132" max="5133" width="10.75" style="3023" customWidth="1"/>
    <col min="5134" max="5134" width="10" style="3023" customWidth="1"/>
    <col min="5135" max="5136" width="10.5" style="3023" bestFit="1" customWidth="1"/>
    <col min="5137" max="5137" width="10" style="3023" customWidth="1"/>
    <col min="5138" max="5138" width="10.125" style="3023" customWidth="1"/>
    <col min="5139" max="5139" width="10" style="3023" customWidth="1"/>
    <col min="5140" max="5140" width="26.125" style="3023" customWidth="1"/>
    <col min="5141" max="5376" width="8.875" style="3023"/>
    <col min="5377" max="5377" width="9.5" style="3023" customWidth="1"/>
    <col min="5378" max="5378" width="8.875" style="3023"/>
    <col min="5379" max="5381" width="12.875" style="3023" customWidth="1"/>
    <col min="5382" max="5382" width="47.5" style="3023" customWidth="1"/>
    <col min="5383" max="5383" width="13" style="3023" customWidth="1"/>
    <col min="5384" max="5385" width="8.875" style="3023"/>
    <col min="5386" max="5386" width="5.75" style="3023" customWidth="1"/>
    <col min="5387" max="5387" width="11.75" style="3023" customWidth="1"/>
    <col min="5388" max="5389" width="10.75" style="3023" customWidth="1"/>
    <col min="5390" max="5390" width="10" style="3023" customWidth="1"/>
    <col min="5391" max="5392" width="10.5" style="3023" bestFit="1" customWidth="1"/>
    <col min="5393" max="5393" width="10" style="3023" customWidth="1"/>
    <col min="5394" max="5394" width="10.125" style="3023" customWidth="1"/>
    <col min="5395" max="5395" width="10" style="3023" customWidth="1"/>
    <col min="5396" max="5396" width="26.125" style="3023" customWidth="1"/>
    <col min="5397" max="5632" width="8.875" style="3023"/>
    <col min="5633" max="5633" width="9.5" style="3023" customWidth="1"/>
    <col min="5634" max="5634" width="8.875" style="3023"/>
    <col min="5635" max="5637" width="12.875" style="3023" customWidth="1"/>
    <col min="5638" max="5638" width="47.5" style="3023" customWidth="1"/>
    <col min="5639" max="5639" width="13" style="3023" customWidth="1"/>
    <col min="5640" max="5641" width="8.875" style="3023"/>
    <col min="5642" max="5642" width="5.75" style="3023" customWidth="1"/>
    <col min="5643" max="5643" width="11.75" style="3023" customWidth="1"/>
    <col min="5644" max="5645" width="10.75" style="3023" customWidth="1"/>
    <col min="5646" max="5646" width="10" style="3023" customWidth="1"/>
    <col min="5647" max="5648" width="10.5" style="3023" bestFit="1" customWidth="1"/>
    <col min="5649" max="5649" width="10" style="3023" customWidth="1"/>
    <col min="5650" max="5650" width="10.125" style="3023" customWidth="1"/>
    <col min="5651" max="5651" width="10" style="3023" customWidth="1"/>
    <col min="5652" max="5652" width="26.125" style="3023" customWidth="1"/>
    <col min="5653" max="5888" width="8.875" style="3023"/>
    <col min="5889" max="5889" width="9.5" style="3023" customWidth="1"/>
    <col min="5890" max="5890" width="8.875" style="3023"/>
    <col min="5891" max="5893" width="12.875" style="3023" customWidth="1"/>
    <col min="5894" max="5894" width="47.5" style="3023" customWidth="1"/>
    <col min="5895" max="5895" width="13" style="3023" customWidth="1"/>
    <col min="5896" max="5897" width="8.875" style="3023"/>
    <col min="5898" max="5898" width="5.75" style="3023" customWidth="1"/>
    <col min="5899" max="5899" width="11.75" style="3023" customWidth="1"/>
    <col min="5900" max="5901" width="10.75" style="3023" customWidth="1"/>
    <col min="5902" max="5902" width="10" style="3023" customWidth="1"/>
    <col min="5903" max="5904" width="10.5" style="3023" bestFit="1" customWidth="1"/>
    <col min="5905" max="5905" width="10" style="3023" customWidth="1"/>
    <col min="5906" max="5906" width="10.125" style="3023" customWidth="1"/>
    <col min="5907" max="5907" width="10" style="3023" customWidth="1"/>
    <col min="5908" max="5908" width="26.125" style="3023" customWidth="1"/>
    <col min="5909" max="6144" width="8.875" style="3023"/>
    <col min="6145" max="6145" width="9.5" style="3023" customWidth="1"/>
    <col min="6146" max="6146" width="8.875" style="3023"/>
    <col min="6147" max="6149" width="12.875" style="3023" customWidth="1"/>
    <col min="6150" max="6150" width="47.5" style="3023" customWidth="1"/>
    <col min="6151" max="6151" width="13" style="3023" customWidth="1"/>
    <col min="6152" max="6153" width="8.875" style="3023"/>
    <col min="6154" max="6154" width="5.75" style="3023" customWidth="1"/>
    <col min="6155" max="6155" width="11.75" style="3023" customWidth="1"/>
    <col min="6156" max="6157" width="10.75" style="3023" customWidth="1"/>
    <col min="6158" max="6158" width="10" style="3023" customWidth="1"/>
    <col min="6159" max="6160" width="10.5" style="3023" bestFit="1" customWidth="1"/>
    <col min="6161" max="6161" width="10" style="3023" customWidth="1"/>
    <col min="6162" max="6162" width="10.125" style="3023" customWidth="1"/>
    <col min="6163" max="6163" width="10" style="3023" customWidth="1"/>
    <col min="6164" max="6164" width="26.125" style="3023" customWidth="1"/>
    <col min="6165" max="6400" width="8.875" style="3023"/>
    <col min="6401" max="6401" width="9.5" style="3023" customWidth="1"/>
    <col min="6402" max="6402" width="8.875" style="3023"/>
    <col min="6403" max="6405" width="12.875" style="3023" customWidth="1"/>
    <col min="6406" max="6406" width="47.5" style="3023" customWidth="1"/>
    <col min="6407" max="6407" width="13" style="3023" customWidth="1"/>
    <col min="6408" max="6409" width="8.875" style="3023"/>
    <col min="6410" max="6410" width="5.75" style="3023" customWidth="1"/>
    <col min="6411" max="6411" width="11.75" style="3023" customWidth="1"/>
    <col min="6412" max="6413" width="10.75" style="3023" customWidth="1"/>
    <col min="6414" max="6414" width="10" style="3023" customWidth="1"/>
    <col min="6415" max="6416" width="10.5" style="3023" bestFit="1" customWidth="1"/>
    <col min="6417" max="6417" width="10" style="3023" customWidth="1"/>
    <col min="6418" max="6418" width="10.125" style="3023" customWidth="1"/>
    <col min="6419" max="6419" width="10" style="3023" customWidth="1"/>
    <col min="6420" max="6420" width="26.125" style="3023" customWidth="1"/>
    <col min="6421" max="6656" width="8.875" style="3023"/>
    <col min="6657" max="6657" width="9.5" style="3023" customWidth="1"/>
    <col min="6658" max="6658" width="8.875" style="3023"/>
    <col min="6659" max="6661" width="12.875" style="3023" customWidth="1"/>
    <col min="6662" max="6662" width="47.5" style="3023" customWidth="1"/>
    <col min="6663" max="6663" width="13" style="3023" customWidth="1"/>
    <col min="6664" max="6665" width="8.875" style="3023"/>
    <col min="6666" max="6666" width="5.75" style="3023" customWidth="1"/>
    <col min="6667" max="6667" width="11.75" style="3023" customWidth="1"/>
    <col min="6668" max="6669" width="10.75" style="3023" customWidth="1"/>
    <col min="6670" max="6670" width="10" style="3023" customWidth="1"/>
    <col min="6671" max="6672" width="10.5" style="3023" bestFit="1" customWidth="1"/>
    <col min="6673" max="6673" width="10" style="3023" customWidth="1"/>
    <col min="6674" max="6674" width="10.125" style="3023" customWidth="1"/>
    <col min="6675" max="6675" width="10" style="3023" customWidth="1"/>
    <col min="6676" max="6676" width="26.125" style="3023" customWidth="1"/>
    <col min="6677" max="6912" width="8.875" style="3023"/>
    <col min="6913" max="6913" width="9.5" style="3023" customWidth="1"/>
    <col min="6914" max="6914" width="8.875" style="3023"/>
    <col min="6915" max="6917" width="12.875" style="3023" customWidth="1"/>
    <col min="6918" max="6918" width="47.5" style="3023" customWidth="1"/>
    <col min="6919" max="6919" width="13" style="3023" customWidth="1"/>
    <col min="6920" max="6921" width="8.875" style="3023"/>
    <col min="6922" max="6922" width="5.75" style="3023" customWidth="1"/>
    <col min="6923" max="6923" width="11.75" style="3023" customWidth="1"/>
    <col min="6924" max="6925" width="10.75" style="3023" customWidth="1"/>
    <col min="6926" max="6926" width="10" style="3023" customWidth="1"/>
    <col min="6927" max="6928" width="10.5" style="3023" bestFit="1" customWidth="1"/>
    <col min="6929" max="6929" width="10" style="3023" customWidth="1"/>
    <col min="6930" max="6930" width="10.125" style="3023" customWidth="1"/>
    <col min="6931" max="6931" width="10" style="3023" customWidth="1"/>
    <col min="6932" max="6932" width="26.125" style="3023" customWidth="1"/>
    <col min="6933" max="7168" width="8.875" style="3023"/>
    <col min="7169" max="7169" width="9.5" style="3023" customWidth="1"/>
    <col min="7170" max="7170" width="8.875" style="3023"/>
    <col min="7171" max="7173" width="12.875" style="3023" customWidth="1"/>
    <col min="7174" max="7174" width="47.5" style="3023" customWidth="1"/>
    <col min="7175" max="7175" width="13" style="3023" customWidth="1"/>
    <col min="7176" max="7177" width="8.875" style="3023"/>
    <col min="7178" max="7178" width="5.75" style="3023" customWidth="1"/>
    <col min="7179" max="7179" width="11.75" style="3023" customWidth="1"/>
    <col min="7180" max="7181" width="10.75" style="3023" customWidth="1"/>
    <col min="7182" max="7182" width="10" style="3023" customWidth="1"/>
    <col min="7183" max="7184" width="10.5" style="3023" bestFit="1" customWidth="1"/>
    <col min="7185" max="7185" width="10" style="3023" customWidth="1"/>
    <col min="7186" max="7186" width="10.125" style="3023" customWidth="1"/>
    <col min="7187" max="7187" width="10" style="3023" customWidth="1"/>
    <col min="7188" max="7188" width="26.125" style="3023" customWidth="1"/>
    <col min="7189" max="7424" width="8.875" style="3023"/>
    <col min="7425" max="7425" width="9.5" style="3023" customWidth="1"/>
    <col min="7426" max="7426" width="8.875" style="3023"/>
    <col min="7427" max="7429" width="12.875" style="3023" customWidth="1"/>
    <col min="7430" max="7430" width="47.5" style="3023" customWidth="1"/>
    <col min="7431" max="7431" width="13" style="3023" customWidth="1"/>
    <col min="7432" max="7433" width="8.875" style="3023"/>
    <col min="7434" max="7434" width="5.75" style="3023" customWidth="1"/>
    <col min="7435" max="7435" width="11.75" style="3023" customWidth="1"/>
    <col min="7436" max="7437" width="10.75" style="3023" customWidth="1"/>
    <col min="7438" max="7438" width="10" style="3023" customWidth="1"/>
    <col min="7439" max="7440" width="10.5" style="3023" bestFit="1" customWidth="1"/>
    <col min="7441" max="7441" width="10" style="3023" customWidth="1"/>
    <col min="7442" max="7442" width="10.125" style="3023" customWidth="1"/>
    <col min="7443" max="7443" width="10" style="3023" customWidth="1"/>
    <col min="7444" max="7444" width="26.125" style="3023" customWidth="1"/>
    <col min="7445" max="7680" width="8.875" style="3023"/>
    <col min="7681" max="7681" width="9.5" style="3023" customWidth="1"/>
    <col min="7682" max="7682" width="8.875" style="3023"/>
    <col min="7683" max="7685" width="12.875" style="3023" customWidth="1"/>
    <col min="7686" max="7686" width="47.5" style="3023" customWidth="1"/>
    <col min="7687" max="7687" width="13" style="3023" customWidth="1"/>
    <col min="7688" max="7689" width="8.875" style="3023"/>
    <col min="7690" max="7690" width="5.75" style="3023" customWidth="1"/>
    <col min="7691" max="7691" width="11.75" style="3023" customWidth="1"/>
    <col min="7692" max="7693" width="10.75" style="3023" customWidth="1"/>
    <col min="7694" max="7694" width="10" style="3023" customWidth="1"/>
    <col min="7695" max="7696" width="10.5" style="3023" bestFit="1" customWidth="1"/>
    <col min="7697" max="7697" width="10" style="3023" customWidth="1"/>
    <col min="7698" max="7698" width="10.125" style="3023" customWidth="1"/>
    <col min="7699" max="7699" width="10" style="3023" customWidth="1"/>
    <col min="7700" max="7700" width="26.125" style="3023" customWidth="1"/>
    <col min="7701" max="7936" width="8.875" style="3023"/>
    <col min="7937" max="7937" width="9.5" style="3023" customWidth="1"/>
    <col min="7938" max="7938" width="8.875" style="3023"/>
    <col min="7939" max="7941" width="12.875" style="3023" customWidth="1"/>
    <col min="7942" max="7942" width="47.5" style="3023" customWidth="1"/>
    <col min="7943" max="7943" width="13" style="3023" customWidth="1"/>
    <col min="7944" max="7945" width="8.875" style="3023"/>
    <col min="7946" max="7946" width="5.75" style="3023" customWidth="1"/>
    <col min="7947" max="7947" width="11.75" style="3023" customWidth="1"/>
    <col min="7948" max="7949" width="10.75" style="3023" customWidth="1"/>
    <col min="7950" max="7950" width="10" style="3023" customWidth="1"/>
    <col min="7951" max="7952" width="10.5" style="3023" bestFit="1" customWidth="1"/>
    <col min="7953" max="7953" width="10" style="3023" customWidth="1"/>
    <col min="7954" max="7954" width="10.125" style="3023" customWidth="1"/>
    <col min="7955" max="7955" width="10" style="3023" customWidth="1"/>
    <col min="7956" max="7956" width="26.125" style="3023" customWidth="1"/>
    <col min="7957" max="8192" width="8.875" style="3023"/>
    <col min="8193" max="8193" width="9.5" style="3023" customWidth="1"/>
    <col min="8194" max="8194" width="8.875" style="3023"/>
    <col min="8195" max="8197" width="12.875" style="3023" customWidth="1"/>
    <col min="8198" max="8198" width="47.5" style="3023" customWidth="1"/>
    <col min="8199" max="8199" width="13" style="3023" customWidth="1"/>
    <col min="8200" max="8201" width="8.875" style="3023"/>
    <col min="8202" max="8202" width="5.75" style="3023" customWidth="1"/>
    <col min="8203" max="8203" width="11.75" style="3023" customWidth="1"/>
    <col min="8204" max="8205" width="10.75" style="3023" customWidth="1"/>
    <col min="8206" max="8206" width="10" style="3023" customWidth="1"/>
    <col min="8207" max="8208" width="10.5" style="3023" bestFit="1" customWidth="1"/>
    <col min="8209" max="8209" width="10" style="3023" customWidth="1"/>
    <col min="8210" max="8210" width="10.125" style="3023" customWidth="1"/>
    <col min="8211" max="8211" width="10" style="3023" customWidth="1"/>
    <col min="8212" max="8212" width="26.125" style="3023" customWidth="1"/>
    <col min="8213" max="8448" width="8.875" style="3023"/>
    <col min="8449" max="8449" width="9.5" style="3023" customWidth="1"/>
    <col min="8450" max="8450" width="8.875" style="3023"/>
    <col min="8451" max="8453" width="12.875" style="3023" customWidth="1"/>
    <col min="8454" max="8454" width="47.5" style="3023" customWidth="1"/>
    <col min="8455" max="8455" width="13" style="3023" customWidth="1"/>
    <col min="8456" max="8457" width="8.875" style="3023"/>
    <col min="8458" max="8458" width="5.75" style="3023" customWidth="1"/>
    <col min="8459" max="8459" width="11.75" style="3023" customWidth="1"/>
    <col min="8460" max="8461" width="10.75" style="3023" customWidth="1"/>
    <col min="8462" max="8462" width="10" style="3023" customWidth="1"/>
    <col min="8463" max="8464" width="10.5" style="3023" bestFit="1" customWidth="1"/>
    <col min="8465" max="8465" width="10" style="3023" customWidth="1"/>
    <col min="8466" max="8466" width="10.125" style="3023" customWidth="1"/>
    <col min="8467" max="8467" width="10" style="3023" customWidth="1"/>
    <col min="8468" max="8468" width="26.125" style="3023" customWidth="1"/>
    <col min="8469" max="8704" width="8.875" style="3023"/>
    <col min="8705" max="8705" width="9.5" style="3023" customWidth="1"/>
    <col min="8706" max="8706" width="8.875" style="3023"/>
    <col min="8707" max="8709" width="12.875" style="3023" customWidth="1"/>
    <col min="8710" max="8710" width="47.5" style="3023" customWidth="1"/>
    <col min="8711" max="8711" width="13" style="3023" customWidth="1"/>
    <col min="8712" max="8713" width="8.875" style="3023"/>
    <col min="8714" max="8714" width="5.75" style="3023" customWidth="1"/>
    <col min="8715" max="8715" width="11.75" style="3023" customWidth="1"/>
    <col min="8716" max="8717" width="10.75" style="3023" customWidth="1"/>
    <col min="8718" max="8718" width="10" style="3023" customWidth="1"/>
    <col min="8719" max="8720" width="10.5" style="3023" bestFit="1" customWidth="1"/>
    <col min="8721" max="8721" width="10" style="3023" customWidth="1"/>
    <col min="8722" max="8722" width="10.125" style="3023" customWidth="1"/>
    <col min="8723" max="8723" width="10" style="3023" customWidth="1"/>
    <col min="8724" max="8724" width="26.125" style="3023" customWidth="1"/>
    <col min="8725" max="8960" width="8.875" style="3023"/>
    <col min="8961" max="8961" width="9.5" style="3023" customWidth="1"/>
    <col min="8962" max="8962" width="8.875" style="3023"/>
    <col min="8963" max="8965" width="12.875" style="3023" customWidth="1"/>
    <col min="8966" max="8966" width="47.5" style="3023" customWidth="1"/>
    <col min="8967" max="8967" width="13" style="3023" customWidth="1"/>
    <col min="8968" max="8969" width="8.875" style="3023"/>
    <col min="8970" max="8970" width="5.75" style="3023" customWidth="1"/>
    <col min="8971" max="8971" width="11.75" style="3023" customWidth="1"/>
    <col min="8972" max="8973" width="10.75" style="3023" customWidth="1"/>
    <col min="8974" max="8974" width="10" style="3023" customWidth="1"/>
    <col min="8975" max="8976" width="10.5" style="3023" bestFit="1" customWidth="1"/>
    <col min="8977" max="8977" width="10" style="3023" customWidth="1"/>
    <col min="8978" max="8978" width="10.125" style="3023" customWidth="1"/>
    <col min="8979" max="8979" width="10" style="3023" customWidth="1"/>
    <col min="8980" max="8980" width="26.125" style="3023" customWidth="1"/>
    <col min="8981" max="9216" width="8.875" style="3023"/>
    <col min="9217" max="9217" width="9.5" style="3023" customWidth="1"/>
    <col min="9218" max="9218" width="8.875" style="3023"/>
    <col min="9219" max="9221" width="12.875" style="3023" customWidth="1"/>
    <col min="9222" max="9222" width="47.5" style="3023" customWidth="1"/>
    <col min="9223" max="9223" width="13" style="3023" customWidth="1"/>
    <col min="9224" max="9225" width="8.875" style="3023"/>
    <col min="9226" max="9226" width="5.75" style="3023" customWidth="1"/>
    <col min="9227" max="9227" width="11.75" style="3023" customWidth="1"/>
    <col min="9228" max="9229" width="10.75" style="3023" customWidth="1"/>
    <col min="9230" max="9230" width="10" style="3023" customWidth="1"/>
    <col min="9231" max="9232" width="10.5" style="3023" bestFit="1" customWidth="1"/>
    <col min="9233" max="9233" width="10" style="3023" customWidth="1"/>
    <col min="9234" max="9234" width="10.125" style="3023" customWidth="1"/>
    <col min="9235" max="9235" width="10" style="3023" customWidth="1"/>
    <col min="9236" max="9236" width="26.125" style="3023" customWidth="1"/>
    <col min="9237" max="9472" width="8.875" style="3023"/>
    <col min="9473" max="9473" width="9.5" style="3023" customWidth="1"/>
    <col min="9474" max="9474" width="8.875" style="3023"/>
    <col min="9475" max="9477" width="12.875" style="3023" customWidth="1"/>
    <col min="9478" max="9478" width="47.5" style="3023" customWidth="1"/>
    <col min="9479" max="9479" width="13" style="3023" customWidth="1"/>
    <col min="9480" max="9481" width="8.875" style="3023"/>
    <col min="9482" max="9482" width="5.75" style="3023" customWidth="1"/>
    <col min="9483" max="9483" width="11.75" style="3023" customWidth="1"/>
    <col min="9484" max="9485" width="10.75" style="3023" customWidth="1"/>
    <col min="9486" max="9486" width="10" style="3023" customWidth="1"/>
    <col min="9487" max="9488" width="10.5" style="3023" bestFit="1" customWidth="1"/>
    <col min="9489" max="9489" width="10" style="3023" customWidth="1"/>
    <col min="9490" max="9490" width="10.125" style="3023" customWidth="1"/>
    <col min="9491" max="9491" width="10" style="3023" customWidth="1"/>
    <col min="9492" max="9492" width="26.125" style="3023" customWidth="1"/>
    <col min="9493" max="9728" width="8.875" style="3023"/>
    <col min="9729" max="9729" width="9.5" style="3023" customWidth="1"/>
    <col min="9730" max="9730" width="8.875" style="3023"/>
    <col min="9731" max="9733" width="12.875" style="3023" customWidth="1"/>
    <col min="9734" max="9734" width="47.5" style="3023" customWidth="1"/>
    <col min="9735" max="9735" width="13" style="3023" customWidth="1"/>
    <col min="9736" max="9737" width="8.875" style="3023"/>
    <col min="9738" max="9738" width="5.75" style="3023" customWidth="1"/>
    <col min="9739" max="9739" width="11.75" style="3023" customWidth="1"/>
    <col min="9740" max="9741" width="10.75" style="3023" customWidth="1"/>
    <col min="9742" max="9742" width="10" style="3023" customWidth="1"/>
    <col min="9743" max="9744" width="10.5" style="3023" bestFit="1" customWidth="1"/>
    <col min="9745" max="9745" width="10" style="3023" customWidth="1"/>
    <col min="9746" max="9746" width="10.125" style="3023" customWidth="1"/>
    <col min="9747" max="9747" width="10" style="3023" customWidth="1"/>
    <col min="9748" max="9748" width="26.125" style="3023" customWidth="1"/>
    <col min="9749" max="9984" width="8.875" style="3023"/>
    <col min="9985" max="9985" width="9.5" style="3023" customWidth="1"/>
    <col min="9986" max="9986" width="8.875" style="3023"/>
    <col min="9987" max="9989" width="12.875" style="3023" customWidth="1"/>
    <col min="9990" max="9990" width="47.5" style="3023" customWidth="1"/>
    <col min="9991" max="9991" width="13" style="3023" customWidth="1"/>
    <col min="9992" max="9993" width="8.875" style="3023"/>
    <col min="9994" max="9994" width="5.75" style="3023" customWidth="1"/>
    <col min="9995" max="9995" width="11.75" style="3023" customWidth="1"/>
    <col min="9996" max="9997" width="10.75" style="3023" customWidth="1"/>
    <col min="9998" max="9998" width="10" style="3023" customWidth="1"/>
    <col min="9999" max="10000" width="10.5" style="3023" bestFit="1" customWidth="1"/>
    <col min="10001" max="10001" width="10" style="3023" customWidth="1"/>
    <col min="10002" max="10002" width="10.125" style="3023" customWidth="1"/>
    <col min="10003" max="10003" width="10" style="3023" customWidth="1"/>
    <col min="10004" max="10004" width="26.125" style="3023" customWidth="1"/>
    <col min="10005" max="10240" width="8.875" style="3023"/>
    <col min="10241" max="10241" width="9.5" style="3023" customWidth="1"/>
    <col min="10242" max="10242" width="8.875" style="3023"/>
    <col min="10243" max="10245" width="12.875" style="3023" customWidth="1"/>
    <col min="10246" max="10246" width="47.5" style="3023" customWidth="1"/>
    <col min="10247" max="10247" width="13" style="3023" customWidth="1"/>
    <col min="10248" max="10249" width="8.875" style="3023"/>
    <col min="10250" max="10250" width="5.75" style="3023" customWidth="1"/>
    <col min="10251" max="10251" width="11.75" style="3023" customWidth="1"/>
    <col min="10252" max="10253" width="10.75" style="3023" customWidth="1"/>
    <col min="10254" max="10254" width="10" style="3023" customWidth="1"/>
    <col min="10255" max="10256" width="10.5" style="3023" bestFit="1" customWidth="1"/>
    <col min="10257" max="10257" width="10" style="3023" customWidth="1"/>
    <col min="10258" max="10258" width="10.125" style="3023" customWidth="1"/>
    <col min="10259" max="10259" width="10" style="3023" customWidth="1"/>
    <col min="10260" max="10260" width="26.125" style="3023" customWidth="1"/>
    <col min="10261" max="10496" width="8.875" style="3023"/>
    <col min="10497" max="10497" width="9.5" style="3023" customWidth="1"/>
    <col min="10498" max="10498" width="8.875" style="3023"/>
    <col min="10499" max="10501" width="12.875" style="3023" customWidth="1"/>
    <col min="10502" max="10502" width="47.5" style="3023" customWidth="1"/>
    <col min="10503" max="10503" width="13" style="3023" customWidth="1"/>
    <col min="10504" max="10505" width="8.875" style="3023"/>
    <col min="10506" max="10506" width="5.75" style="3023" customWidth="1"/>
    <col min="10507" max="10507" width="11.75" style="3023" customWidth="1"/>
    <col min="10508" max="10509" width="10.75" style="3023" customWidth="1"/>
    <col min="10510" max="10510" width="10" style="3023" customWidth="1"/>
    <col min="10511" max="10512" width="10.5" style="3023" bestFit="1" customWidth="1"/>
    <col min="10513" max="10513" width="10" style="3023" customWidth="1"/>
    <col min="10514" max="10514" width="10.125" style="3023" customWidth="1"/>
    <col min="10515" max="10515" width="10" style="3023" customWidth="1"/>
    <col min="10516" max="10516" width="26.125" style="3023" customWidth="1"/>
    <col min="10517" max="10752" width="8.875" style="3023"/>
    <col min="10753" max="10753" width="9.5" style="3023" customWidth="1"/>
    <col min="10754" max="10754" width="8.875" style="3023"/>
    <col min="10755" max="10757" width="12.875" style="3023" customWidth="1"/>
    <col min="10758" max="10758" width="47.5" style="3023" customWidth="1"/>
    <col min="10759" max="10759" width="13" style="3023" customWidth="1"/>
    <col min="10760" max="10761" width="8.875" style="3023"/>
    <col min="10762" max="10762" width="5.75" style="3023" customWidth="1"/>
    <col min="10763" max="10763" width="11.75" style="3023" customWidth="1"/>
    <col min="10764" max="10765" width="10.75" style="3023" customWidth="1"/>
    <col min="10766" max="10766" width="10" style="3023" customWidth="1"/>
    <col min="10767" max="10768" width="10.5" style="3023" bestFit="1" customWidth="1"/>
    <col min="10769" max="10769" width="10" style="3023" customWidth="1"/>
    <col min="10770" max="10770" width="10.125" style="3023" customWidth="1"/>
    <col min="10771" max="10771" width="10" style="3023" customWidth="1"/>
    <col min="10772" max="10772" width="26.125" style="3023" customWidth="1"/>
    <col min="10773" max="11008" width="8.875" style="3023"/>
    <col min="11009" max="11009" width="9.5" style="3023" customWidth="1"/>
    <col min="11010" max="11010" width="8.875" style="3023"/>
    <col min="11011" max="11013" width="12.875" style="3023" customWidth="1"/>
    <col min="11014" max="11014" width="47.5" style="3023" customWidth="1"/>
    <col min="11015" max="11015" width="13" style="3023" customWidth="1"/>
    <col min="11016" max="11017" width="8.875" style="3023"/>
    <col min="11018" max="11018" width="5.75" style="3023" customWidth="1"/>
    <col min="11019" max="11019" width="11.75" style="3023" customWidth="1"/>
    <col min="11020" max="11021" width="10.75" style="3023" customWidth="1"/>
    <col min="11022" max="11022" width="10" style="3023" customWidth="1"/>
    <col min="11023" max="11024" width="10.5" style="3023" bestFit="1" customWidth="1"/>
    <col min="11025" max="11025" width="10" style="3023" customWidth="1"/>
    <col min="11026" max="11026" width="10.125" style="3023" customWidth="1"/>
    <col min="11027" max="11027" width="10" style="3023" customWidth="1"/>
    <col min="11028" max="11028" width="26.125" style="3023" customWidth="1"/>
    <col min="11029" max="11264" width="8.875" style="3023"/>
    <col min="11265" max="11265" width="9.5" style="3023" customWidth="1"/>
    <col min="11266" max="11266" width="8.875" style="3023"/>
    <col min="11267" max="11269" width="12.875" style="3023" customWidth="1"/>
    <col min="11270" max="11270" width="47.5" style="3023" customWidth="1"/>
    <col min="11271" max="11271" width="13" style="3023" customWidth="1"/>
    <col min="11272" max="11273" width="8.875" style="3023"/>
    <col min="11274" max="11274" width="5.75" style="3023" customWidth="1"/>
    <col min="11275" max="11275" width="11.75" style="3023" customWidth="1"/>
    <col min="11276" max="11277" width="10.75" style="3023" customWidth="1"/>
    <col min="11278" max="11278" width="10" style="3023" customWidth="1"/>
    <col min="11279" max="11280" width="10.5" style="3023" bestFit="1" customWidth="1"/>
    <col min="11281" max="11281" width="10" style="3023" customWidth="1"/>
    <col min="11282" max="11282" width="10.125" style="3023" customWidth="1"/>
    <col min="11283" max="11283" width="10" style="3023" customWidth="1"/>
    <col min="11284" max="11284" width="26.125" style="3023" customWidth="1"/>
    <col min="11285" max="11520" width="8.875" style="3023"/>
    <col min="11521" max="11521" width="9.5" style="3023" customWidth="1"/>
    <col min="11522" max="11522" width="8.875" style="3023"/>
    <col min="11523" max="11525" width="12.875" style="3023" customWidth="1"/>
    <col min="11526" max="11526" width="47.5" style="3023" customWidth="1"/>
    <col min="11527" max="11527" width="13" style="3023" customWidth="1"/>
    <col min="11528" max="11529" width="8.875" style="3023"/>
    <col min="11530" max="11530" width="5.75" style="3023" customWidth="1"/>
    <col min="11531" max="11531" width="11.75" style="3023" customWidth="1"/>
    <col min="11532" max="11533" width="10.75" style="3023" customWidth="1"/>
    <col min="11534" max="11534" width="10" style="3023" customWidth="1"/>
    <col min="11535" max="11536" width="10.5" style="3023" bestFit="1" customWidth="1"/>
    <col min="11537" max="11537" width="10" style="3023" customWidth="1"/>
    <col min="11538" max="11538" width="10.125" style="3023" customWidth="1"/>
    <col min="11539" max="11539" width="10" style="3023" customWidth="1"/>
    <col min="11540" max="11540" width="26.125" style="3023" customWidth="1"/>
    <col min="11541" max="11776" width="8.875" style="3023"/>
    <col min="11777" max="11777" width="9.5" style="3023" customWidth="1"/>
    <col min="11778" max="11778" width="8.875" style="3023"/>
    <col min="11779" max="11781" width="12.875" style="3023" customWidth="1"/>
    <col min="11782" max="11782" width="47.5" style="3023" customWidth="1"/>
    <col min="11783" max="11783" width="13" style="3023" customWidth="1"/>
    <col min="11784" max="11785" width="8.875" style="3023"/>
    <col min="11786" max="11786" width="5.75" style="3023" customWidth="1"/>
    <col min="11787" max="11787" width="11.75" style="3023" customWidth="1"/>
    <col min="11788" max="11789" width="10.75" style="3023" customWidth="1"/>
    <col min="11790" max="11790" width="10" style="3023" customWidth="1"/>
    <col min="11791" max="11792" width="10.5" style="3023" bestFit="1" customWidth="1"/>
    <col min="11793" max="11793" width="10" style="3023" customWidth="1"/>
    <col min="11794" max="11794" width="10.125" style="3023" customWidth="1"/>
    <col min="11795" max="11795" width="10" style="3023" customWidth="1"/>
    <col min="11796" max="11796" width="26.125" style="3023" customWidth="1"/>
    <col min="11797" max="12032" width="8.875" style="3023"/>
    <col min="12033" max="12033" width="9.5" style="3023" customWidth="1"/>
    <col min="12034" max="12034" width="8.875" style="3023"/>
    <col min="12035" max="12037" width="12.875" style="3023" customWidth="1"/>
    <col min="12038" max="12038" width="47.5" style="3023" customWidth="1"/>
    <col min="12039" max="12039" width="13" style="3023" customWidth="1"/>
    <col min="12040" max="12041" width="8.875" style="3023"/>
    <col min="12042" max="12042" width="5.75" style="3023" customWidth="1"/>
    <col min="12043" max="12043" width="11.75" style="3023" customWidth="1"/>
    <col min="12044" max="12045" width="10.75" style="3023" customWidth="1"/>
    <col min="12046" max="12046" width="10" style="3023" customWidth="1"/>
    <col min="12047" max="12048" width="10.5" style="3023" bestFit="1" customWidth="1"/>
    <col min="12049" max="12049" width="10" style="3023" customWidth="1"/>
    <col min="12050" max="12050" width="10.125" style="3023" customWidth="1"/>
    <col min="12051" max="12051" width="10" style="3023" customWidth="1"/>
    <col min="12052" max="12052" width="26.125" style="3023" customWidth="1"/>
    <col min="12053" max="12288" width="8.875" style="3023"/>
    <col min="12289" max="12289" width="9.5" style="3023" customWidth="1"/>
    <col min="12290" max="12290" width="8.875" style="3023"/>
    <col min="12291" max="12293" width="12.875" style="3023" customWidth="1"/>
    <col min="12294" max="12294" width="47.5" style="3023" customWidth="1"/>
    <col min="12295" max="12295" width="13" style="3023" customWidth="1"/>
    <col min="12296" max="12297" width="8.875" style="3023"/>
    <col min="12298" max="12298" width="5.75" style="3023" customWidth="1"/>
    <col min="12299" max="12299" width="11.75" style="3023" customWidth="1"/>
    <col min="12300" max="12301" width="10.75" style="3023" customWidth="1"/>
    <col min="12302" max="12302" width="10" style="3023" customWidth="1"/>
    <col min="12303" max="12304" width="10.5" style="3023" bestFit="1" customWidth="1"/>
    <col min="12305" max="12305" width="10" style="3023" customWidth="1"/>
    <col min="12306" max="12306" width="10.125" style="3023" customWidth="1"/>
    <col min="12307" max="12307" width="10" style="3023" customWidth="1"/>
    <col min="12308" max="12308" width="26.125" style="3023" customWidth="1"/>
    <col min="12309" max="12544" width="8.875" style="3023"/>
    <col min="12545" max="12545" width="9.5" style="3023" customWidth="1"/>
    <col min="12546" max="12546" width="8.875" style="3023"/>
    <col min="12547" max="12549" width="12.875" style="3023" customWidth="1"/>
    <col min="12550" max="12550" width="47.5" style="3023" customWidth="1"/>
    <col min="12551" max="12551" width="13" style="3023" customWidth="1"/>
    <col min="12552" max="12553" width="8.875" style="3023"/>
    <col min="12554" max="12554" width="5.75" style="3023" customWidth="1"/>
    <col min="12555" max="12555" width="11.75" style="3023" customWidth="1"/>
    <col min="12556" max="12557" width="10.75" style="3023" customWidth="1"/>
    <col min="12558" max="12558" width="10" style="3023" customWidth="1"/>
    <col min="12559" max="12560" width="10.5" style="3023" bestFit="1" customWidth="1"/>
    <col min="12561" max="12561" width="10" style="3023" customWidth="1"/>
    <col min="12562" max="12562" width="10.125" style="3023" customWidth="1"/>
    <col min="12563" max="12563" width="10" style="3023" customWidth="1"/>
    <col min="12564" max="12564" width="26.125" style="3023" customWidth="1"/>
    <col min="12565" max="12800" width="8.875" style="3023"/>
    <col min="12801" max="12801" width="9.5" style="3023" customWidth="1"/>
    <col min="12802" max="12802" width="8.875" style="3023"/>
    <col min="12803" max="12805" width="12.875" style="3023" customWidth="1"/>
    <col min="12806" max="12806" width="47.5" style="3023" customWidth="1"/>
    <col min="12807" max="12807" width="13" style="3023" customWidth="1"/>
    <col min="12808" max="12809" width="8.875" style="3023"/>
    <col min="12810" max="12810" width="5.75" style="3023" customWidth="1"/>
    <col min="12811" max="12811" width="11.75" style="3023" customWidth="1"/>
    <col min="12812" max="12813" width="10.75" style="3023" customWidth="1"/>
    <col min="12814" max="12814" width="10" style="3023" customWidth="1"/>
    <col min="12815" max="12816" width="10.5" style="3023" bestFit="1" customWidth="1"/>
    <col min="12817" max="12817" width="10" style="3023" customWidth="1"/>
    <col min="12818" max="12818" width="10.125" style="3023" customWidth="1"/>
    <col min="12819" max="12819" width="10" style="3023" customWidth="1"/>
    <col min="12820" max="12820" width="26.125" style="3023" customWidth="1"/>
    <col min="12821" max="13056" width="8.875" style="3023"/>
    <col min="13057" max="13057" width="9.5" style="3023" customWidth="1"/>
    <col min="13058" max="13058" width="8.875" style="3023"/>
    <col min="13059" max="13061" width="12.875" style="3023" customWidth="1"/>
    <col min="13062" max="13062" width="47.5" style="3023" customWidth="1"/>
    <col min="13063" max="13063" width="13" style="3023" customWidth="1"/>
    <col min="13064" max="13065" width="8.875" style="3023"/>
    <col min="13066" max="13066" width="5.75" style="3023" customWidth="1"/>
    <col min="13067" max="13067" width="11.75" style="3023" customWidth="1"/>
    <col min="13068" max="13069" width="10.75" style="3023" customWidth="1"/>
    <col min="13070" max="13070" width="10" style="3023" customWidth="1"/>
    <col min="13071" max="13072" width="10.5" style="3023" bestFit="1" customWidth="1"/>
    <col min="13073" max="13073" width="10" style="3023" customWidth="1"/>
    <col min="13074" max="13074" width="10.125" style="3023" customWidth="1"/>
    <col min="13075" max="13075" width="10" style="3023" customWidth="1"/>
    <col min="13076" max="13076" width="26.125" style="3023" customWidth="1"/>
    <col min="13077" max="13312" width="8.875" style="3023"/>
    <col min="13313" max="13313" width="9.5" style="3023" customWidth="1"/>
    <col min="13314" max="13314" width="8.875" style="3023"/>
    <col min="13315" max="13317" width="12.875" style="3023" customWidth="1"/>
    <col min="13318" max="13318" width="47.5" style="3023" customWidth="1"/>
    <col min="13319" max="13319" width="13" style="3023" customWidth="1"/>
    <col min="13320" max="13321" width="8.875" style="3023"/>
    <col min="13322" max="13322" width="5.75" style="3023" customWidth="1"/>
    <col min="13323" max="13323" width="11.75" style="3023" customWidth="1"/>
    <col min="13324" max="13325" width="10.75" style="3023" customWidth="1"/>
    <col min="13326" max="13326" width="10" style="3023" customWidth="1"/>
    <col min="13327" max="13328" width="10.5" style="3023" bestFit="1" customWidth="1"/>
    <col min="13329" max="13329" width="10" style="3023" customWidth="1"/>
    <col min="13330" max="13330" width="10.125" style="3023" customWidth="1"/>
    <col min="13331" max="13331" width="10" style="3023" customWidth="1"/>
    <col min="13332" max="13332" width="26.125" style="3023" customWidth="1"/>
    <col min="13333" max="13568" width="8.875" style="3023"/>
    <col min="13569" max="13569" width="9.5" style="3023" customWidth="1"/>
    <col min="13570" max="13570" width="8.875" style="3023"/>
    <col min="13571" max="13573" width="12.875" style="3023" customWidth="1"/>
    <col min="13574" max="13574" width="47.5" style="3023" customWidth="1"/>
    <col min="13575" max="13575" width="13" style="3023" customWidth="1"/>
    <col min="13576" max="13577" width="8.875" style="3023"/>
    <col min="13578" max="13578" width="5.75" style="3023" customWidth="1"/>
    <col min="13579" max="13579" width="11.75" style="3023" customWidth="1"/>
    <col min="13580" max="13581" width="10.75" style="3023" customWidth="1"/>
    <col min="13582" max="13582" width="10" style="3023" customWidth="1"/>
    <col min="13583" max="13584" width="10.5" style="3023" bestFit="1" customWidth="1"/>
    <col min="13585" max="13585" width="10" style="3023" customWidth="1"/>
    <col min="13586" max="13586" width="10.125" style="3023" customWidth="1"/>
    <col min="13587" max="13587" width="10" style="3023" customWidth="1"/>
    <col min="13588" max="13588" width="26.125" style="3023" customWidth="1"/>
    <col min="13589" max="13824" width="8.875" style="3023"/>
    <col min="13825" max="13825" width="9.5" style="3023" customWidth="1"/>
    <col min="13826" max="13826" width="8.875" style="3023"/>
    <col min="13827" max="13829" width="12.875" style="3023" customWidth="1"/>
    <col min="13830" max="13830" width="47.5" style="3023" customWidth="1"/>
    <col min="13831" max="13831" width="13" style="3023" customWidth="1"/>
    <col min="13832" max="13833" width="8.875" style="3023"/>
    <col min="13834" max="13834" width="5.75" style="3023" customWidth="1"/>
    <col min="13835" max="13835" width="11.75" style="3023" customWidth="1"/>
    <col min="13836" max="13837" width="10.75" style="3023" customWidth="1"/>
    <col min="13838" max="13838" width="10" style="3023" customWidth="1"/>
    <col min="13839" max="13840" width="10.5" style="3023" bestFit="1" customWidth="1"/>
    <col min="13841" max="13841" width="10" style="3023" customWidth="1"/>
    <col min="13842" max="13842" width="10.125" style="3023" customWidth="1"/>
    <col min="13843" max="13843" width="10" style="3023" customWidth="1"/>
    <col min="13844" max="13844" width="26.125" style="3023" customWidth="1"/>
    <col min="13845" max="14080" width="8.875" style="3023"/>
    <col min="14081" max="14081" width="9.5" style="3023" customWidth="1"/>
    <col min="14082" max="14082" width="8.875" style="3023"/>
    <col min="14083" max="14085" width="12.875" style="3023" customWidth="1"/>
    <col min="14086" max="14086" width="47.5" style="3023" customWidth="1"/>
    <col min="14087" max="14087" width="13" style="3023" customWidth="1"/>
    <col min="14088" max="14089" width="8.875" style="3023"/>
    <col min="14090" max="14090" width="5.75" style="3023" customWidth="1"/>
    <col min="14091" max="14091" width="11.75" style="3023" customWidth="1"/>
    <col min="14092" max="14093" width="10.75" style="3023" customWidth="1"/>
    <col min="14094" max="14094" width="10" style="3023" customWidth="1"/>
    <col min="14095" max="14096" width="10.5" style="3023" bestFit="1" customWidth="1"/>
    <col min="14097" max="14097" width="10" style="3023" customWidth="1"/>
    <col min="14098" max="14098" width="10.125" style="3023" customWidth="1"/>
    <col min="14099" max="14099" width="10" style="3023" customWidth="1"/>
    <col min="14100" max="14100" width="26.125" style="3023" customWidth="1"/>
    <col min="14101" max="14336" width="8.875" style="3023"/>
    <col min="14337" max="14337" width="9.5" style="3023" customWidth="1"/>
    <col min="14338" max="14338" width="8.875" style="3023"/>
    <col min="14339" max="14341" width="12.875" style="3023" customWidth="1"/>
    <col min="14342" max="14342" width="47.5" style="3023" customWidth="1"/>
    <col min="14343" max="14343" width="13" style="3023" customWidth="1"/>
    <col min="14344" max="14345" width="8.875" style="3023"/>
    <col min="14346" max="14346" width="5.75" style="3023" customWidth="1"/>
    <col min="14347" max="14347" width="11.75" style="3023" customWidth="1"/>
    <col min="14348" max="14349" width="10.75" style="3023" customWidth="1"/>
    <col min="14350" max="14350" width="10" style="3023" customWidth="1"/>
    <col min="14351" max="14352" width="10.5" style="3023" bestFit="1" customWidth="1"/>
    <col min="14353" max="14353" width="10" style="3023" customWidth="1"/>
    <col min="14354" max="14354" width="10.125" style="3023" customWidth="1"/>
    <col min="14355" max="14355" width="10" style="3023" customWidth="1"/>
    <col min="14356" max="14356" width="26.125" style="3023" customWidth="1"/>
    <col min="14357" max="14592" width="8.875" style="3023"/>
    <col min="14593" max="14593" width="9.5" style="3023" customWidth="1"/>
    <col min="14594" max="14594" width="8.875" style="3023"/>
    <col min="14595" max="14597" width="12.875" style="3023" customWidth="1"/>
    <col min="14598" max="14598" width="47.5" style="3023" customWidth="1"/>
    <col min="14599" max="14599" width="13" style="3023" customWidth="1"/>
    <col min="14600" max="14601" width="8.875" style="3023"/>
    <col min="14602" max="14602" width="5.75" style="3023" customWidth="1"/>
    <col min="14603" max="14603" width="11.75" style="3023" customWidth="1"/>
    <col min="14604" max="14605" width="10.75" style="3023" customWidth="1"/>
    <col min="14606" max="14606" width="10" style="3023" customWidth="1"/>
    <col min="14607" max="14608" width="10.5" style="3023" bestFit="1" customWidth="1"/>
    <col min="14609" max="14609" width="10" style="3023" customWidth="1"/>
    <col min="14610" max="14610" width="10.125" style="3023" customWidth="1"/>
    <col min="14611" max="14611" width="10" style="3023" customWidth="1"/>
    <col min="14612" max="14612" width="26.125" style="3023" customWidth="1"/>
    <col min="14613" max="14848" width="8.875" style="3023"/>
    <col min="14849" max="14849" width="9.5" style="3023" customWidth="1"/>
    <col min="14850" max="14850" width="8.875" style="3023"/>
    <col min="14851" max="14853" width="12.875" style="3023" customWidth="1"/>
    <col min="14854" max="14854" width="47.5" style="3023" customWidth="1"/>
    <col min="14855" max="14855" width="13" style="3023" customWidth="1"/>
    <col min="14856" max="14857" width="8.875" style="3023"/>
    <col min="14858" max="14858" width="5.75" style="3023" customWidth="1"/>
    <col min="14859" max="14859" width="11.75" style="3023" customWidth="1"/>
    <col min="14860" max="14861" width="10.75" style="3023" customWidth="1"/>
    <col min="14862" max="14862" width="10" style="3023" customWidth="1"/>
    <col min="14863" max="14864" width="10.5" style="3023" bestFit="1" customWidth="1"/>
    <col min="14865" max="14865" width="10" style="3023" customWidth="1"/>
    <col min="14866" max="14866" width="10.125" style="3023" customWidth="1"/>
    <col min="14867" max="14867" width="10" style="3023" customWidth="1"/>
    <col min="14868" max="14868" width="26.125" style="3023" customWidth="1"/>
    <col min="14869" max="15104" width="8.875" style="3023"/>
    <col min="15105" max="15105" width="9.5" style="3023" customWidth="1"/>
    <col min="15106" max="15106" width="8.875" style="3023"/>
    <col min="15107" max="15109" width="12.875" style="3023" customWidth="1"/>
    <col min="15110" max="15110" width="47.5" style="3023" customWidth="1"/>
    <col min="15111" max="15111" width="13" style="3023" customWidth="1"/>
    <col min="15112" max="15113" width="8.875" style="3023"/>
    <col min="15114" max="15114" width="5.75" style="3023" customWidth="1"/>
    <col min="15115" max="15115" width="11.75" style="3023" customWidth="1"/>
    <col min="15116" max="15117" width="10.75" style="3023" customWidth="1"/>
    <col min="15118" max="15118" width="10" style="3023" customWidth="1"/>
    <col min="15119" max="15120" width="10.5" style="3023" bestFit="1" customWidth="1"/>
    <col min="15121" max="15121" width="10" style="3023" customWidth="1"/>
    <col min="15122" max="15122" width="10.125" style="3023" customWidth="1"/>
    <col min="15123" max="15123" width="10" style="3023" customWidth="1"/>
    <col min="15124" max="15124" width="26.125" style="3023" customWidth="1"/>
    <col min="15125" max="15360" width="8.875" style="3023"/>
    <col min="15361" max="15361" width="9.5" style="3023" customWidth="1"/>
    <col min="15362" max="15362" width="8.875" style="3023"/>
    <col min="15363" max="15365" width="12.875" style="3023" customWidth="1"/>
    <col min="15366" max="15366" width="47.5" style="3023" customWidth="1"/>
    <col min="15367" max="15367" width="13" style="3023" customWidth="1"/>
    <col min="15368" max="15369" width="8.875" style="3023"/>
    <col min="15370" max="15370" width="5.75" style="3023" customWidth="1"/>
    <col min="15371" max="15371" width="11.75" style="3023" customWidth="1"/>
    <col min="15372" max="15373" width="10.75" style="3023" customWidth="1"/>
    <col min="15374" max="15374" width="10" style="3023" customWidth="1"/>
    <col min="15375" max="15376" width="10.5" style="3023" bestFit="1" customWidth="1"/>
    <col min="15377" max="15377" width="10" style="3023" customWidth="1"/>
    <col min="15378" max="15378" width="10.125" style="3023" customWidth="1"/>
    <col min="15379" max="15379" width="10" style="3023" customWidth="1"/>
    <col min="15380" max="15380" width="26.125" style="3023" customWidth="1"/>
    <col min="15381" max="15616" width="8.875" style="3023"/>
    <col min="15617" max="15617" width="9.5" style="3023" customWidth="1"/>
    <col min="15618" max="15618" width="8.875" style="3023"/>
    <col min="15619" max="15621" width="12.875" style="3023" customWidth="1"/>
    <col min="15622" max="15622" width="47.5" style="3023" customWidth="1"/>
    <col min="15623" max="15623" width="13" style="3023" customWidth="1"/>
    <col min="15624" max="15625" width="8.875" style="3023"/>
    <col min="15626" max="15626" width="5.75" style="3023" customWidth="1"/>
    <col min="15627" max="15627" width="11.75" style="3023" customWidth="1"/>
    <col min="15628" max="15629" width="10.75" style="3023" customWidth="1"/>
    <col min="15630" max="15630" width="10" style="3023" customWidth="1"/>
    <col min="15631" max="15632" width="10.5" style="3023" bestFit="1" customWidth="1"/>
    <col min="15633" max="15633" width="10" style="3023" customWidth="1"/>
    <col min="15634" max="15634" width="10.125" style="3023" customWidth="1"/>
    <col min="15635" max="15635" width="10" style="3023" customWidth="1"/>
    <col min="15636" max="15636" width="26.125" style="3023" customWidth="1"/>
    <col min="15637" max="15872" width="8.875" style="3023"/>
    <col min="15873" max="15873" width="9.5" style="3023" customWidth="1"/>
    <col min="15874" max="15874" width="8.875" style="3023"/>
    <col min="15875" max="15877" width="12.875" style="3023" customWidth="1"/>
    <col min="15878" max="15878" width="47.5" style="3023" customWidth="1"/>
    <col min="15879" max="15879" width="13" style="3023" customWidth="1"/>
    <col min="15880" max="15881" width="8.875" style="3023"/>
    <col min="15882" max="15882" width="5.75" style="3023" customWidth="1"/>
    <col min="15883" max="15883" width="11.75" style="3023" customWidth="1"/>
    <col min="15884" max="15885" width="10.75" style="3023" customWidth="1"/>
    <col min="15886" max="15886" width="10" style="3023" customWidth="1"/>
    <col min="15887" max="15888" width="10.5" style="3023" bestFit="1" customWidth="1"/>
    <col min="15889" max="15889" width="10" style="3023" customWidth="1"/>
    <col min="15890" max="15890" width="10.125" style="3023" customWidth="1"/>
    <col min="15891" max="15891" width="10" style="3023" customWidth="1"/>
    <col min="15892" max="15892" width="26.125" style="3023" customWidth="1"/>
    <col min="15893" max="16128" width="8.875" style="3023"/>
    <col min="16129" max="16129" width="9.5" style="3023" customWidth="1"/>
    <col min="16130" max="16130" width="8.875" style="3023"/>
    <col min="16131" max="16133" width="12.875" style="3023" customWidth="1"/>
    <col min="16134" max="16134" width="47.5" style="3023" customWidth="1"/>
    <col min="16135" max="16135" width="13" style="3023" customWidth="1"/>
    <col min="16136" max="16137" width="8.875" style="3023"/>
    <col min="16138" max="16138" width="5.75" style="3023" customWidth="1"/>
    <col min="16139" max="16139" width="11.75" style="3023" customWidth="1"/>
    <col min="16140" max="16141" width="10.75" style="3023" customWidth="1"/>
    <col min="16142" max="16142" width="10" style="3023" customWidth="1"/>
    <col min="16143" max="16144" width="10.5" style="3023" bestFit="1" customWidth="1"/>
    <col min="16145" max="16145" width="10" style="3023" customWidth="1"/>
    <col min="16146" max="16146" width="10.125" style="3023" customWidth="1"/>
    <col min="16147" max="16147" width="10" style="3023" customWidth="1"/>
    <col min="16148" max="16148" width="26.125" style="3023" customWidth="1"/>
    <col min="16149" max="16384" width="8.875" style="3023"/>
  </cols>
  <sheetData>
    <row r="1" spans="1:22" ht="21" customHeight="1">
      <c r="A1" s="3012" t="s">
        <v>2939</v>
      </c>
      <c r="B1" s="3013"/>
      <c r="C1" s="3025"/>
      <c r="D1" s="3025"/>
      <c r="E1" s="3014"/>
      <c r="F1" s="3015"/>
      <c r="G1" s="3016"/>
      <c r="J1" s="3019" t="s">
        <v>2818</v>
      </c>
      <c r="K1" s="3020"/>
      <c r="L1" s="3020"/>
      <c r="M1" s="3020"/>
      <c r="N1" s="3020"/>
      <c r="O1" s="3020"/>
      <c r="P1" s="3020"/>
      <c r="Q1" s="3020"/>
      <c r="R1" s="3021"/>
      <c r="S1" s="3022"/>
      <c r="T1" s="3022"/>
      <c r="U1" s="3022"/>
    </row>
    <row r="2" spans="1:22" s="3034" customFormat="1" ht="13.15" customHeight="1">
      <c r="A2" s="1520" t="s">
        <v>2819</v>
      </c>
      <c r="B2" s="3024" t="e">
        <f>C40</f>
        <v>#DIV/0!</v>
      </c>
      <c r="C2" s="3025" t="s">
        <v>2820</v>
      </c>
      <c r="D2" s="3025"/>
      <c r="E2" s="3026"/>
      <c r="F2" s="3027"/>
      <c r="G2" s="3028"/>
      <c r="H2" s="3029"/>
      <c r="I2" s="3030"/>
      <c r="J2" s="3429" t="s">
        <v>2821</v>
      </c>
      <c r="K2" s="3430"/>
      <c r="L2" s="3031" t="s">
        <v>2822</v>
      </c>
      <c r="M2" s="3031" t="s">
        <v>2823</v>
      </c>
      <c r="N2" s="3031" t="s">
        <v>2824</v>
      </c>
      <c r="O2" s="3031" t="s">
        <v>2825</v>
      </c>
      <c r="P2" s="3031" t="s">
        <v>2826</v>
      </c>
      <c r="Q2" s="3032" t="s">
        <v>2827</v>
      </c>
      <c r="R2" s="3033" t="s">
        <v>2828</v>
      </c>
      <c r="S2" s="3022"/>
      <c r="T2" s="3022"/>
      <c r="U2" s="3022"/>
      <c r="V2" s="3030"/>
    </row>
    <row r="3" spans="1:22" s="3034" customFormat="1" ht="13.15" customHeight="1">
      <c r="A3" s="3035" t="s">
        <v>2829</v>
      </c>
      <c r="B3" s="3036" t="e">
        <f>ROUND(B2*10000/B4,0)</f>
        <v>#DIV/0!</v>
      </c>
      <c r="C3" s="3025" t="s">
        <v>2830</v>
      </c>
      <c r="D3" s="3025"/>
      <c r="E3" s="3026"/>
      <c r="F3" s="3027"/>
      <c r="G3" s="3028"/>
      <c r="H3" s="3029"/>
      <c r="I3" s="3030"/>
      <c r="J3" s="3431" t="s">
        <v>2831</v>
      </c>
      <c r="K3" s="3432"/>
      <c r="L3" s="3037"/>
      <c r="M3" s="3037"/>
      <c r="N3" s="3037"/>
      <c r="O3" s="3037"/>
      <c r="P3" s="3037"/>
      <c r="Q3" s="3038"/>
      <c r="R3" s="3039">
        <f>SUM(L3:Q3)</f>
        <v>0</v>
      </c>
      <c r="S3" s="3022"/>
      <c r="T3" s="3022"/>
      <c r="U3" s="3022"/>
      <c r="V3" s="3030"/>
    </row>
    <row r="4" spans="1:22" s="3034" customFormat="1" ht="13.15" customHeight="1">
      <c r="A4" s="3040" t="s">
        <v>2832</v>
      </c>
      <c r="B4" s="3041"/>
      <c r="C4" s="3025"/>
      <c r="D4" s="3025"/>
      <c r="E4" s="3026"/>
      <c r="F4" s="3027"/>
      <c r="G4" s="3028"/>
      <c r="H4" s="3029"/>
      <c r="I4" s="3030"/>
      <c r="J4" s="3431" t="s">
        <v>2833</v>
      </c>
      <c r="K4" s="3432"/>
      <c r="L4" s="3042"/>
      <c r="M4" s="3042"/>
      <c r="N4" s="3042"/>
      <c r="O4" s="3042"/>
      <c r="P4" s="3042"/>
      <c r="Q4" s="3043"/>
      <c r="R4" s="3044">
        <f>SUM(L4:Q4)</f>
        <v>0</v>
      </c>
      <c r="S4" s="3022"/>
      <c r="T4" s="3022"/>
      <c r="U4" s="3022"/>
      <c r="V4" s="3030"/>
    </row>
    <row r="5" spans="1:22" s="3034" customFormat="1" ht="13.15" customHeight="1" thickBot="1">
      <c r="A5" s="3045" t="s">
        <v>2834</v>
      </c>
      <c r="B5" s="3046"/>
      <c r="C5" s="3025"/>
      <c r="D5" s="3047"/>
      <c r="E5" s="3027"/>
      <c r="F5" s="3027"/>
      <c r="G5" s="3028"/>
      <c r="H5" s="3029"/>
      <c r="I5" s="3030"/>
      <c r="J5" s="3048" t="s">
        <v>2835</v>
      </c>
      <c r="K5" s="3049"/>
      <c r="L5" s="3049"/>
      <c r="M5" s="3050"/>
      <c r="N5" s="3050"/>
      <c r="O5" s="3050"/>
      <c r="P5" s="3050"/>
      <c r="Q5" s="3050"/>
      <c r="R5" s="3033">
        <f>SUM(R14,R19,R24,R25,R27,R28)</f>
        <v>0</v>
      </c>
      <c r="S5" s="3022"/>
      <c r="T5" s="3022" t="s">
        <v>2836</v>
      </c>
      <c r="U5" s="3022" t="e">
        <f>ROUND(R5*10000/365/R3,1)</f>
        <v>#DIV/0!</v>
      </c>
      <c r="V5" s="3030"/>
    </row>
    <row r="6" spans="1:22" s="3034" customFormat="1" ht="13.15" customHeight="1" thickBot="1">
      <c r="A6" s="3433" t="s">
        <v>2837</v>
      </c>
      <c r="B6" s="3434"/>
      <c r="C6" s="3435"/>
      <c r="D6" s="3051"/>
      <c r="E6" s="3052"/>
      <c r="F6" s="3053"/>
      <c r="G6" s="3054"/>
      <c r="H6" s="3029"/>
      <c r="I6" s="3030"/>
      <c r="J6" s="3436">
        <v>1</v>
      </c>
      <c r="K6" s="3437" t="s">
        <v>2838</v>
      </c>
      <c r="L6" s="3055" t="s">
        <v>2839</v>
      </c>
      <c r="M6" s="3056" t="s">
        <v>2840</v>
      </c>
      <c r="N6" s="3056" t="s">
        <v>2841</v>
      </c>
      <c r="O6" s="3056" t="s">
        <v>2842</v>
      </c>
      <c r="P6" s="3056" t="s">
        <v>2843</v>
      </c>
      <c r="Q6" s="3056" t="s">
        <v>2844</v>
      </c>
      <c r="R6" s="3039" t="s">
        <v>2845</v>
      </c>
      <c r="S6" s="3022"/>
      <c r="T6" s="3022" t="s">
        <v>2846</v>
      </c>
      <c r="U6" s="3022"/>
      <c r="V6" s="3030"/>
    </row>
    <row r="7" spans="1:22" s="3034" customFormat="1" ht="13.15" customHeight="1">
      <c r="A7" s="3057" t="s">
        <v>2847</v>
      </c>
      <c r="B7" s="3058"/>
      <c r="C7" s="3059"/>
      <c r="D7" s="3060">
        <f>SUM(D9,D10,D11,D17,0)</f>
        <v>0</v>
      </c>
      <c r="E7" s="3061" t="e">
        <f>E9+E10+E11+E17</f>
        <v>#DIV/0!</v>
      </c>
      <c r="F7" s="3062"/>
      <c r="G7" s="3063"/>
      <c r="H7" s="3029"/>
      <c r="I7" s="3030"/>
      <c r="J7" s="3436"/>
      <c r="K7" s="3438"/>
      <c r="L7" s="3064" t="s">
        <v>2848</v>
      </c>
      <c r="M7" s="3065"/>
      <c r="N7" s="3041"/>
      <c r="O7" s="3066"/>
      <c r="P7" s="3066"/>
      <c r="Q7" s="3067">
        <v>365</v>
      </c>
      <c r="R7" s="3068">
        <f>ROUND(M7*N7*O7*P7*Q7/10000,0)</f>
        <v>0</v>
      </c>
      <c r="S7" s="3022"/>
      <c r="T7" s="3022" t="s">
        <v>2849</v>
      </c>
      <c r="U7" s="3022"/>
      <c r="V7" s="3030"/>
    </row>
    <row r="8" spans="1:22" s="3034" customFormat="1" ht="13.15" customHeight="1">
      <c r="A8" s="3069" t="s">
        <v>2850</v>
      </c>
      <c r="B8" s="3440" t="s">
        <v>2851</v>
      </c>
      <c r="C8" s="3441"/>
      <c r="D8" s="3070" t="s">
        <v>2852</v>
      </c>
      <c r="E8" s="3071" t="s">
        <v>2853</v>
      </c>
      <c r="F8" s="3072" t="s">
        <v>2854</v>
      </c>
      <c r="G8" s="3073"/>
      <c r="H8" s="3029"/>
      <c r="I8" s="3030"/>
      <c r="J8" s="3436"/>
      <c r="K8" s="3438"/>
      <c r="L8" s="3064" t="s">
        <v>2855</v>
      </c>
      <c r="M8" s="3065"/>
      <c r="N8" s="3041"/>
      <c r="O8" s="3066"/>
      <c r="P8" s="3066"/>
      <c r="Q8" s="3067">
        <v>365</v>
      </c>
      <c r="R8" s="3068">
        <f t="shared" ref="R8:R13" si="0">ROUND(M8*N8*O8*P8*Q8/10000,0)</f>
        <v>0</v>
      </c>
      <c r="S8" s="3022"/>
      <c r="T8" s="3022" t="s">
        <v>2856</v>
      </c>
      <c r="U8" s="3022"/>
      <c r="V8" s="3030"/>
    </row>
    <row r="9" spans="1:22" s="3034" customFormat="1" ht="13.15" customHeight="1">
      <c r="A9" s="3069">
        <v>1</v>
      </c>
      <c r="B9" s="3440" t="s">
        <v>2857</v>
      </c>
      <c r="C9" s="3441"/>
      <c r="D9" s="3070">
        <f>ROUND(D6*E9,0)</f>
        <v>0</v>
      </c>
      <c r="E9" s="3074"/>
      <c r="F9" s="3075" t="s">
        <v>2858</v>
      </c>
      <c r="G9" s="3054"/>
      <c r="H9" s="3029"/>
      <c r="I9" s="3030"/>
      <c r="J9" s="3436"/>
      <c r="K9" s="3438"/>
      <c r="L9" s="3064" t="s">
        <v>2859</v>
      </c>
      <c r="M9" s="3065"/>
      <c r="N9" s="3041"/>
      <c r="O9" s="3066"/>
      <c r="P9" s="3066"/>
      <c r="Q9" s="3067">
        <v>365</v>
      </c>
      <c r="R9" s="3068">
        <f t="shared" si="0"/>
        <v>0</v>
      </c>
      <c r="S9" s="3022"/>
      <c r="T9" s="3022"/>
      <c r="U9" s="3022"/>
      <c r="V9" s="3030"/>
    </row>
    <row r="10" spans="1:22" s="3034" customFormat="1" ht="13.15" customHeight="1">
      <c r="A10" s="3069">
        <v>2</v>
      </c>
      <c r="B10" s="3440" t="s">
        <v>2860</v>
      </c>
      <c r="C10" s="3441"/>
      <c r="D10" s="3070">
        <f>ROUND(D6*E10,0)</f>
        <v>0</v>
      </c>
      <c r="E10" s="3074"/>
      <c r="F10" s="3075" t="s">
        <v>2861</v>
      </c>
      <c r="G10" s="3054"/>
      <c r="H10" s="3029"/>
      <c r="I10" s="3030"/>
      <c r="J10" s="3436"/>
      <c r="K10" s="3438"/>
      <c r="L10" s="3064" t="s">
        <v>2862</v>
      </c>
      <c r="M10" s="3065"/>
      <c r="N10" s="3041"/>
      <c r="O10" s="3066"/>
      <c r="P10" s="3066"/>
      <c r="Q10" s="3067">
        <v>365</v>
      </c>
      <c r="R10" s="3068">
        <f t="shared" si="0"/>
        <v>0</v>
      </c>
      <c r="S10" s="3022"/>
      <c r="T10" s="3022"/>
      <c r="U10" s="3022"/>
      <c r="V10" s="3030"/>
    </row>
    <row r="11" spans="1:22" s="3034" customFormat="1" ht="13.15" customHeight="1">
      <c r="A11" s="3069">
        <v>3</v>
      </c>
      <c r="B11" s="3440" t="s">
        <v>2863</v>
      </c>
      <c r="C11" s="3441"/>
      <c r="D11" s="3070">
        <f>D12+D14+D15+D16</f>
        <v>0</v>
      </c>
      <c r="E11" s="3076" t="e">
        <f>D11/D6</f>
        <v>#DIV/0!</v>
      </c>
      <c r="F11" s="3072"/>
      <c r="G11" s="3073"/>
      <c r="H11" s="3029"/>
      <c r="I11" s="3030"/>
      <c r="J11" s="3436"/>
      <c r="K11" s="3438"/>
      <c r="L11" s="3064" t="s">
        <v>2864</v>
      </c>
      <c r="M11" s="3065"/>
      <c r="N11" s="3041"/>
      <c r="O11" s="3066"/>
      <c r="P11" s="3066"/>
      <c r="Q11" s="3067">
        <v>365</v>
      </c>
      <c r="R11" s="3068">
        <f t="shared" si="0"/>
        <v>0</v>
      </c>
      <c r="S11" s="3022"/>
      <c r="T11" s="3022"/>
      <c r="U11" s="3022"/>
      <c r="V11" s="3030"/>
    </row>
    <row r="12" spans="1:22" s="3034" customFormat="1" ht="13.15" customHeight="1">
      <c r="A12" s="3077" t="s">
        <v>2865</v>
      </c>
      <c r="B12" s="3442" t="s">
        <v>2866</v>
      </c>
      <c r="C12" s="3443"/>
      <c r="D12" s="3078">
        <f>ROUND(D13*1.2%*(1-30%),0)</f>
        <v>0</v>
      </c>
      <c r="E12" s="3079">
        <v>1.2E-2</v>
      </c>
      <c r="F12" s="3072" t="s">
        <v>2867</v>
      </c>
      <c r="G12" s="3073"/>
      <c r="H12" s="3029"/>
      <c r="I12" s="3030"/>
      <c r="J12" s="3436"/>
      <c r="K12" s="3438"/>
      <c r="L12" s="3064" t="s">
        <v>2868</v>
      </c>
      <c r="M12" s="3065"/>
      <c r="N12" s="3041"/>
      <c r="O12" s="3066"/>
      <c r="P12" s="3066"/>
      <c r="Q12" s="3067">
        <v>365</v>
      </c>
      <c r="R12" s="3068">
        <f t="shared" si="0"/>
        <v>0</v>
      </c>
      <c r="S12" s="3022"/>
      <c r="T12" s="3022"/>
      <c r="U12" s="3022"/>
      <c r="V12" s="3030"/>
    </row>
    <row r="13" spans="1:22" s="3034" customFormat="1" ht="13.15" customHeight="1">
      <c r="A13" s="3077"/>
      <c r="B13" s="3080"/>
      <c r="C13" s="3081" t="s">
        <v>2869</v>
      </c>
      <c r="D13" s="3082"/>
      <c r="E13" s="3083"/>
      <c r="F13" s="3072"/>
      <c r="G13" s="3073"/>
      <c r="H13" s="3029"/>
      <c r="I13" s="3030"/>
      <c r="J13" s="3436"/>
      <c r="K13" s="3438"/>
      <c r="L13" s="3064" t="s">
        <v>2870</v>
      </c>
      <c r="M13" s="3065"/>
      <c r="N13" s="3041"/>
      <c r="O13" s="3066"/>
      <c r="P13" s="3066"/>
      <c r="Q13" s="3067">
        <v>365</v>
      </c>
      <c r="R13" s="3068">
        <f t="shared" si="0"/>
        <v>0</v>
      </c>
      <c r="S13" s="3022"/>
      <c r="T13" s="3022"/>
      <c r="U13" s="3022"/>
      <c r="V13" s="3030"/>
    </row>
    <row r="14" spans="1:22" s="3034" customFormat="1" ht="13.15" customHeight="1">
      <c r="A14" s="3077" t="s">
        <v>2871</v>
      </c>
      <c r="B14" s="3442" t="s">
        <v>2872</v>
      </c>
      <c r="C14" s="3443"/>
      <c r="D14" s="3078">
        <f>ROUND(E14*B5/10000,0)</f>
        <v>0</v>
      </c>
      <c r="E14" s="3067"/>
      <c r="F14" s="3072" t="s">
        <v>2873</v>
      </c>
      <c r="G14" s="3073"/>
      <c r="H14" s="3029"/>
      <c r="I14" s="3030"/>
      <c r="J14" s="3436"/>
      <c r="K14" s="3439"/>
      <c r="L14" s="3084" t="s">
        <v>2874</v>
      </c>
      <c r="M14" s="3085">
        <f>SUM(M7:M13)</f>
        <v>0</v>
      </c>
      <c r="N14" s="3085" t="e">
        <f>ROUND((N7*M7+N8*M8+N9*M9+N10*M10+N11*M11+N12*M12+N13*M13)/M14,0)</f>
        <v>#DIV/0!</v>
      </c>
      <c r="O14" s="3086"/>
      <c r="P14" s="3086"/>
      <c r="Q14" s="3087"/>
      <c r="R14" s="3033">
        <f>SUM(R7:R13)</f>
        <v>0</v>
      </c>
      <c r="S14" s="3022"/>
      <c r="T14" s="3022"/>
      <c r="U14" s="3022"/>
      <c r="V14" s="3030"/>
    </row>
    <row r="15" spans="1:22" s="3034" customFormat="1" ht="13.15" customHeight="1">
      <c r="A15" s="3077" t="s">
        <v>2875</v>
      </c>
      <c r="B15" s="3442" t="s">
        <v>2876</v>
      </c>
      <c r="C15" s="3443"/>
      <c r="D15" s="3078">
        <f>ROUND(D6*E15,0)</f>
        <v>0</v>
      </c>
      <c r="E15" s="3079">
        <v>5.5E-2</v>
      </c>
      <c r="F15" s="3072" t="s">
        <v>2877</v>
      </c>
      <c r="G15" s="3054"/>
      <c r="H15" s="3029"/>
      <c r="I15" s="3030"/>
      <c r="J15" s="3436">
        <v>2</v>
      </c>
      <c r="K15" s="3437" t="s">
        <v>2878</v>
      </c>
      <c r="L15" s="3064" t="s">
        <v>2879</v>
      </c>
      <c r="M15" s="3065" t="s">
        <v>2880</v>
      </c>
      <c r="N15" s="3065" t="s">
        <v>2881</v>
      </c>
      <c r="O15" s="3066" t="s">
        <v>2882</v>
      </c>
      <c r="P15" s="3066" t="s">
        <v>2844</v>
      </c>
      <c r="Q15" s="3041" t="s">
        <v>2883</v>
      </c>
      <c r="R15" s="3088" t="s">
        <v>2845</v>
      </c>
      <c r="S15" s="3022"/>
      <c r="T15" s="3022"/>
      <c r="U15" s="3022"/>
      <c r="V15" s="3030"/>
    </row>
    <row r="16" spans="1:22" s="3034" customFormat="1" ht="13.15" customHeight="1">
      <c r="A16" s="3077" t="s">
        <v>2884</v>
      </c>
      <c r="B16" s="3442" t="s">
        <v>2885</v>
      </c>
      <c r="C16" s="3443"/>
      <c r="D16" s="3089">
        <f>D6*E16</f>
        <v>0</v>
      </c>
      <c r="E16" s="3090"/>
      <c r="F16" s="3075" t="s">
        <v>2886</v>
      </c>
      <c r="G16" s="3054"/>
      <c r="H16" s="3029"/>
      <c r="I16" s="3030"/>
      <c r="J16" s="3436"/>
      <c r="K16" s="3438"/>
      <c r="L16" s="3064" t="s">
        <v>2887</v>
      </c>
      <c r="M16" s="3065"/>
      <c r="N16" s="3065"/>
      <c r="O16" s="3066"/>
      <c r="P16" s="3067">
        <v>365</v>
      </c>
      <c r="Q16" s="3041"/>
      <c r="R16" s="3088">
        <f>ROUND(M16*N16*O16*P16/10000,0)</f>
        <v>0</v>
      </c>
      <c r="S16" s="3022"/>
      <c r="T16" s="3022"/>
      <c r="U16" s="3022"/>
      <c r="V16" s="3030"/>
    </row>
    <row r="17" spans="1:22" s="3034" customFormat="1" ht="13.15" customHeight="1" thickBot="1">
      <c r="A17" s="3091">
        <v>4</v>
      </c>
      <c r="B17" s="3444" t="s">
        <v>2888</v>
      </c>
      <c r="C17" s="3445"/>
      <c r="D17" s="3092">
        <f>ROUND(D6*E17,0)</f>
        <v>0</v>
      </c>
      <c r="E17" s="3093"/>
      <c r="F17" s="3094" t="s">
        <v>2889</v>
      </c>
      <c r="G17" s="3054"/>
      <c r="H17" s="3029"/>
      <c r="I17" s="3030"/>
      <c r="J17" s="3436"/>
      <c r="K17" s="3438"/>
      <c r="L17" s="3064" t="s">
        <v>2890</v>
      </c>
      <c r="M17" s="3065"/>
      <c r="N17" s="3065"/>
      <c r="O17" s="3066"/>
      <c r="P17" s="3067">
        <v>365</v>
      </c>
      <c r="Q17" s="3041"/>
      <c r="R17" s="3088">
        <f>ROUND(M17*N17*O17*P17/10000,0)</f>
        <v>0</v>
      </c>
      <c r="S17" s="3022"/>
      <c r="T17" s="3022"/>
      <c r="U17" s="3022"/>
      <c r="V17" s="3030"/>
    </row>
    <row r="18" spans="1:22" s="3034" customFormat="1" ht="13.15" customHeight="1" thickBot="1">
      <c r="A18" s="3057" t="s">
        <v>2891</v>
      </c>
      <c r="B18" s="3058"/>
      <c r="C18" s="3058"/>
      <c r="D18" s="3095">
        <f>ROUND(D6*E18,0)</f>
        <v>0</v>
      </c>
      <c r="E18" s="3096"/>
      <c r="F18" s="3097" t="s">
        <v>2892</v>
      </c>
      <c r="G18" s="3054"/>
      <c r="H18" s="3029"/>
      <c r="I18" s="3030"/>
      <c r="J18" s="3436"/>
      <c r="K18" s="3438"/>
      <c r="L18" s="3064" t="s">
        <v>2893</v>
      </c>
      <c r="M18" s="3065"/>
      <c r="N18" s="3065"/>
      <c r="O18" s="3066"/>
      <c r="P18" s="3067">
        <v>365</v>
      </c>
      <c r="Q18" s="3041"/>
      <c r="R18" s="3088">
        <f>ROUND(M18*N18*O18*P18/10000,0)</f>
        <v>0</v>
      </c>
      <c r="S18" s="3022"/>
      <c r="T18" s="3022"/>
      <c r="U18" s="3022"/>
      <c r="V18" s="3030"/>
    </row>
    <row r="19" spans="1:22" s="3034" customFormat="1" ht="13.15" customHeight="1" thickBot="1">
      <c r="A19" s="3098" t="s">
        <v>2894</v>
      </c>
      <c r="B19" s="3052"/>
      <c r="C19" s="3052"/>
      <c r="D19" s="3052"/>
      <c r="E19" s="3052"/>
      <c r="F19" s="3053"/>
      <c r="G19" s="3073"/>
      <c r="H19" s="3029"/>
      <c r="I19" s="3030"/>
      <c r="J19" s="3436"/>
      <c r="K19" s="3439"/>
      <c r="L19" s="3084" t="s">
        <v>2874</v>
      </c>
      <c r="M19" s="3085"/>
      <c r="N19" s="3085">
        <f>SUM(N16:N18)</f>
        <v>0</v>
      </c>
      <c r="O19" s="3086"/>
      <c r="P19" s="3099" t="s">
        <v>2938</v>
      </c>
      <c r="Q19" s="3066">
        <v>0</v>
      </c>
      <c r="R19" s="3100">
        <f>ROUND(IF(P19="按比例",R14*Q19,SUM(R16:R18)),0)</f>
        <v>0</v>
      </c>
      <c r="S19" s="3022"/>
      <c r="T19" s="3022"/>
      <c r="U19" s="3022"/>
      <c r="V19" s="3030"/>
    </row>
    <row r="20" spans="1:22" s="3034" customFormat="1" ht="13.15" customHeight="1">
      <c r="A20" s="3057"/>
      <c r="B20" s="3058"/>
      <c r="C20" s="3058"/>
      <c r="D20" s="3058"/>
      <c r="E20" s="3058"/>
      <c r="F20" s="3101"/>
      <c r="G20" s="3073"/>
      <c r="H20" s="3029"/>
      <c r="I20" s="3030"/>
      <c r="J20" s="3436">
        <v>3</v>
      </c>
      <c r="K20" s="3437" t="s">
        <v>2895</v>
      </c>
      <c r="L20" s="3064" t="s">
        <v>2896</v>
      </c>
      <c r="M20" s="3065" t="s">
        <v>2897</v>
      </c>
      <c r="N20" s="3102" t="s">
        <v>2898</v>
      </c>
      <c r="O20" s="3066" t="s">
        <v>2899</v>
      </c>
      <c r="P20" s="3067" t="s">
        <v>2900</v>
      </c>
      <c r="Q20" s="3041" t="s">
        <v>2901</v>
      </c>
      <c r="R20" s="3088" t="s">
        <v>2902</v>
      </c>
      <c r="S20" s="3103"/>
      <c r="T20" s="3103"/>
      <c r="U20" s="3103"/>
      <c r="V20" s="3030"/>
    </row>
    <row r="21" spans="1:22" s="3034" customFormat="1" ht="13.15" customHeight="1">
      <c r="A21" s="3057"/>
      <c r="B21" s="3058"/>
      <c r="C21" s="3104" t="s">
        <v>2903</v>
      </c>
      <c r="D21" s="3105" t="s">
        <v>2904</v>
      </c>
      <c r="E21" s="3106" t="s">
        <v>2905</v>
      </c>
      <c r="F21" s="3101"/>
      <c r="G21" s="3073"/>
      <c r="H21" s="3029"/>
      <c r="I21" s="3030"/>
      <c r="J21" s="3436"/>
      <c r="K21" s="3438"/>
      <c r="L21" s="3064" t="s">
        <v>2906</v>
      </c>
      <c r="M21" s="3065"/>
      <c r="N21" s="3065"/>
      <c r="O21" s="3066"/>
      <c r="P21" s="3067">
        <v>365</v>
      </c>
      <c r="Q21" s="3041"/>
      <c r="R21" s="3107">
        <f>ROUND(M21*N21*O21*P21/10000,0)</f>
        <v>0</v>
      </c>
      <c r="S21" s="3103"/>
      <c r="T21" s="3103"/>
      <c r="U21" s="3103"/>
      <c r="V21" s="3030"/>
    </row>
    <row r="22" spans="1:22" s="3034" customFormat="1" ht="13.15" customHeight="1">
      <c r="A22" s="3057"/>
      <c r="B22" s="3058"/>
      <c r="C22" s="3108" t="s">
        <v>2907</v>
      </c>
      <c r="D22" s="3109" t="s">
        <v>2908</v>
      </c>
      <c r="E22" s="3110" t="s">
        <v>2909</v>
      </c>
      <c r="F22" s="3101"/>
      <c r="G22" s="3111"/>
      <c r="H22" s="3029"/>
      <c r="I22" s="3030"/>
      <c r="J22" s="3436"/>
      <c r="K22" s="3438"/>
      <c r="L22" s="3064" t="s">
        <v>2910</v>
      </c>
      <c r="M22" s="3065"/>
      <c r="N22" s="3065"/>
      <c r="O22" s="3066"/>
      <c r="P22" s="3067">
        <v>365</v>
      </c>
      <c r="Q22" s="3041"/>
      <c r="R22" s="3107">
        <f>ROUND(M22*N22*O22*P22/10000,0)</f>
        <v>0</v>
      </c>
      <c r="S22" s="3103"/>
      <c r="T22" s="3103"/>
      <c r="U22" s="3103"/>
      <c r="V22" s="3030"/>
    </row>
    <row r="23" spans="1:22" s="3034" customFormat="1" ht="13.15" customHeight="1">
      <c r="A23" s="3112">
        <v>1</v>
      </c>
      <c r="B23" s="3113" t="s">
        <v>2911</v>
      </c>
      <c r="C23" s="3114">
        <f>D6</f>
        <v>0</v>
      </c>
      <c r="D23" s="3115">
        <f>C23*(1+D24)</f>
        <v>0</v>
      </c>
      <c r="E23" s="3116">
        <f>D23*(1+E24)</f>
        <v>0</v>
      </c>
      <c r="F23" s="3117"/>
      <c r="G23" s="3118"/>
      <c r="H23" s="3029"/>
      <c r="I23" s="3030"/>
      <c r="J23" s="3436"/>
      <c r="K23" s="3438"/>
      <c r="L23" s="3064" t="s">
        <v>2912</v>
      </c>
      <c r="M23" s="3065"/>
      <c r="N23" s="3065"/>
      <c r="O23" s="3066"/>
      <c r="P23" s="3067">
        <v>365</v>
      </c>
      <c r="Q23" s="3041"/>
      <c r="R23" s="3107">
        <f>ROUND(M23*N23*O23*P23/10000,0)</f>
        <v>0</v>
      </c>
      <c r="S23" s="3022"/>
      <c r="T23" s="3022"/>
      <c r="U23" s="3022"/>
      <c r="V23" s="3030"/>
    </row>
    <row r="24" spans="1:22" s="3034" customFormat="1" ht="13.15" customHeight="1">
      <c r="A24" s="3119"/>
      <c r="B24" s="3120" t="s">
        <v>2913</v>
      </c>
      <c r="C24" s="3121"/>
      <c r="D24" s="3122"/>
      <c r="E24" s="3123"/>
      <c r="F24" s="3124"/>
      <c r="G24" s="3118"/>
      <c r="H24" s="3029"/>
      <c r="I24" s="3030"/>
      <c r="J24" s="3436"/>
      <c r="K24" s="3439"/>
      <c r="L24" s="3084" t="s">
        <v>2874</v>
      </c>
      <c r="M24" s="3085">
        <f>SUM(M21:M23)</f>
        <v>0</v>
      </c>
      <c r="N24" s="3085"/>
      <c r="O24" s="3086"/>
      <c r="P24" s="3099" t="s">
        <v>2938</v>
      </c>
      <c r="Q24" s="3066">
        <v>0</v>
      </c>
      <c r="R24" s="3100">
        <f>ROUND(IF(P24="按比例",R14*Q24,SUM(R21:R23)),0)</f>
        <v>0</v>
      </c>
      <c r="S24" s="3022"/>
      <c r="T24" s="3022"/>
      <c r="U24" s="3022"/>
      <c r="V24" s="3030"/>
    </row>
    <row r="25" spans="1:22" s="3131" customFormat="1" ht="13.15" customHeight="1">
      <c r="A25" s="3119"/>
      <c r="B25" s="3120"/>
      <c r="C25" s="3121"/>
      <c r="D25" s="3122"/>
      <c r="E25" s="3123"/>
      <c r="F25" s="3124"/>
      <c r="G25" s="3111"/>
      <c r="H25" s="3029"/>
      <c r="I25" s="3030"/>
      <c r="J25" s="3125">
        <v>4</v>
      </c>
      <c r="K25" s="3126" t="s">
        <v>2914</v>
      </c>
      <c r="L25" s="3127"/>
      <c r="M25" s="3127"/>
      <c r="N25" s="3127"/>
      <c r="O25" s="3127"/>
      <c r="P25" s="3128"/>
      <c r="Q25" s="3129">
        <v>0</v>
      </c>
      <c r="R25" s="3100">
        <f>ROUND(R14*Q25,0)</f>
        <v>0</v>
      </c>
      <c r="S25" s="3022"/>
      <c r="T25" s="3022"/>
      <c r="U25" s="3022"/>
      <c r="V25" s="3130"/>
    </row>
    <row r="26" spans="1:22" s="3131" customFormat="1" ht="13.15" customHeight="1">
      <c r="A26" s="3112">
        <v>2</v>
      </c>
      <c r="B26" s="3113" t="s">
        <v>2915</v>
      </c>
      <c r="C26" s="3114">
        <f>D7</f>
        <v>0</v>
      </c>
      <c r="D26" s="3115">
        <f>D23*D27</f>
        <v>0</v>
      </c>
      <c r="E26" s="3116">
        <f>E23*E27</f>
        <v>0</v>
      </c>
      <c r="F26" s="3117"/>
      <c r="G26" s="3118"/>
      <c r="H26" s="3029"/>
      <c r="I26" s="3030"/>
      <c r="J26" s="3446">
        <v>5</v>
      </c>
      <c r="K26" s="3132" t="s">
        <v>2916</v>
      </c>
      <c r="L26" s="3133"/>
      <c r="M26" s="3134"/>
      <c r="N26" s="3135" t="s">
        <v>2917</v>
      </c>
      <c r="O26" s="3135" t="s">
        <v>2918</v>
      </c>
      <c r="P26" s="3136" t="s">
        <v>2919</v>
      </c>
      <c r="Q26" s="3136" t="s">
        <v>2920</v>
      </c>
      <c r="R26" s="3039" t="s">
        <v>2845</v>
      </c>
      <c r="S26" s="3137"/>
      <c r="T26" s="3137"/>
      <c r="U26" s="3137"/>
      <c r="V26" s="3130"/>
    </row>
    <row r="27" spans="1:22" s="3034" customFormat="1" ht="13.15" customHeight="1">
      <c r="A27" s="3119"/>
      <c r="B27" s="3120" t="s">
        <v>2921</v>
      </c>
      <c r="C27" s="3138" t="e">
        <f>E7</f>
        <v>#DIV/0!</v>
      </c>
      <c r="D27" s="3122"/>
      <c r="E27" s="3123"/>
      <c r="F27" s="3124"/>
      <c r="G27" s="3118"/>
      <c r="H27" s="3139"/>
      <c r="I27" s="3130"/>
      <c r="J27" s="3447"/>
      <c r="K27" s="3140"/>
      <c r="L27" s="3141"/>
      <c r="M27" s="3142"/>
      <c r="N27" s="3143"/>
      <c r="O27" s="3143"/>
      <c r="P27" s="3143"/>
      <c r="Q27" s="3144"/>
      <c r="R27" s="3100">
        <f>ROUND(O27*N27*P27*(1-Q27)/10000,0)</f>
        <v>0</v>
      </c>
      <c r="S27" s="3022"/>
      <c r="T27" s="3022"/>
      <c r="U27" s="3022"/>
      <c r="V27" s="3030"/>
    </row>
    <row r="28" spans="1:22" s="3131" customFormat="1" ht="13.15" customHeight="1" thickBot="1">
      <c r="A28" s="3119"/>
      <c r="B28" s="3120"/>
      <c r="C28" s="3138"/>
      <c r="D28" s="3122"/>
      <c r="E28" s="3123" t="s">
        <v>2922</v>
      </c>
      <c r="F28" s="3124"/>
      <c r="G28" s="3111"/>
      <c r="H28" s="3139"/>
      <c r="I28" s="3130"/>
      <c r="J28" s="3145">
        <v>6</v>
      </c>
      <c r="K28" s="3146" t="s">
        <v>2923</v>
      </c>
      <c r="L28" s="3147" t="s">
        <v>2924</v>
      </c>
      <c r="M28" s="3148"/>
      <c r="N28" s="3147" t="s">
        <v>2925</v>
      </c>
      <c r="O28" s="3149"/>
      <c r="P28" s="3147" t="s">
        <v>2926</v>
      </c>
      <c r="Q28" s="3150">
        <v>1.4999999999999999E-2</v>
      </c>
      <c r="R28" s="3151"/>
      <c r="S28" s="3103"/>
      <c r="T28" s="3103"/>
      <c r="U28" s="3103"/>
      <c r="V28" s="3130"/>
    </row>
    <row r="29" spans="1:22" s="3131" customFormat="1" ht="13.15" customHeight="1">
      <c r="A29" s="3112">
        <v>3</v>
      </c>
      <c r="B29" s="3113" t="s">
        <v>2927</v>
      </c>
      <c r="C29" s="3114">
        <f>C23*C30</f>
        <v>0</v>
      </c>
      <c r="D29" s="3115">
        <f>D23*C30</f>
        <v>0</v>
      </c>
      <c r="E29" s="3116">
        <f>E23*C30</f>
        <v>0</v>
      </c>
      <c r="F29" s="3117"/>
      <c r="G29" s="3118"/>
      <c r="H29" s="3029"/>
      <c r="I29" s="3030"/>
      <c r="J29" s="3103"/>
      <c r="K29" s="3103"/>
      <c r="L29" s="3103"/>
      <c r="M29" s="3103"/>
      <c r="N29" s="3103"/>
      <c r="O29" s="3103"/>
      <c r="P29" s="3103"/>
      <c r="Q29" s="3103"/>
      <c r="R29" s="3103"/>
      <c r="S29" s="3103"/>
      <c r="T29" s="3103"/>
      <c r="U29" s="3103"/>
      <c r="V29" s="3130"/>
    </row>
    <row r="30" spans="1:22" s="3034" customFormat="1" ht="13.15" customHeight="1" thickBot="1">
      <c r="A30" s="3119"/>
      <c r="B30" s="3120" t="s">
        <v>2921</v>
      </c>
      <c r="C30" s="3138">
        <f>E18</f>
        <v>0</v>
      </c>
      <c r="D30" s="3152"/>
      <c r="E30" s="3083"/>
      <c r="F30" s="3124"/>
      <c r="G30" s="3118"/>
      <c r="H30" s="3139"/>
      <c r="I30" s="3130"/>
      <c r="J30" s="3103"/>
      <c r="K30" s="3103"/>
      <c r="L30" s="3103"/>
      <c r="M30" s="3103"/>
      <c r="N30" s="3103"/>
      <c r="O30" s="3103"/>
      <c r="P30" s="3103"/>
      <c r="Q30" s="3103"/>
      <c r="R30" s="3103"/>
      <c r="S30" s="3103"/>
      <c r="T30" s="3103"/>
      <c r="U30" s="3022"/>
      <c r="V30" s="3030"/>
    </row>
    <row r="31" spans="1:22" s="3131" customFormat="1" ht="13.15" customHeight="1">
      <c r="A31" s="3119"/>
      <c r="B31" s="3120"/>
      <c r="C31" s="3153"/>
      <c r="D31" s="3152"/>
      <c r="E31" s="3083"/>
      <c r="F31" s="3124"/>
      <c r="G31" s="3111"/>
      <c r="H31" s="3139"/>
      <c r="I31" s="3130"/>
      <c r="J31" s="3019" t="s">
        <v>2928</v>
      </c>
      <c r="K31" s="3020"/>
      <c r="L31" s="3020"/>
      <c r="M31" s="3020"/>
      <c r="N31" s="3020"/>
      <c r="O31" s="3020"/>
      <c r="P31" s="3020"/>
      <c r="Q31" s="3020"/>
      <c r="R31" s="3021"/>
      <c r="S31" s="3103"/>
      <c r="T31" s="3022"/>
      <c r="U31" s="3022"/>
      <c r="V31" s="3130"/>
    </row>
    <row r="32" spans="1:22" s="3131" customFormat="1" ht="13.15" customHeight="1">
      <c r="A32" s="3112">
        <v>4</v>
      </c>
      <c r="B32" s="3113" t="s">
        <v>2929</v>
      </c>
      <c r="C32" s="3114">
        <f>C23-C26-C29</f>
        <v>0</v>
      </c>
      <c r="D32" s="3115">
        <f>D23-D26-D29</f>
        <v>0</v>
      </c>
      <c r="E32" s="3116">
        <f>E23-E26-E29</f>
        <v>0</v>
      </c>
      <c r="F32" s="3117"/>
      <c r="G32" s="3111"/>
      <c r="H32" s="3029"/>
      <c r="I32" s="3030"/>
      <c r="J32" s="3429" t="s">
        <v>2821</v>
      </c>
      <c r="K32" s="3430"/>
      <c r="L32" s="3031" t="s">
        <v>2822</v>
      </c>
      <c r="M32" s="3031" t="s">
        <v>2823</v>
      </c>
      <c r="N32" s="3031" t="s">
        <v>2824</v>
      </c>
      <c r="O32" s="3031" t="s">
        <v>2825</v>
      </c>
      <c r="P32" s="3031" t="s">
        <v>2826</v>
      </c>
      <c r="Q32" s="3032" t="s">
        <v>2827</v>
      </c>
      <c r="R32" s="3154" t="s">
        <v>2828</v>
      </c>
      <c r="S32" s="3103"/>
      <c r="T32" s="3022"/>
      <c r="U32" s="3022"/>
      <c r="V32" s="3130"/>
    </row>
    <row r="33" spans="1:23" s="3034" customFormat="1" ht="13.15" customHeight="1">
      <c r="A33" s="3112"/>
      <c r="B33" s="3113"/>
      <c r="C33" s="3114"/>
      <c r="D33" s="3155"/>
      <c r="E33" s="3156"/>
      <c r="F33" s="3117"/>
      <c r="G33" s="3111"/>
      <c r="H33" s="3139"/>
      <c r="I33" s="3130"/>
      <c r="J33" s="3431" t="s">
        <v>2831</v>
      </c>
      <c r="K33" s="3432"/>
      <c r="L33" s="3037"/>
      <c r="M33" s="3037"/>
      <c r="N33" s="3037"/>
      <c r="O33" s="3037"/>
      <c r="P33" s="3037"/>
      <c r="Q33" s="3038"/>
      <c r="R33" s="3157">
        <f>SUM(L33:Q33)</f>
        <v>0</v>
      </c>
      <c r="S33" s="3103"/>
      <c r="T33" s="3022"/>
      <c r="U33" s="3022"/>
      <c r="V33" s="3030"/>
    </row>
    <row r="34" spans="1:23" s="3034" customFormat="1" ht="13.15" customHeight="1">
      <c r="A34" s="3112">
        <v>5</v>
      </c>
      <c r="B34" s="3113" t="s">
        <v>2930</v>
      </c>
      <c r="C34" s="3158"/>
      <c r="D34" s="3159"/>
      <c r="E34" s="3160"/>
      <c r="F34" s="3117"/>
      <c r="G34" s="3111"/>
      <c r="H34" s="3139"/>
      <c r="I34" s="3130"/>
      <c r="J34" s="3431" t="s">
        <v>2833</v>
      </c>
      <c r="K34" s="3432"/>
      <c r="L34" s="3042"/>
      <c r="M34" s="3042"/>
      <c r="N34" s="3042"/>
      <c r="O34" s="3042"/>
      <c r="P34" s="3042"/>
      <c r="Q34" s="3043"/>
      <c r="R34" s="3161">
        <f>SUM(L34:Q34)</f>
        <v>0</v>
      </c>
      <c r="S34" s="3103"/>
      <c r="T34" s="3022"/>
      <c r="U34" s="3022" t="e">
        <f>ROUND(R35*10000/365/R33,1)</f>
        <v>#DIV/0!</v>
      </c>
      <c r="V34" s="3030"/>
    </row>
    <row r="35" spans="1:23" s="3034" customFormat="1" ht="13.15" customHeight="1">
      <c r="A35" s="3112">
        <v>6</v>
      </c>
      <c r="B35" s="3113" t="s">
        <v>2931</v>
      </c>
      <c r="C35" s="3162"/>
      <c r="D35" s="3163"/>
      <c r="E35" s="3164"/>
      <c r="F35" s="3117"/>
      <c r="G35" s="3165"/>
      <c r="H35" s="3029"/>
      <c r="I35" s="3130"/>
      <c r="J35" s="3048" t="s">
        <v>2835</v>
      </c>
      <c r="K35" s="3049"/>
      <c r="L35" s="3049"/>
      <c r="M35" s="3050"/>
      <c r="N35" s="3050"/>
      <c r="O35" s="3050"/>
      <c r="P35" s="3050"/>
      <c r="Q35" s="3050"/>
      <c r="R35" s="3166">
        <f>R40+R41+R43</f>
        <v>0</v>
      </c>
      <c r="S35" s="3103"/>
      <c r="T35" s="3022" t="s">
        <v>2836</v>
      </c>
      <c r="U35" s="3022"/>
      <c r="V35" s="3030"/>
    </row>
    <row r="36" spans="1:23" s="3034" customFormat="1" ht="13.15" customHeight="1" thickBot="1">
      <c r="A36" s="3112">
        <v>7</v>
      </c>
      <c r="B36" s="3167" t="s">
        <v>2932</v>
      </c>
      <c r="C36" s="3168"/>
      <c r="D36" s="3169"/>
      <c r="E36" s="3170"/>
      <c r="F36" s="3171">
        <f>C36+D36+E36</f>
        <v>0</v>
      </c>
      <c r="G36" s="3111"/>
      <c r="H36" s="3029"/>
      <c r="I36" s="3030"/>
      <c r="J36" s="3436">
        <v>1</v>
      </c>
      <c r="K36" s="3437" t="s">
        <v>2933</v>
      </c>
      <c r="L36" s="3055"/>
      <c r="M36" s="3056"/>
      <c r="N36" s="3056"/>
      <c r="O36" s="3056"/>
      <c r="P36" s="3056"/>
      <c r="Q36" s="3056"/>
      <c r="R36" s="3039" t="s">
        <v>2845</v>
      </c>
      <c r="S36" s="3103"/>
      <c r="T36" s="3022" t="s">
        <v>2846</v>
      </c>
      <c r="U36" s="3022"/>
      <c r="V36" s="3030"/>
    </row>
    <row r="37" spans="1:23" s="3034" customFormat="1" ht="13.15" customHeight="1">
      <c r="A37" s="3112"/>
      <c r="B37" s="3113"/>
      <c r="C37" s="3113"/>
      <c r="D37" s="3113"/>
      <c r="E37" s="3113"/>
      <c r="F37" s="3117"/>
      <c r="G37" s="3111"/>
      <c r="H37" s="3029"/>
      <c r="I37" s="3030"/>
      <c r="J37" s="3436"/>
      <c r="K37" s="3438"/>
      <c r="L37" s="3064"/>
      <c r="M37" s="3065"/>
      <c r="N37" s="3041"/>
      <c r="O37" s="3066"/>
      <c r="P37" s="3066"/>
      <c r="Q37" s="3067"/>
      <c r="R37" s="3068"/>
      <c r="S37" s="3103"/>
      <c r="T37" s="3022" t="s">
        <v>2849</v>
      </c>
      <c r="U37" s="3022"/>
      <c r="V37" s="3030"/>
    </row>
    <row r="38" spans="1:23" s="3034" customFormat="1" ht="13.15" customHeight="1">
      <c r="A38" s="3112">
        <v>8</v>
      </c>
      <c r="B38" s="3113"/>
      <c r="C38" s="3070" t="e">
        <f>ROUND(C32*(1-((1+C35)/(1+C34))^C36)/(C34-C35),0)</f>
        <v>#DIV/0!</v>
      </c>
      <c r="D38" s="3070">
        <f>IF(D23=0,0,ROUND(D32*(1-((1+D35)/(1+D34))^D36)/(D34-D35),0))</f>
        <v>0</v>
      </c>
      <c r="E38" s="3070">
        <f>IF(E23=0,0,ROUND(E32*(1-((1+E35)/(1+E34))^E36)/(E34-E35),0))</f>
        <v>0</v>
      </c>
      <c r="F38" s="3117"/>
      <c r="G38" s="3111"/>
      <c r="H38" s="3029"/>
      <c r="I38" s="3030"/>
      <c r="J38" s="3436"/>
      <c r="K38" s="3438"/>
      <c r="L38" s="3064"/>
      <c r="M38" s="3065"/>
      <c r="N38" s="3041"/>
      <c r="O38" s="3066"/>
      <c r="P38" s="3066"/>
      <c r="Q38" s="3067"/>
      <c r="R38" s="3068"/>
      <c r="S38" s="3103"/>
      <c r="T38" s="3022" t="s">
        <v>2856</v>
      </c>
      <c r="U38" s="3022"/>
      <c r="V38" s="3030"/>
    </row>
    <row r="39" spans="1:23" s="3034" customFormat="1" ht="13.15" customHeight="1">
      <c r="A39" s="3112">
        <v>9</v>
      </c>
      <c r="B39" s="3113" t="s">
        <v>2934</v>
      </c>
      <c r="C39" s="3078" t="e">
        <f>C38</f>
        <v>#DIV/0!</v>
      </c>
      <c r="D39" s="3113">
        <f>D38/(1+D34)^C36</f>
        <v>0</v>
      </c>
      <c r="E39" s="3113">
        <f>E38/(1+E34)^(C36+D36)</f>
        <v>0</v>
      </c>
      <c r="F39" s="3117"/>
      <c r="G39" s="3172"/>
      <c r="H39" s="3029"/>
      <c r="I39" s="3030"/>
      <c r="J39" s="3436"/>
      <c r="K39" s="3438"/>
      <c r="L39" s="3064"/>
      <c r="M39" s="3065"/>
      <c r="N39" s="3041"/>
      <c r="O39" s="3066"/>
      <c r="P39" s="3066"/>
      <c r="Q39" s="3067"/>
      <c r="R39" s="3068"/>
      <c r="S39" s="3103"/>
      <c r="T39" s="3022"/>
      <c r="U39" s="3022"/>
      <c r="V39" s="3030"/>
    </row>
    <row r="40" spans="1:23" s="3034" customFormat="1" ht="13.15" customHeight="1">
      <c r="A40" s="3173">
        <v>10</v>
      </c>
      <c r="B40" s="3113" t="s">
        <v>2935</v>
      </c>
      <c r="C40" s="3174" t="e">
        <f>C39+D39+E39</f>
        <v>#DIV/0!</v>
      </c>
      <c r="D40" s="3175"/>
      <c r="E40" s="3175"/>
      <c r="F40" s="3176"/>
      <c r="G40" s="3111"/>
      <c r="H40" s="3029"/>
      <c r="I40" s="3030"/>
      <c r="J40" s="3436"/>
      <c r="K40" s="3439"/>
      <c r="L40" s="3084" t="s">
        <v>2874</v>
      </c>
      <c r="M40" s="3085"/>
      <c r="N40" s="3085"/>
      <c r="O40" s="3086"/>
      <c r="P40" s="3086"/>
      <c r="Q40" s="3087"/>
      <c r="R40" s="3033">
        <f>SUM(R37:R39)</f>
        <v>0</v>
      </c>
      <c r="S40" s="3103"/>
      <c r="T40" s="3022"/>
      <c r="U40" s="3022"/>
      <c r="V40" s="3030"/>
    </row>
    <row r="41" spans="1:23" s="3034" customFormat="1" ht="13.15" customHeight="1" thickBot="1">
      <c r="A41" s="3177">
        <v>11</v>
      </c>
      <c r="B41" s="3178" t="s">
        <v>2936</v>
      </c>
      <c r="C41" s="3178" t="e">
        <f>ROUND(C40*10000/B4,0)</f>
        <v>#DIV/0!</v>
      </c>
      <c r="D41" s="3179"/>
      <c r="E41" s="3179"/>
      <c r="F41" s="3180"/>
      <c r="G41" s="3181"/>
      <c r="H41" s="3029"/>
      <c r="I41" s="3030"/>
      <c r="J41" s="3125">
        <v>2</v>
      </c>
      <c r="K41" s="3126" t="s">
        <v>2914</v>
      </c>
      <c r="L41" s="3127"/>
      <c r="M41" s="3127"/>
      <c r="N41" s="3127"/>
      <c r="O41" s="3127"/>
      <c r="P41" s="3128"/>
      <c r="Q41" s="3129"/>
      <c r="R41" s="3100">
        <f>ROUND(R40*Q41,0)</f>
        <v>0</v>
      </c>
      <c r="S41" s="3103"/>
      <c r="T41" s="3022"/>
      <c r="U41" s="3137"/>
      <c r="V41" s="3030"/>
    </row>
    <row r="42" spans="1:23" s="3034" customFormat="1" ht="13.15" customHeight="1">
      <c r="G42" s="3181"/>
      <c r="H42" s="3029"/>
      <c r="I42" s="3030"/>
      <c r="J42" s="3446">
        <v>3</v>
      </c>
      <c r="K42" s="3132" t="s">
        <v>2916</v>
      </c>
      <c r="L42" s="3133"/>
      <c r="M42" s="3134"/>
      <c r="N42" s="3135" t="s">
        <v>2917</v>
      </c>
      <c r="O42" s="3135" t="s">
        <v>2918</v>
      </c>
      <c r="P42" s="3136" t="s">
        <v>2919</v>
      </c>
      <c r="Q42" s="3136" t="s">
        <v>2920</v>
      </c>
      <c r="R42" s="3039" t="s">
        <v>2845</v>
      </c>
      <c r="S42" s="3137"/>
      <c r="T42" s="3137"/>
      <c r="U42" s="3022"/>
      <c r="V42" s="3030"/>
    </row>
    <row r="43" spans="1:23" ht="13.15" customHeight="1">
      <c r="A43" s="3034"/>
      <c r="B43" s="3034"/>
      <c r="C43" s="3034"/>
      <c r="D43" s="3034"/>
      <c r="E43" s="3034"/>
      <c r="F43" s="3034"/>
      <c r="I43" s="3017"/>
      <c r="J43" s="3447"/>
      <c r="K43" s="3140"/>
      <c r="L43" s="3141"/>
      <c r="M43" s="3142"/>
      <c r="N43" s="3065"/>
      <c r="O43" s="3065"/>
      <c r="P43" s="3065"/>
      <c r="Q43" s="3129"/>
      <c r="R43" s="3100">
        <f>ROUND(O43*N43*P43*(1-Q43)/10000,0)</f>
        <v>0</v>
      </c>
      <c r="S43" s="3103"/>
      <c r="T43" s="3022"/>
      <c r="V43" s="3183"/>
      <c r="W43" s="3184"/>
    </row>
    <row r="44" spans="1:23" ht="13.15" customHeight="1" thickBot="1">
      <c r="J44" s="3145">
        <v>6</v>
      </c>
      <c r="K44" s="3146" t="s">
        <v>2923</v>
      </c>
      <c r="L44" s="3185" t="s">
        <v>2924</v>
      </c>
      <c r="M44" s="3148"/>
      <c r="N44" s="3185" t="s">
        <v>2925</v>
      </c>
      <c r="O44" s="3148"/>
      <c r="P44" s="3185" t="s">
        <v>2926</v>
      </c>
      <c r="Q44" s="3150">
        <v>1.4999999999999999E-2</v>
      </c>
      <c r="R44" s="315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13" customWidth="1"/>
    <col min="2" max="2" width="12" style="1613" customWidth="1"/>
    <col min="3" max="3" width="9" style="1613"/>
    <col min="4" max="4" width="14.125" style="1613" customWidth="1"/>
    <col min="5" max="5" width="9" style="1613"/>
    <col min="6" max="6" width="12.875" style="1613" customWidth="1"/>
    <col min="7" max="16384" width="9" style="1613"/>
  </cols>
  <sheetData>
    <row r="1" spans="1:22" ht="21">
      <c r="A1" s="2004" t="s">
        <v>2105</v>
      </c>
      <c r="B1" s="2005"/>
      <c r="C1" s="2005"/>
      <c r="D1" s="2005"/>
      <c r="E1" s="2006"/>
      <c r="F1" s="2886"/>
      <c r="G1" s="1625"/>
      <c r="H1" s="1625"/>
      <c r="I1" s="1625"/>
      <c r="J1" s="1625"/>
      <c r="K1" s="1625"/>
      <c r="L1" s="1625"/>
      <c r="M1" s="1625"/>
      <c r="N1" s="1625"/>
      <c r="O1" s="1625"/>
      <c r="P1" s="1625"/>
      <c r="Q1" s="1625"/>
      <c r="R1" s="1625"/>
      <c r="S1" s="1625"/>
    </row>
    <row r="2" spans="1:22" ht="15.75">
      <c r="A2" s="2007" t="s">
        <v>1906</v>
      </c>
      <c r="B2" s="2008">
        <f ca="1">SUMIF(B6:B13,"&lt;&gt;#ref!",B6:B13)</f>
        <v>15586</v>
      </c>
      <c r="C2" s="2009" t="s">
        <v>2098</v>
      </c>
      <c r="D2" s="2010" t="s">
        <v>2099</v>
      </c>
      <c r="E2" s="2783">
        <f>SUM(E6:E13)</f>
        <v>6531.86</v>
      </c>
      <c r="F2" s="2886"/>
      <c r="G2" s="1625"/>
      <c r="H2" s="1625"/>
      <c r="I2" s="1625"/>
      <c r="J2" s="1625"/>
      <c r="K2" s="1625"/>
      <c r="L2" s="1625"/>
      <c r="M2" s="1625"/>
      <c r="N2" s="1625"/>
      <c r="O2" s="1625"/>
      <c r="P2" s="1625"/>
      <c r="Q2" s="1625"/>
      <c r="R2" s="1625"/>
      <c r="S2" s="1625"/>
    </row>
    <row r="3" spans="1:22" ht="15.75">
      <c r="A3" s="2007" t="s">
        <v>1119</v>
      </c>
      <c r="B3" s="2777">
        <f ca="1">ROUND(B2*10000/E2,0)</f>
        <v>23862</v>
      </c>
      <c r="C3" s="2009" t="s">
        <v>2106</v>
      </c>
      <c r="D3" s="2888"/>
      <c r="E3" s="2890"/>
      <c r="F3" s="2886"/>
      <c r="G3" s="1625"/>
      <c r="H3" s="1625"/>
      <c r="I3" s="1625"/>
      <c r="J3" s="1625"/>
      <c r="K3" s="1625"/>
      <c r="L3" s="1625"/>
      <c r="M3" s="1625"/>
      <c r="N3" s="1625"/>
      <c r="O3" s="1625"/>
      <c r="P3" s="1625"/>
      <c r="Q3" s="1625"/>
      <c r="R3" s="1625"/>
      <c r="S3" s="1625"/>
    </row>
    <row r="4" spans="1:22" ht="15.75">
      <c r="A4" s="2891"/>
      <c r="B4" s="2888"/>
      <c r="C4" s="2888"/>
      <c r="D4" s="2888"/>
      <c r="E4" s="2890"/>
      <c r="F4" s="2886"/>
      <c r="G4" s="1625"/>
      <c r="H4" s="1625"/>
      <c r="I4" s="1625"/>
      <c r="J4" s="1625"/>
      <c r="K4" s="1625"/>
      <c r="L4" s="1625"/>
      <c r="M4" s="1625"/>
      <c r="N4" s="1625"/>
      <c r="O4" s="1625"/>
      <c r="P4" s="1625"/>
      <c r="Q4" s="1625"/>
      <c r="R4" s="1625"/>
      <c r="S4" s="1625"/>
    </row>
    <row r="5" spans="1:22" ht="15">
      <c r="A5" s="2779" t="s">
        <v>2100</v>
      </c>
      <c r="B5" s="3448" t="s">
        <v>2101</v>
      </c>
      <c r="C5" s="3449"/>
      <c r="D5" s="2887"/>
      <c r="E5" s="2011" t="s">
        <v>2102</v>
      </c>
      <c r="F5" s="2012" t="s">
        <v>2103</v>
      </c>
      <c r="G5" s="1625"/>
      <c r="H5" s="1625"/>
      <c r="I5" s="1625"/>
      <c r="J5" s="1625"/>
      <c r="K5" s="1625"/>
      <c r="L5" s="1625"/>
      <c r="M5" s="1625"/>
      <c r="N5" s="1625"/>
      <c r="O5" s="1625"/>
      <c r="P5" s="1625"/>
      <c r="Q5" s="1625"/>
      <c r="R5" s="1625"/>
      <c r="S5" s="1625"/>
    </row>
    <row r="6" spans="1:22">
      <c r="A6" s="2780" t="str">
        <f>'数据-取费表'!AN6</f>
        <v>收益法</v>
      </c>
      <c r="B6" s="2778">
        <f ca="1">IF(F6="是",'数据-取费表'!AO6,0)</f>
        <v>15586</v>
      </c>
      <c r="C6" s="2009" t="s">
        <v>2098</v>
      </c>
      <c r="D6" s="2888"/>
      <c r="E6" s="2782">
        <f>IF(OR(A6=0,F6="否"),0,'数据-取费表'!K6+'数据-取费表'!S6)</f>
        <v>6531.86</v>
      </c>
      <c r="F6" s="2013" t="s">
        <v>2104</v>
      </c>
      <c r="G6" s="1625"/>
      <c r="H6" s="1625"/>
      <c r="I6" s="1625"/>
      <c r="J6" s="1625"/>
      <c r="K6" s="1625"/>
      <c r="L6" s="1625"/>
      <c r="M6" s="1625"/>
      <c r="N6" s="1625"/>
      <c r="O6" s="1625"/>
      <c r="P6" s="1625"/>
      <c r="Q6" s="1625"/>
      <c r="R6" s="1625"/>
      <c r="S6" s="1625"/>
    </row>
    <row r="7" spans="1:22">
      <c r="A7" s="2780">
        <f>'数据-取费表'!AN7</f>
        <v>0</v>
      </c>
      <c r="B7" s="2778" t="e">
        <f ca="1">IF(F7="是",'数据-取费表'!AO7,0)</f>
        <v>#REF!</v>
      </c>
      <c r="C7" s="2009" t="s">
        <v>2098</v>
      </c>
      <c r="D7" s="2888"/>
      <c r="E7" s="2782">
        <f>IF(OR(A7=0,F7="否"),0,'数据-取费表'!K7+'数据-取费表'!S7)</f>
        <v>0</v>
      </c>
      <c r="F7" s="2013" t="s">
        <v>2104</v>
      </c>
      <c r="G7" s="1625"/>
      <c r="H7" s="1625"/>
      <c r="I7" s="1625"/>
      <c r="J7" s="1625"/>
      <c r="K7" s="1625"/>
      <c r="L7" s="1625"/>
      <c r="M7" s="1625"/>
      <c r="N7" s="1625"/>
      <c r="O7" s="1625"/>
      <c r="P7" s="1625"/>
      <c r="Q7" s="1625"/>
      <c r="R7" s="1625"/>
      <c r="S7" s="1625"/>
    </row>
    <row r="8" spans="1:22">
      <c r="A8" s="2780">
        <f>'数据-取费表'!AN8</f>
        <v>0</v>
      </c>
      <c r="B8" s="2778" t="e">
        <f ca="1">IF(F8="是",'数据-取费表'!AO8,0)</f>
        <v>#REF!</v>
      </c>
      <c r="C8" s="2009" t="s">
        <v>2098</v>
      </c>
      <c r="D8" s="2888"/>
      <c r="E8" s="2782">
        <f>IF(OR(A8=0,F8="否"),0,'数据-取费表'!K8+'数据-取费表'!S8)</f>
        <v>0</v>
      </c>
      <c r="F8" s="2013" t="s">
        <v>2104</v>
      </c>
      <c r="G8" s="1625"/>
      <c r="H8" s="1625"/>
      <c r="I8" s="1625"/>
      <c r="J8" s="1625"/>
      <c r="K8" s="1625"/>
      <c r="L8" s="1625"/>
      <c r="M8" s="1625"/>
      <c r="N8" s="1625"/>
      <c r="O8" s="1625"/>
      <c r="P8" s="1625"/>
      <c r="Q8" s="1625"/>
      <c r="R8" s="1625"/>
      <c r="S8" s="1625"/>
    </row>
    <row r="9" spans="1:22">
      <c r="A9" s="2780">
        <f>'数据-取费表'!AN9</f>
        <v>0</v>
      </c>
      <c r="B9" s="2778" t="e">
        <f ca="1">IF(F9="是",'数据-取费表'!AO9,0)</f>
        <v>#REF!</v>
      </c>
      <c r="C9" s="2009" t="s">
        <v>2098</v>
      </c>
      <c r="D9" s="2888"/>
      <c r="E9" s="2782">
        <f>IF(OR(A9=0,F9="否"),0,'数据-取费表'!K9+'数据-取费表'!S9)</f>
        <v>0</v>
      </c>
      <c r="F9" s="2013" t="s">
        <v>2104</v>
      </c>
      <c r="G9" s="1625"/>
      <c r="H9" s="1625"/>
      <c r="I9" s="1625"/>
      <c r="J9" s="1625"/>
      <c r="K9" s="1625"/>
      <c r="L9" s="1625"/>
      <c r="M9" s="1625"/>
      <c r="N9" s="1625"/>
      <c r="O9" s="1625"/>
      <c r="P9" s="1625"/>
      <c r="Q9" s="1625"/>
      <c r="R9" s="1625"/>
      <c r="S9" s="1625"/>
    </row>
    <row r="10" spans="1:22">
      <c r="A10" s="2780">
        <f>'数据-取费表'!AN10</f>
        <v>0</v>
      </c>
      <c r="B10" s="2778" t="e">
        <f ca="1">IF(F10="是",'数据-取费表'!AO10,0)</f>
        <v>#REF!</v>
      </c>
      <c r="C10" s="2009" t="s">
        <v>2098</v>
      </c>
      <c r="D10" s="2888"/>
      <c r="E10" s="2782">
        <f>IF(OR(A10=0,F10="否"),0,'数据-取费表'!K10+'数据-取费表'!S10)</f>
        <v>0</v>
      </c>
      <c r="F10" s="2013" t="s">
        <v>2104</v>
      </c>
      <c r="G10" s="1625"/>
      <c r="H10" s="1625"/>
      <c r="I10" s="1625"/>
      <c r="J10" s="1625"/>
      <c r="K10" s="1625"/>
      <c r="L10" s="1625"/>
      <c r="M10" s="1625"/>
      <c r="N10" s="1625"/>
      <c r="O10" s="1625"/>
      <c r="P10" s="1625"/>
      <c r="Q10" s="1625"/>
      <c r="R10" s="1625"/>
      <c r="S10" s="1625"/>
    </row>
    <row r="11" spans="1:22">
      <c r="A11" s="2780">
        <f>'数据-取费表'!AN11</f>
        <v>0</v>
      </c>
      <c r="B11" s="2778" t="e">
        <f ca="1">IF(F11="是",'数据-取费表'!AO11,0)</f>
        <v>#REF!</v>
      </c>
      <c r="C11" s="2009" t="s">
        <v>2098</v>
      </c>
      <c r="D11" s="2888"/>
      <c r="E11" s="2782">
        <f>IF(OR(A11=0,F11="否"),0,'数据-取费表'!K11+'数据-取费表'!S11)</f>
        <v>0</v>
      </c>
      <c r="F11" s="2013" t="s">
        <v>2104</v>
      </c>
      <c r="G11" s="1625"/>
      <c r="H11" s="1625"/>
      <c r="I11" s="1625"/>
      <c r="J11" s="1625"/>
      <c r="K11" s="1625"/>
      <c r="L11" s="1625"/>
      <c r="M11" s="1625"/>
      <c r="N11" s="1625"/>
      <c r="O11" s="1625"/>
      <c r="P11" s="1625"/>
      <c r="Q11" s="1625"/>
      <c r="R11" s="1625"/>
      <c r="S11" s="1625"/>
    </row>
    <row r="12" spans="1:22">
      <c r="A12" s="2780">
        <f>'数据-取费表'!AN12</f>
        <v>0</v>
      </c>
      <c r="B12" s="2778" t="e">
        <f ca="1">IF(F12="是",'数据-取费表'!AO12,0)</f>
        <v>#REF!</v>
      </c>
      <c r="C12" s="2009" t="s">
        <v>2098</v>
      </c>
      <c r="D12" s="2888"/>
      <c r="E12" s="2782">
        <f>IF(OR(A12=0,F12="否"),0,'数据-取费表'!K12+'数据-取费表'!S12)</f>
        <v>0</v>
      </c>
      <c r="F12" s="2013" t="s">
        <v>2104</v>
      </c>
      <c r="G12" s="1625"/>
      <c r="H12" s="1625"/>
      <c r="I12" s="1625"/>
      <c r="J12" s="1625"/>
      <c r="K12" s="1625"/>
      <c r="L12" s="1625"/>
      <c r="M12" s="1625"/>
      <c r="N12" s="1625"/>
      <c r="O12" s="1625"/>
      <c r="P12" s="1625"/>
      <c r="Q12" s="1625"/>
      <c r="R12" s="1625"/>
      <c r="S12" s="1625"/>
    </row>
    <row r="13" spans="1:22" ht="15" thickBot="1">
      <c r="A13" s="2781">
        <f>'数据-取费表'!AN13</f>
        <v>0</v>
      </c>
      <c r="B13" s="2778" t="e">
        <f ca="1">IF(F13="是",'数据-取费表'!AO13,0)</f>
        <v>#REF!</v>
      </c>
      <c r="C13" s="2014" t="s">
        <v>2098</v>
      </c>
      <c r="D13" s="2889"/>
      <c r="E13" s="2782">
        <f>IF(OR(A13=0,F13="否"),0,'数据-取费表'!K13+'数据-取费表'!S13)</f>
        <v>0</v>
      </c>
      <c r="F13" s="2013" t="s">
        <v>2104</v>
      </c>
      <c r="G13" s="1625"/>
      <c r="H13" s="1625"/>
      <c r="I13" s="1625"/>
      <c r="J13" s="1625"/>
      <c r="K13" s="1625"/>
      <c r="L13" s="1625"/>
      <c r="M13" s="1625"/>
      <c r="N13" s="1625"/>
      <c r="O13" s="1625"/>
      <c r="P13" s="1625"/>
      <c r="Q13" s="1625"/>
      <c r="R13" s="1625"/>
      <c r="S13" s="1625"/>
    </row>
    <row r="14" spans="1:22">
      <c r="A14" s="1625"/>
      <c r="B14" s="1625"/>
      <c r="C14" s="1625"/>
      <c r="D14" s="1625"/>
      <c r="E14" s="1625"/>
      <c r="F14" s="1625"/>
      <c r="G14" s="1625"/>
      <c r="H14" s="1625"/>
      <c r="I14" s="1625"/>
      <c r="J14" s="1625"/>
      <c r="K14" s="1625"/>
      <c r="L14" s="1625"/>
      <c r="M14" s="1625"/>
      <c r="N14" s="1625"/>
      <c r="O14" s="1625"/>
      <c r="P14" s="1625"/>
      <c r="Q14" s="1625"/>
      <c r="R14" s="1625"/>
      <c r="S14" s="1625"/>
      <c r="T14" s="1625"/>
      <c r="U14" s="1625"/>
      <c r="V14" s="1625"/>
    </row>
    <row r="15" spans="1:22">
      <c r="A15" s="1625"/>
      <c r="B15" s="1625"/>
      <c r="C15" s="1625"/>
      <c r="D15" s="1625"/>
      <c r="E15" s="1625"/>
      <c r="F15" s="1625"/>
      <c r="G15" s="1625"/>
      <c r="H15" s="1625"/>
      <c r="I15" s="1625"/>
      <c r="J15" s="1625"/>
      <c r="K15" s="1625"/>
      <c r="L15" s="1625"/>
      <c r="M15" s="1625"/>
      <c r="N15" s="1625"/>
      <c r="O15" s="1625"/>
      <c r="P15" s="1625"/>
      <c r="Q15" s="1625"/>
      <c r="R15" s="1625"/>
      <c r="S15" s="1625"/>
      <c r="T15" s="1625"/>
      <c r="U15" s="1625"/>
      <c r="V15" s="1625"/>
    </row>
    <row r="16" spans="1:22">
      <c r="A16" s="1625"/>
      <c r="B16" s="1625"/>
      <c r="C16" s="1625"/>
      <c r="D16" s="1625"/>
      <c r="E16" s="1625"/>
      <c r="F16" s="1625"/>
      <c r="G16" s="1625"/>
      <c r="H16" s="1625"/>
      <c r="I16" s="1625"/>
      <c r="J16" s="1625"/>
      <c r="K16" s="1625"/>
      <c r="L16" s="1625"/>
      <c r="M16" s="1625"/>
      <c r="N16" s="1625"/>
      <c r="O16" s="1625"/>
      <c r="P16" s="1625"/>
      <c r="Q16" s="1625"/>
      <c r="R16" s="1625"/>
      <c r="S16" s="1625"/>
      <c r="T16" s="1625"/>
      <c r="U16" s="1625"/>
      <c r="V16" s="1625"/>
    </row>
    <row r="17" spans="1:22">
      <c r="A17" s="1625"/>
      <c r="B17" s="1625"/>
      <c r="C17" s="1625"/>
      <c r="D17" s="1625"/>
      <c r="E17" s="1625"/>
      <c r="F17" s="1625"/>
      <c r="G17" s="1625"/>
      <c r="H17" s="1625"/>
      <c r="I17" s="1625"/>
      <c r="J17" s="1625"/>
      <c r="K17" s="1625"/>
      <c r="L17" s="1625"/>
      <c r="M17" s="1625"/>
      <c r="N17" s="1625"/>
      <c r="O17" s="1625"/>
      <c r="P17" s="1625"/>
      <c r="Q17" s="1625"/>
      <c r="R17" s="1625"/>
      <c r="S17" s="1625"/>
      <c r="T17" s="1625"/>
      <c r="U17" s="1625"/>
      <c r="V17" s="1625"/>
    </row>
    <row r="18" spans="1:22">
      <c r="A18" s="1625"/>
      <c r="B18" s="1625"/>
      <c r="C18" s="1625"/>
      <c r="D18" s="1625"/>
      <c r="E18" s="1625"/>
      <c r="F18" s="1625"/>
      <c r="G18" s="1625"/>
      <c r="H18" s="1625"/>
      <c r="I18" s="1625"/>
      <c r="J18" s="1625"/>
      <c r="K18" s="1625"/>
      <c r="L18" s="1625"/>
      <c r="M18" s="1625"/>
      <c r="N18" s="1625"/>
      <c r="O18" s="1625"/>
      <c r="P18" s="1625"/>
      <c r="Q18" s="1625"/>
      <c r="R18" s="1625"/>
      <c r="S18" s="1625"/>
      <c r="T18" s="1625"/>
      <c r="U18" s="1625"/>
      <c r="V18" s="1625"/>
    </row>
    <row r="19" spans="1:22">
      <c r="A19" s="1625"/>
      <c r="B19" s="1625"/>
      <c r="C19" s="1625"/>
      <c r="D19" s="1625"/>
      <c r="E19" s="1625"/>
      <c r="F19" s="1625"/>
      <c r="G19" s="1625"/>
      <c r="H19" s="1625"/>
      <c r="I19" s="1625"/>
      <c r="J19" s="1625"/>
      <c r="K19" s="1625"/>
      <c r="L19" s="1625"/>
      <c r="M19" s="1625"/>
      <c r="N19" s="1625"/>
      <c r="O19" s="1625"/>
      <c r="P19" s="1625"/>
      <c r="Q19" s="1625"/>
      <c r="R19" s="1625"/>
      <c r="S19" s="1625"/>
      <c r="T19" s="1625"/>
      <c r="U19" s="1625"/>
      <c r="V19" s="1625"/>
    </row>
    <row r="20" spans="1:22">
      <c r="A20" s="1625"/>
      <c r="B20" s="1625"/>
      <c r="C20" s="1625"/>
      <c r="D20" s="1625"/>
      <c r="E20" s="1625"/>
      <c r="F20" s="1625"/>
      <c r="G20" s="1625"/>
      <c r="H20" s="1625"/>
      <c r="I20" s="1625"/>
      <c r="J20" s="1625"/>
      <c r="K20" s="1625"/>
      <c r="L20" s="1625"/>
      <c r="M20" s="1625"/>
      <c r="N20" s="1625"/>
      <c r="O20" s="1625"/>
      <c r="P20" s="1625"/>
      <c r="Q20" s="1625"/>
      <c r="R20" s="1625"/>
      <c r="S20" s="1625"/>
      <c r="T20" s="1625"/>
      <c r="U20" s="1625"/>
      <c r="V20" s="1625"/>
    </row>
    <row r="21" spans="1:22">
      <c r="A21" s="1625"/>
      <c r="B21" s="1625"/>
      <c r="C21" s="1625"/>
      <c r="D21" s="1625"/>
      <c r="E21" s="1625"/>
      <c r="F21" s="1625"/>
      <c r="G21" s="1625"/>
      <c r="H21" s="1625"/>
      <c r="I21" s="1625"/>
      <c r="J21" s="1625"/>
      <c r="K21" s="1625"/>
      <c r="L21" s="1625"/>
      <c r="M21" s="1625"/>
      <c r="N21" s="1625"/>
      <c r="O21" s="1625"/>
      <c r="P21" s="1625"/>
      <c r="Q21" s="1625"/>
      <c r="R21" s="1625"/>
      <c r="S21" s="1625"/>
      <c r="T21" s="1625"/>
      <c r="U21" s="1625"/>
      <c r="V21" s="1625"/>
    </row>
    <row r="22" spans="1:22">
      <c r="A22" s="1625"/>
      <c r="B22" s="1625"/>
      <c r="C22" s="1625"/>
      <c r="D22" s="1625"/>
      <c r="E22" s="1625"/>
      <c r="F22" s="1625"/>
      <c r="G22" s="1625"/>
      <c r="H22" s="1625"/>
      <c r="I22" s="1625"/>
      <c r="J22" s="1625"/>
      <c r="K22" s="1625"/>
      <c r="L22" s="1625"/>
      <c r="M22" s="1625"/>
      <c r="N22" s="1625"/>
      <c r="O22" s="1625"/>
      <c r="P22" s="1625"/>
      <c r="Q22" s="1625"/>
      <c r="R22" s="1625"/>
      <c r="S22" s="1625"/>
      <c r="T22" s="1625"/>
      <c r="U22" s="1625"/>
      <c r="V22" s="1625"/>
    </row>
    <row r="23" spans="1:22">
      <c r="A23" s="1625"/>
      <c r="B23" s="1625"/>
      <c r="C23" s="1625"/>
      <c r="D23" s="1625"/>
      <c r="E23" s="1625"/>
      <c r="F23" s="1625"/>
      <c r="G23" s="1625"/>
      <c r="H23" s="1625"/>
      <c r="I23" s="1625"/>
      <c r="J23" s="1625"/>
      <c r="K23" s="1625"/>
      <c r="L23" s="1625"/>
      <c r="M23" s="1625"/>
      <c r="N23" s="1625"/>
      <c r="O23" s="1625"/>
      <c r="P23" s="1625"/>
      <c r="Q23" s="1625"/>
      <c r="R23" s="1625"/>
      <c r="S23" s="1625"/>
      <c r="T23" s="1625"/>
      <c r="U23" s="1625"/>
      <c r="V23" s="1625"/>
    </row>
    <row r="24" spans="1:22">
      <c r="A24" s="1625"/>
      <c r="B24" s="1625"/>
      <c r="C24" s="1625"/>
      <c r="D24" s="1625"/>
      <c r="E24" s="1625"/>
      <c r="F24" s="1625"/>
      <c r="G24" s="1625"/>
      <c r="H24" s="1625"/>
      <c r="I24" s="1625"/>
      <c r="J24" s="1625"/>
      <c r="K24" s="1625"/>
      <c r="L24" s="1625"/>
      <c r="M24" s="1625"/>
      <c r="N24" s="1625"/>
      <c r="O24" s="1625"/>
      <c r="P24" s="1625"/>
      <c r="Q24" s="1625"/>
      <c r="R24" s="1625"/>
      <c r="S24" s="1625"/>
      <c r="T24" s="1625"/>
      <c r="U24" s="1625"/>
      <c r="V24" s="1625"/>
    </row>
    <row r="25" spans="1:22">
      <c r="A25" s="1625"/>
      <c r="B25" s="1625"/>
      <c r="C25" s="1625"/>
      <c r="D25" s="1625"/>
      <c r="E25" s="1625"/>
      <c r="F25" s="1625"/>
      <c r="G25" s="1625"/>
      <c r="H25" s="1625"/>
      <c r="I25" s="1625"/>
      <c r="J25" s="1625"/>
      <c r="K25" s="1625"/>
      <c r="L25" s="1625"/>
      <c r="M25" s="1625"/>
      <c r="N25" s="1625"/>
      <c r="O25" s="1625"/>
      <c r="P25" s="1625"/>
      <c r="Q25" s="1625"/>
      <c r="R25" s="1625"/>
      <c r="S25" s="1625"/>
      <c r="T25" s="1625"/>
      <c r="U25" s="1625"/>
      <c r="V25" s="1625"/>
    </row>
    <row r="26" spans="1:22">
      <c r="A26" s="1625"/>
      <c r="B26" s="1625"/>
      <c r="C26" s="1625"/>
      <c r="D26" s="1625"/>
      <c r="E26" s="1625"/>
      <c r="F26" s="1625"/>
      <c r="G26" s="1625"/>
      <c r="H26" s="1625"/>
      <c r="I26" s="1625"/>
      <c r="J26" s="1625"/>
      <c r="K26" s="1625"/>
      <c r="L26" s="1625"/>
      <c r="M26" s="1625"/>
      <c r="N26" s="1625"/>
      <c r="O26" s="1625"/>
      <c r="P26" s="1625"/>
      <c r="Q26" s="1625"/>
      <c r="R26" s="1625"/>
      <c r="S26" s="1625"/>
      <c r="T26" s="1625"/>
      <c r="U26" s="1625"/>
      <c r="V26" s="1625"/>
    </row>
    <row r="27" spans="1:22">
      <c r="A27" s="1625"/>
      <c r="B27" s="1625"/>
      <c r="C27" s="1625"/>
      <c r="D27" s="1625"/>
      <c r="E27" s="1625"/>
      <c r="F27" s="1625"/>
      <c r="G27" s="1625"/>
      <c r="H27" s="1625"/>
      <c r="I27" s="1625"/>
      <c r="J27" s="1625"/>
      <c r="K27" s="1625"/>
      <c r="L27" s="1625"/>
      <c r="M27" s="1625"/>
      <c r="N27" s="1625"/>
      <c r="O27" s="1625"/>
      <c r="P27" s="1625"/>
      <c r="Q27" s="1625"/>
      <c r="R27" s="1625"/>
      <c r="S27" s="1625"/>
      <c r="T27" s="1625"/>
      <c r="U27" s="1625"/>
      <c r="V27" s="1625"/>
    </row>
    <row r="28" spans="1:22">
      <c r="A28" s="1625"/>
      <c r="B28" s="1625"/>
      <c r="C28" s="1625"/>
      <c r="D28" s="1625"/>
      <c r="E28" s="1625"/>
      <c r="F28" s="1625"/>
      <c r="G28" s="1625"/>
      <c r="H28" s="1625"/>
      <c r="I28" s="1625"/>
      <c r="J28" s="1625"/>
      <c r="K28" s="1625"/>
      <c r="L28" s="1625"/>
      <c r="M28" s="1625"/>
      <c r="N28" s="1625"/>
      <c r="O28" s="1625"/>
      <c r="P28" s="1625"/>
      <c r="Q28" s="1625"/>
      <c r="R28" s="1625"/>
      <c r="S28" s="1625"/>
      <c r="T28" s="1625"/>
      <c r="U28" s="1625"/>
      <c r="V28" s="1625"/>
    </row>
    <row r="29" spans="1:22">
      <c r="A29" s="1625"/>
      <c r="B29" s="1625"/>
      <c r="C29" s="1625"/>
      <c r="D29" s="1625"/>
      <c r="E29" s="1625"/>
      <c r="F29" s="1625"/>
      <c r="G29" s="1625"/>
      <c r="H29" s="1625"/>
      <c r="I29" s="1625"/>
      <c r="J29" s="1625"/>
      <c r="K29" s="1625"/>
      <c r="L29" s="1625"/>
      <c r="M29" s="1625"/>
      <c r="N29" s="1625"/>
      <c r="O29" s="1625"/>
      <c r="P29" s="1625"/>
      <c r="Q29" s="1625"/>
      <c r="R29" s="1625"/>
      <c r="S29" s="1625"/>
      <c r="T29" s="1625"/>
      <c r="U29" s="1625"/>
      <c r="V29" s="1625"/>
    </row>
    <row r="30" spans="1:22">
      <c r="A30" s="1625"/>
      <c r="B30" s="1625"/>
      <c r="C30" s="1625"/>
      <c r="D30" s="1625"/>
      <c r="E30" s="1625"/>
      <c r="F30" s="1625"/>
      <c r="G30" s="1625"/>
      <c r="H30" s="1625"/>
      <c r="I30" s="1625"/>
      <c r="J30" s="1625"/>
      <c r="K30" s="1625"/>
      <c r="L30" s="1625"/>
      <c r="M30" s="1625"/>
      <c r="N30" s="1625"/>
      <c r="O30" s="1625"/>
      <c r="P30" s="1625"/>
      <c r="Q30" s="1625"/>
      <c r="R30" s="1625"/>
      <c r="S30" s="1625"/>
      <c r="T30" s="1625"/>
      <c r="U30" s="1625"/>
      <c r="V30" s="1625"/>
    </row>
    <row r="31" spans="1:22">
      <c r="A31" s="1625"/>
      <c r="B31" s="1625"/>
      <c r="C31" s="1625"/>
      <c r="D31" s="1625"/>
      <c r="E31" s="1625"/>
      <c r="F31" s="1625"/>
      <c r="G31" s="1625"/>
      <c r="H31" s="1625"/>
      <c r="I31" s="1625"/>
      <c r="J31" s="1625"/>
      <c r="K31" s="1625"/>
      <c r="L31" s="1625"/>
      <c r="M31" s="1625"/>
      <c r="N31" s="1625"/>
      <c r="O31" s="1625"/>
      <c r="P31" s="1625"/>
      <c r="Q31" s="1625"/>
      <c r="R31" s="1625"/>
      <c r="S31" s="1625"/>
      <c r="T31" s="1625"/>
      <c r="U31" s="1625"/>
      <c r="V31" s="1625"/>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Q72" sqref="Q72"/>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15" t="s">
        <v>2108</v>
      </c>
      <c r="C1" s="1359" t="s">
        <v>2109</v>
      </c>
      <c r="D1" s="1346"/>
      <c r="E1" s="2495"/>
      <c r="F1" s="2016" t="s">
        <v>2110</v>
      </c>
      <c r="G1" s="1356" t="s">
        <v>2111</v>
      </c>
      <c r="H1" s="1355"/>
      <c r="I1" s="1355"/>
      <c r="J1" s="1355"/>
      <c r="K1" s="1357"/>
      <c r="L1" s="1358"/>
      <c r="M1" s="1359"/>
      <c r="N1" s="1359"/>
      <c r="O1" s="1359"/>
      <c r="P1" s="2017"/>
      <c r="Q1" s="1345"/>
      <c r="R1" s="1345"/>
      <c r="S1" s="1345"/>
      <c r="T1" s="1345"/>
      <c r="U1" s="1345"/>
      <c r="V1" s="1345"/>
      <c r="W1" s="1345"/>
      <c r="X1" s="1345"/>
      <c r="Y1" s="1345"/>
      <c r="Z1" s="1345"/>
      <c r="AA1" s="1345"/>
      <c r="AB1" s="1345"/>
      <c r="AC1" s="1353"/>
    </row>
    <row r="2" spans="1:29" s="353" customFormat="1" ht="28.5" customHeight="1" thickTop="1">
      <c r="A2" s="1342" t="s">
        <v>1118</v>
      </c>
      <c r="B2" s="1279" t="e">
        <f ca="1">IF(C2="——",ROUND(C49*D3/10000,0),ROUND(C49*D3/10000,0)-D2)</f>
        <v>#DIV/0!</v>
      </c>
      <c r="C2" s="2018"/>
      <c r="D2" s="1228" t="e">
        <f ca="1">SUMIF(INDIRECT("'"&amp;F2&amp;"'"&amp;"!A:A"),"承租人权益价值",INDIRECT("'"&amp;F2&amp;"'"&amp;"!c:c"))</f>
        <v>#REF!</v>
      </c>
      <c r="E2" s="2019" t="s">
        <v>2112</v>
      </c>
      <c r="F2" s="2020"/>
      <c r="G2" s="1019"/>
      <c r="H2" s="1019"/>
      <c r="I2" s="1019"/>
      <c r="J2" s="1019"/>
      <c r="K2" s="2021"/>
      <c r="L2" s="2892"/>
      <c r="M2" s="2893"/>
      <c r="N2" s="2893"/>
      <c r="O2" s="2893"/>
      <c r="P2" s="2022"/>
      <c r="Q2" s="2023"/>
      <c r="R2" s="2023"/>
      <c r="S2" s="2023"/>
      <c r="T2" s="2023"/>
      <c r="U2" s="2023"/>
      <c r="V2" s="2023"/>
      <c r="W2" s="2023"/>
      <c r="X2" s="2023"/>
      <c r="Y2" s="2023"/>
      <c r="Z2" s="2023"/>
      <c r="AA2" s="2023"/>
      <c r="AB2" s="2023"/>
      <c r="AC2" s="2024"/>
    </row>
    <row r="3" spans="1:29" s="353" customFormat="1" ht="28.5" customHeight="1" thickBot="1">
      <c r="A3" s="209" t="s">
        <v>1119</v>
      </c>
      <c r="B3" s="359" t="e">
        <f ca="1">IF(C2="——",C49,ROUND(B2*10000/D3,0))</f>
        <v>#DIV/0!</v>
      </c>
      <c r="C3" s="360" t="s">
        <v>2113</v>
      </c>
      <c r="D3" s="359">
        <f>IF(D1="",'数据-汇总表'!E3,SUMIF('数据-汇总表'!$C19:$C33,D1,'数据-汇总表'!$E19:$E33))</f>
        <v>6531.86</v>
      </c>
      <c r="E3" s="1019"/>
      <c r="F3" s="2025"/>
      <c r="G3" s="1019"/>
      <c r="H3" s="1019"/>
      <c r="I3" s="1019"/>
      <c r="J3" s="1019"/>
      <c r="K3" s="2021"/>
      <c r="L3" s="2892"/>
      <c r="M3" s="2893"/>
      <c r="N3" s="2893"/>
      <c r="O3" s="2893"/>
      <c r="P3" s="2022"/>
      <c r="Q3" s="2023"/>
      <c r="R3" s="2023"/>
      <c r="S3" s="2023"/>
      <c r="T3" s="2023"/>
      <c r="U3" s="2023"/>
      <c r="V3" s="2023"/>
      <c r="W3" s="2023"/>
      <c r="X3" s="2023"/>
      <c r="Y3" s="2023"/>
      <c r="Z3" s="2023"/>
      <c r="AA3" s="2023"/>
      <c r="AB3" s="2023"/>
      <c r="AC3" s="1173"/>
    </row>
    <row r="4" spans="1:29" ht="15">
      <c r="A4" s="361" t="s">
        <v>2114</v>
      </c>
      <c r="B4" s="362"/>
      <c r="C4" s="3468" t="s">
        <v>2115</v>
      </c>
      <c r="D4" s="3469"/>
      <c r="E4" s="3470" t="s">
        <v>2116</v>
      </c>
      <c r="F4" s="3471"/>
      <c r="G4" s="3468" t="s">
        <v>2117</v>
      </c>
      <c r="H4" s="3469"/>
      <c r="I4" s="3468" t="s">
        <v>2118</v>
      </c>
      <c r="J4" s="3469"/>
      <c r="K4" s="2026" t="s">
        <v>2119</v>
      </c>
      <c r="L4" s="2894"/>
      <c r="M4" s="2895"/>
      <c r="N4" s="2895"/>
      <c r="O4" s="2895"/>
      <c r="P4" s="3472" t="s">
        <v>2120</v>
      </c>
      <c r="Q4" s="3473"/>
      <c r="R4" s="3455" t="s">
        <v>2116</v>
      </c>
      <c r="S4" s="3456"/>
      <c r="T4" s="3455" t="s">
        <v>2117</v>
      </c>
      <c r="U4" s="3456"/>
      <c r="V4" s="3480" t="s">
        <v>2118</v>
      </c>
      <c r="W4" s="3480"/>
      <c r="X4" s="1490"/>
      <c r="Y4" s="3455" t="s">
        <v>2120</v>
      </c>
      <c r="Z4" s="3456"/>
      <c r="AA4" s="3450" t="s">
        <v>2116</v>
      </c>
      <c r="AB4" s="3450" t="s">
        <v>2117</v>
      </c>
      <c r="AC4" s="3450" t="s">
        <v>2118</v>
      </c>
    </row>
    <row r="5" spans="1:29" ht="15">
      <c r="A5" s="364"/>
      <c r="B5" s="365"/>
      <c r="C5" s="3461" t="s">
        <v>2121</v>
      </c>
      <c r="D5" s="3462"/>
      <c r="E5" s="3459" t="s">
        <v>2122</v>
      </c>
      <c r="F5" s="3460"/>
      <c r="G5" s="3461" t="s">
        <v>2123</v>
      </c>
      <c r="H5" s="3462"/>
      <c r="I5" s="3461" t="s">
        <v>2124</v>
      </c>
      <c r="J5" s="3462"/>
      <c r="K5" s="2027"/>
      <c r="L5" s="2894"/>
      <c r="M5" s="2895"/>
      <c r="N5" s="2895"/>
      <c r="O5" s="2895"/>
      <c r="P5" s="3474"/>
      <c r="Q5" s="3475"/>
      <c r="R5" s="3457"/>
      <c r="S5" s="3458"/>
      <c r="T5" s="3457"/>
      <c r="U5" s="3458"/>
      <c r="V5" s="3480"/>
      <c r="W5" s="3480"/>
      <c r="X5" s="1490"/>
      <c r="Y5" s="3457"/>
      <c r="Z5" s="3458"/>
      <c r="AA5" s="3451"/>
      <c r="AB5" s="3451"/>
      <c r="AC5" s="3451"/>
    </row>
    <row r="6" spans="1:29" ht="15.75" thickBot="1">
      <c r="A6" s="366"/>
      <c r="B6" s="367"/>
      <c r="C6" s="3463" t="s">
        <v>2125</v>
      </c>
      <c r="D6" s="3464"/>
      <c r="E6" s="3465" t="s">
        <v>2125</v>
      </c>
      <c r="F6" s="3466"/>
      <c r="G6" s="3463" t="s">
        <v>2125</v>
      </c>
      <c r="H6" s="3464"/>
      <c r="I6" s="3463" t="s">
        <v>2125</v>
      </c>
      <c r="J6" s="3464"/>
      <c r="K6" s="2027" t="s">
        <v>2126</v>
      </c>
      <c r="L6" s="2894"/>
      <c r="M6" s="2895"/>
      <c r="N6" s="2895"/>
      <c r="O6" s="2895"/>
      <c r="P6" s="3476"/>
      <c r="Q6" s="3477"/>
      <c r="R6" s="3457"/>
      <c r="S6" s="3458"/>
      <c r="T6" s="3478"/>
      <c r="U6" s="3479"/>
      <c r="V6" s="3480"/>
      <c r="W6" s="3480"/>
      <c r="X6" s="1490"/>
      <c r="Y6" s="3478"/>
      <c r="Z6" s="3479"/>
      <c r="AA6" s="3452"/>
      <c r="AB6" s="3452"/>
      <c r="AC6" s="3452"/>
    </row>
    <row r="7" spans="1:29" s="113" customFormat="1" ht="15.75" thickBot="1">
      <c r="A7" s="368" t="s">
        <v>2127</v>
      </c>
      <c r="B7" s="369"/>
      <c r="C7" s="370">
        <f>'数据-取费表'!B2</f>
        <v>44869</v>
      </c>
      <c r="D7" s="371">
        <v>100</v>
      </c>
      <c r="E7" s="372"/>
      <c r="F7" s="373">
        <f>SUMIF(58:58,YEAR(E7)&amp;"-"&amp;MONTH(E7),59:59)</f>
        <v>0</v>
      </c>
      <c r="G7" s="372"/>
      <c r="H7" s="371">
        <f>SUMIF(58:58,YEAR(G7)&amp;"-"&amp;MONTH(G7),59:59)</f>
        <v>0</v>
      </c>
      <c r="I7" s="372"/>
      <c r="J7" s="371">
        <f>SUMIF(58:58,YEAR(I7)&amp;"-"&amp;MONTH(I7),59:59)</f>
        <v>0</v>
      </c>
      <c r="K7" s="2028"/>
      <c r="L7" s="2896"/>
      <c r="M7" s="2897"/>
      <c r="N7" s="2897"/>
      <c r="O7" s="2897"/>
      <c r="P7" s="3453" t="s">
        <v>2128</v>
      </c>
      <c r="Q7" s="3481"/>
      <c r="R7" s="710" t="s">
        <v>23</v>
      </c>
      <c r="S7" s="711">
        <f t="shared" ref="S7:S15" si="0">F7</f>
        <v>0</v>
      </c>
      <c r="T7" s="710" t="s">
        <v>23</v>
      </c>
      <c r="U7" s="711">
        <f t="shared" ref="U7:U15" si="1">H7</f>
        <v>0</v>
      </c>
      <c r="V7" s="710" t="s">
        <v>23</v>
      </c>
      <c r="W7" s="711">
        <f t="shared" ref="W7:W15" si="2">J7</f>
        <v>0</v>
      </c>
      <c r="X7" s="712"/>
      <c r="Y7" s="3453" t="s">
        <v>2128</v>
      </c>
      <c r="Z7" s="3454"/>
      <c r="AA7" s="713" t="e">
        <f>D7/F7</f>
        <v>#DIV/0!</v>
      </c>
      <c r="AB7" s="713" t="e">
        <f>D7/H7</f>
        <v>#DIV/0!</v>
      </c>
      <c r="AC7" s="713" t="e">
        <f>D7/J7</f>
        <v>#DIV/0!</v>
      </c>
    </row>
    <row r="8" spans="1:29" s="113" customFormat="1" ht="15.75" thickBot="1">
      <c r="A8" s="368" t="s">
        <v>2129</v>
      </c>
      <c r="B8" s="369"/>
      <c r="C8" s="374" t="s">
        <v>2130</v>
      </c>
      <c r="D8" s="371">
        <v>100</v>
      </c>
      <c r="E8" s="2029"/>
      <c r="F8" s="373">
        <f>SUMIF(61:61,E8,62:62)-SUMIF(61:61,C8,62:62)+100</f>
        <v>0</v>
      </c>
      <c r="G8" s="374"/>
      <c r="H8" s="371">
        <f>SUMIF(61:61,G8,62:62)-SUMIF(61:61,C8,62:62)+100</f>
        <v>0</v>
      </c>
      <c r="I8" s="2029"/>
      <c r="J8" s="371">
        <f>SUMIF(61:61,I8,62:62)-SUMIF(61:61,C8,62:62)+100</f>
        <v>0</v>
      </c>
      <c r="K8" s="2028"/>
      <c r="L8" s="2896"/>
      <c r="M8" s="2897"/>
      <c r="N8" s="2897"/>
      <c r="O8" s="2897"/>
      <c r="P8" s="3453" t="s">
        <v>2131</v>
      </c>
      <c r="Q8" s="3454"/>
      <c r="R8" s="710" t="s">
        <v>23</v>
      </c>
      <c r="S8" s="711">
        <f t="shared" si="0"/>
        <v>0</v>
      </c>
      <c r="T8" s="710" t="s">
        <v>23</v>
      </c>
      <c r="U8" s="711">
        <f t="shared" si="1"/>
        <v>0</v>
      </c>
      <c r="V8" s="710" t="s">
        <v>23</v>
      </c>
      <c r="W8" s="711">
        <f t="shared" si="2"/>
        <v>0</v>
      </c>
      <c r="X8" s="712"/>
      <c r="Y8" s="3453" t="s">
        <v>2131</v>
      </c>
      <c r="Z8" s="3454"/>
      <c r="AA8" s="713" t="e">
        <f t="shared" ref="AA8:AA19" si="3">D8/F8</f>
        <v>#DIV/0!</v>
      </c>
      <c r="AB8" s="713" t="e">
        <f t="shared" ref="AB8:AB19" si="4">D8/H8</f>
        <v>#DIV/0!</v>
      </c>
      <c r="AC8" s="713" t="e">
        <f t="shared" ref="AC8:AC19" si="5">D8/J8</f>
        <v>#DIV/0!</v>
      </c>
    </row>
    <row r="9" spans="1:29" s="113" customFormat="1">
      <c r="A9" s="375" t="s">
        <v>2132</v>
      </c>
      <c r="B9" s="67" t="s">
        <v>2133</v>
      </c>
      <c r="C9" s="376"/>
      <c r="D9" s="131">
        <v>100</v>
      </c>
      <c r="E9" s="377"/>
      <c r="F9" s="378">
        <f>SUMIF(63:63,E9,64:64)-SUMIF(63:63,C9,64:64)+100</f>
        <v>100</v>
      </c>
      <c r="G9" s="379"/>
      <c r="H9" s="131">
        <f>SUMIF(63:63,G9,64:64)-SUMIF(63:63,C9,64:64)+100</f>
        <v>100</v>
      </c>
      <c r="I9" s="379"/>
      <c r="J9" s="131">
        <f>SUMIF(63:63,I9,64:64)-SUMIF(63:63,C9,64:64)+100</f>
        <v>100</v>
      </c>
      <c r="K9" s="2028"/>
      <c r="L9" s="2896"/>
      <c r="M9" s="2897"/>
      <c r="N9" s="2897"/>
      <c r="O9" s="2897"/>
      <c r="P9" s="3467" t="s">
        <v>2134</v>
      </c>
      <c r="Q9" s="1478" t="str">
        <f t="shared" ref="Q9:Q15" si="6">B9</f>
        <v>用途</v>
      </c>
      <c r="R9" s="710" t="s">
        <v>17</v>
      </c>
      <c r="S9" s="711">
        <f t="shared" si="0"/>
        <v>100</v>
      </c>
      <c r="T9" s="710" t="s">
        <v>17</v>
      </c>
      <c r="U9" s="711">
        <f t="shared" si="1"/>
        <v>100</v>
      </c>
      <c r="V9" s="710" t="s">
        <v>17</v>
      </c>
      <c r="W9" s="711">
        <f t="shared" si="2"/>
        <v>100</v>
      </c>
      <c r="X9" s="712"/>
      <c r="Y9" s="3397"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385"/>
      <c r="L10" s="2898"/>
      <c r="M10" s="2899"/>
      <c r="N10" s="2899"/>
      <c r="O10" s="2899"/>
      <c r="P10" s="3467"/>
      <c r="Q10" s="1478" t="str">
        <f t="shared" si="6"/>
        <v>土地使用年限（年）</v>
      </c>
      <c r="R10" s="710" t="s">
        <v>17</v>
      </c>
      <c r="S10" s="711">
        <f t="shared" si="0"/>
        <v>100</v>
      </c>
      <c r="T10" s="710" t="s">
        <v>17</v>
      </c>
      <c r="U10" s="711">
        <f t="shared" si="1"/>
        <v>100</v>
      </c>
      <c r="V10" s="710" t="s">
        <v>17</v>
      </c>
      <c r="W10" s="711">
        <f t="shared" si="2"/>
        <v>100</v>
      </c>
      <c r="X10" s="712"/>
      <c r="Y10" s="3397"/>
      <c r="Z10" s="55" t="str">
        <f t="shared" si="7"/>
        <v>土地使用年限（年）</v>
      </c>
      <c r="AA10" s="713">
        <f t="shared" si="3"/>
        <v>1</v>
      </c>
      <c r="AB10" s="713">
        <f t="shared" si="4"/>
        <v>1</v>
      </c>
      <c r="AC10" s="713">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00"/>
      <c r="M11" s="2895"/>
      <c r="N11" s="2895"/>
      <c r="O11" s="2895"/>
      <c r="P11" s="3467"/>
      <c r="Q11" s="1478" t="str">
        <f t="shared" si="6"/>
        <v>容积率</v>
      </c>
      <c r="R11" s="710" t="s">
        <v>21</v>
      </c>
      <c r="S11" s="711" t="e">
        <f t="shared" si="0"/>
        <v>#N/A</v>
      </c>
      <c r="T11" s="710" t="s">
        <v>21</v>
      </c>
      <c r="U11" s="711" t="e">
        <f t="shared" si="1"/>
        <v>#N/A</v>
      </c>
      <c r="V11" s="710" t="s">
        <v>21</v>
      </c>
      <c r="W11" s="711" t="e">
        <f t="shared" si="2"/>
        <v>#N/A</v>
      </c>
      <c r="X11" s="712"/>
      <c r="Y11" s="3397"/>
      <c r="Z11" s="55" t="str">
        <f t="shared" si="7"/>
        <v>容积率</v>
      </c>
      <c r="AA11" s="713" t="e">
        <f t="shared" si="3"/>
        <v>#N/A</v>
      </c>
      <c r="AB11" s="713" t="e">
        <f t="shared" si="4"/>
        <v>#N/A</v>
      </c>
      <c r="AC11" s="713" t="e">
        <f t="shared" si="5"/>
        <v>#N/A</v>
      </c>
    </row>
    <row r="12" spans="1:29" s="113" customFormat="1" ht="15">
      <c r="A12" s="390"/>
      <c r="B12" s="2030">
        <v>111</v>
      </c>
      <c r="C12" s="391"/>
      <c r="D12" s="392">
        <v>100</v>
      </c>
      <c r="E12" s="391"/>
      <c r="F12" s="384">
        <f>SUMIF(70:70,E12,71:71)-SUMIF(70:70,C12,71:71)+100</f>
        <v>100</v>
      </c>
      <c r="G12" s="391"/>
      <c r="H12" s="132">
        <f>SUMIF(70:70,G12,71:71)-SUMIF(70:70,C12,71:71)+100</f>
        <v>100</v>
      </c>
      <c r="I12" s="391"/>
      <c r="J12" s="132">
        <f>SUMIF(70:70,I12,71:71)-SUMIF(70:70,C12,71:71)+100</f>
        <v>100</v>
      </c>
      <c r="K12" s="2031"/>
      <c r="L12" s="2896"/>
      <c r="M12" s="2897"/>
      <c r="N12" s="2897"/>
      <c r="O12" s="2897"/>
      <c r="P12" s="3467"/>
      <c r="Q12" s="1478">
        <f t="shared" si="6"/>
        <v>111</v>
      </c>
      <c r="R12" s="710" t="s">
        <v>21</v>
      </c>
      <c r="S12" s="711">
        <f t="shared" si="0"/>
        <v>100</v>
      </c>
      <c r="T12" s="710" t="s">
        <v>21</v>
      </c>
      <c r="U12" s="711">
        <f t="shared" si="1"/>
        <v>100</v>
      </c>
      <c r="V12" s="710" t="s">
        <v>21</v>
      </c>
      <c r="W12" s="711">
        <f t="shared" si="2"/>
        <v>100</v>
      </c>
      <c r="X12" s="712"/>
      <c r="Y12" s="3397"/>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2031"/>
      <c r="L13" s="2901"/>
      <c r="M13" s="2895"/>
      <c r="N13" s="2895"/>
      <c r="O13" s="2895"/>
      <c r="P13" s="3467"/>
      <c r="Q13" s="1478">
        <f t="shared" si="6"/>
        <v>111</v>
      </c>
      <c r="R13" s="710" t="s">
        <v>21</v>
      </c>
      <c r="S13" s="711">
        <f t="shared" si="0"/>
        <v>100</v>
      </c>
      <c r="T13" s="710" t="s">
        <v>21</v>
      </c>
      <c r="U13" s="711">
        <f t="shared" si="1"/>
        <v>100</v>
      </c>
      <c r="V13" s="710" t="s">
        <v>21</v>
      </c>
      <c r="W13" s="711">
        <f t="shared" si="2"/>
        <v>100</v>
      </c>
      <c r="X13" s="712"/>
      <c r="Y13" s="3397"/>
      <c r="Z13" s="55">
        <f t="shared" si="7"/>
        <v>111</v>
      </c>
      <c r="AA13" s="713">
        <f t="shared" si="3"/>
        <v>1</v>
      </c>
      <c r="AB13" s="713">
        <f t="shared" si="4"/>
        <v>1</v>
      </c>
      <c r="AC13" s="713">
        <f t="shared" si="5"/>
        <v>1</v>
      </c>
    </row>
    <row r="14" spans="1:29" ht="15.75" thickBot="1">
      <c r="A14" s="395"/>
      <c r="B14" s="2032">
        <v>111</v>
      </c>
      <c r="C14" s="396"/>
      <c r="D14" s="397">
        <v>100</v>
      </c>
      <c r="E14" s="396"/>
      <c r="F14" s="398">
        <f>SUMIF(74:74,E14,75:75)-SUMIF(74:74,C14,75:75)+100</f>
        <v>100</v>
      </c>
      <c r="G14" s="396"/>
      <c r="H14" s="397">
        <f>SUMIF(74:74,G14,75:75)-SUMIF(74:74,C14,75:75)+100</f>
        <v>100</v>
      </c>
      <c r="I14" s="396"/>
      <c r="J14" s="397">
        <f>SUMIF(74:74,I14,75:75)-SUMIF(74:74,C14,75:75)+100</f>
        <v>100</v>
      </c>
      <c r="K14" s="2031"/>
      <c r="L14" s="2901"/>
      <c r="M14" s="2895"/>
      <c r="N14" s="2895"/>
      <c r="O14" s="2895"/>
      <c r="P14" s="3467"/>
      <c r="Q14" s="1478">
        <f t="shared" si="6"/>
        <v>111</v>
      </c>
      <c r="R14" s="710" t="s">
        <v>21</v>
      </c>
      <c r="S14" s="711">
        <f t="shared" si="0"/>
        <v>100</v>
      </c>
      <c r="T14" s="710" t="s">
        <v>21</v>
      </c>
      <c r="U14" s="711">
        <f t="shared" si="1"/>
        <v>100</v>
      </c>
      <c r="V14" s="710" t="s">
        <v>21</v>
      </c>
      <c r="W14" s="711">
        <f t="shared" si="2"/>
        <v>100</v>
      </c>
      <c r="X14" s="712"/>
      <c r="Y14" s="3397"/>
      <c r="Z14" s="55">
        <f t="shared" si="7"/>
        <v>111</v>
      </c>
      <c r="AA14" s="713">
        <f t="shared" si="3"/>
        <v>1</v>
      </c>
      <c r="AB14" s="713">
        <f t="shared" si="4"/>
        <v>1</v>
      </c>
      <c r="AC14" s="713">
        <f t="shared" si="5"/>
        <v>1</v>
      </c>
    </row>
    <row r="15" spans="1:29" ht="99.75">
      <c r="A15" s="399" t="s">
        <v>2138</v>
      </c>
      <c r="B15" s="65" t="s">
        <v>1701</v>
      </c>
      <c r="C15" s="2033"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01"/>
      <c r="M15" s="2895"/>
      <c r="N15" s="2895"/>
      <c r="O15" s="2895"/>
      <c r="P15" s="3494" t="s">
        <v>2139</v>
      </c>
      <c r="Q15" s="1487" t="str">
        <f t="shared" si="6"/>
        <v>居住社区成熟度</v>
      </c>
      <c r="R15" s="714" t="s">
        <v>21</v>
      </c>
      <c r="S15" s="715">
        <f t="shared" si="0"/>
        <v>100</v>
      </c>
      <c r="T15" s="714" t="s">
        <v>21</v>
      </c>
      <c r="U15" s="715">
        <f t="shared" si="1"/>
        <v>100</v>
      </c>
      <c r="V15" s="714" t="s">
        <v>21</v>
      </c>
      <c r="W15" s="715">
        <f t="shared" si="2"/>
        <v>100</v>
      </c>
      <c r="X15" s="1490"/>
      <c r="Y15" s="3487" t="s">
        <v>2139</v>
      </c>
      <c r="Z15" s="1491" t="str">
        <f t="shared" si="7"/>
        <v>居住社区成熟度</v>
      </c>
      <c r="AA15" s="1488">
        <f t="shared" si="3"/>
        <v>1</v>
      </c>
      <c r="AB15" s="1488">
        <f t="shared" si="4"/>
        <v>1</v>
      </c>
      <c r="AC15" s="1488">
        <f t="shared" si="5"/>
        <v>1</v>
      </c>
    </row>
    <row r="16" spans="1:29" ht="15">
      <c r="A16" s="387"/>
      <c r="B16" s="405"/>
      <c r="C16" s="406"/>
      <c r="D16" s="407"/>
      <c r="E16" s="2034"/>
      <c r="F16" s="407"/>
      <c r="G16" s="2035"/>
      <c r="H16" s="409"/>
      <c r="I16" s="2035"/>
      <c r="J16" s="407"/>
      <c r="K16" s="2036"/>
      <c r="L16" s="2901"/>
      <c r="M16" s="2895"/>
      <c r="N16" s="2895"/>
      <c r="O16" s="2895"/>
      <c r="P16" s="3495"/>
      <c r="Q16" s="1487"/>
      <c r="R16" s="714"/>
      <c r="S16" s="715"/>
      <c r="T16" s="714"/>
      <c r="U16" s="715"/>
      <c r="V16" s="714"/>
      <c r="W16" s="715"/>
      <c r="X16" s="1490"/>
      <c r="Y16" s="3488"/>
      <c r="Z16" s="1491"/>
      <c r="AA16" s="1488">
        <v>1</v>
      </c>
      <c r="AB16" s="1488">
        <v>1</v>
      </c>
      <c r="AC16" s="1488">
        <v>1</v>
      </c>
    </row>
    <row r="17" spans="1:29" ht="85.5">
      <c r="A17" s="387"/>
      <c r="B17" s="410" t="s">
        <v>1703</v>
      </c>
      <c r="C17" s="2037"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01"/>
      <c r="M17" s="2895"/>
      <c r="N17" s="2895"/>
      <c r="O17" s="2895"/>
      <c r="P17" s="3495"/>
      <c r="Q17" s="1487" t="str">
        <f>B17</f>
        <v>交通便捷度</v>
      </c>
      <c r="R17" s="714" t="s">
        <v>21</v>
      </c>
      <c r="S17" s="715">
        <f>F17</f>
        <v>100</v>
      </c>
      <c r="T17" s="714" t="s">
        <v>21</v>
      </c>
      <c r="U17" s="715">
        <f>H17</f>
        <v>100</v>
      </c>
      <c r="V17" s="714" t="s">
        <v>21</v>
      </c>
      <c r="W17" s="715">
        <f>J17</f>
        <v>100</v>
      </c>
      <c r="X17" s="1490"/>
      <c r="Y17" s="3488"/>
      <c r="Z17" s="1491" t="str">
        <f>Q17</f>
        <v>交通便捷度</v>
      </c>
      <c r="AA17" s="1488">
        <f t="shared" si="3"/>
        <v>1</v>
      </c>
      <c r="AB17" s="1488">
        <f t="shared" si="4"/>
        <v>1</v>
      </c>
      <c r="AC17" s="1488">
        <f t="shared" si="5"/>
        <v>1</v>
      </c>
    </row>
    <row r="18" spans="1:29" ht="15">
      <c r="A18" s="387"/>
      <c r="B18" s="415"/>
      <c r="C18" s="2038"/>
      <c r="D18" s="409"/>
      <c r="E18" s="2039"/>
      <c r="F18" s="409"/>
      <c r="G18" s="2040"/>
      <c r="H18" s="407"/>
      <c r="I18" s="2040"/>
      <c r="J18" s="407"/>
      <c r="K18" s="2036"/>
      <c r="L18" s="2901"/>
      <c r="M18" s="2895"/>
      <c r="N18" s="2895"/>
      <c r="O18" s="2895"/>
      <c r="P18" s="3495"/>
      <c r="Q18" s="1487"/>
      <c r="R18" s="714"/>
      <c r="S18" s="715"/>
      <c r="T18" s="714"/>
      <c r="U18" s="715"/>
      <c r="V18" s="714"/>
      <c r="W18" s="715"/>
      <c r="X18" s="1490"/>
      <c r="Y18" s="3488"/>
      <c r="Z18" s="1491"/>
      <c r="AA18" s="1488">
        <v>1</v>
      </c>
      <c r="AB18" s="1488">
        <v>1</v>
      </c>
      <c r="AC18" s="1488">
        <v>1</v>
      </c>
    </row>
    <row r="19" spans="1:29" ht="42.75">
      <c r="A19" s="387"/>
      <c r="B19" s="410" t="s">
        <v>1702</v>
      </c>
      <c r="C19" s="2037"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01"/>
      <c r="M19" s="2895"/>
      <c r="N19" s="2895"/>
      <c r="O19" s="2895"/>
      <c r="P19" s="3495"/>
      <c r="Q19" s="1487" t="str">
        <f>B19</f>
        <v>公共配套设施</v>
      </c>
      <c r="R19" s="714" t="s">
        <v>21</v>
      </c>
      <c r="S19" s="715">
        <f>F19</f>
        <v>100</v>
      </c>
      <c r="T19" s="714" t="s">
        <v>21</v>
      </c>
      <c r="U19" s="715">
        <f>H19</f>
        <v>100</v>
      </c>
      <c r="V19" s="714" t="s">
        <v>21</v>
      </c>
      <c r="W19" s="715">
        <f>J19</f>
        <v>100</v>
      </c>
      <c r="X19" s="1490"/>
      <c r="Y19" s="3488"/>
      <c r="Z19" s="1491" t="str">
        <f>Q19</f>
        <v>公共配套设施</v>
      </c>
      <c r="AA19" s="1488">
        <f t="shared" si="3"/>
        <v>1</v>
      </c>
      <c r="AB19" s="1488">
        <f t="shared" si="4"/>
        <v>1</v>
      </c>
      <c r="AC19" s="1488">
        <f t="shared" si="5"/>
        <v>1</v>
      </c>
    </row>
    <row r="20" spans="1:29" ht="15">
      <c r="A20" s="387"/>
      <c r="B20" s="415"/>
      <c r="C20" s="406"/>
      <c r="D20" s="407"/>
      <c r="E20" s="2034"/>
      <c r="F20" s="407"/>
      <c r="G20" s="2035"/>
      <c r="H20" s="407"/>
      <c r="I20" s="2035"/>
      <c r="J20" s="407"/>
      <c r="K20" s="2036"/>
      <c r="L20" s="2901"/>
      <c r="M20" s="2895"/>
      <c r="N20" s="2895"/>
      <c r="O20" s="2895"/>
      <c r="P20" s="3495"/>
      <c r="Q20" s="1487"/>
      <c r="R20" s="714"/>
      <c r="S20" s="715"/>
      <c r="T20" s="714"/>
      <c r="U20" s="715"/>
      <c r="V20" s="714"/>
      <c r="W20" s="715"/>
      <c r="X20" s="1490"/>
      <c r="Y20" s="3488"/>
      <c r="Z20" s="1491"/>
      <c r="AA20" s="1488">
        <v>1</v>
      </c>
      <c r="AB20" s="1488">
        <v>1</v>
      </c>
      <c r="AC20" s="1488">
        <v>1</v>
      </c>
    </row>
    <row r="21" spans="1:29" ht="28.5">
      <c r="A21" s="387"/>
      <c r="B21" s="1246" t="s">
        <v>1704</v>
      </c>
      <c r="C21" s="2037"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01"/>
      <c r="M21" s="2895"/>
      <c r="N21" s="2895"/>
      <c r="O21" s="2895"/>
      <c r="P21" s="3495"/>
      <c r="Q21" s="1487" t="str">
        <f>B21</f>
        <v>基础设施水平</v>
      </c>
      <c r="R21" s="714" t="s">
        <v>17</v>
      </c>
      <c r="S21" s="715">
        <f>F21</f>
        <v>100</v>
      </c>
      <c r="T21" s="714" t="s">
        <v>17</v>
      </c>
      <c r="U21" s="715">
        <f>H21</f>
        <v>100</v>
      </c>
      <c r="V21" s="714" t="s">
        <v>17</v>
      </c>
      <c r="W21" s="715">
        <f>J21</f>
        <v>100</v>
      </c>
      <c r="X21" s="1490"/>
      <c r="Y21" s="3488"/>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7"/>
      <c r="G22" s="2041"/>
      <c r="H22" s="407"/>
      <c r="I22" s="406"/>
      <c r="J22" s="407"/>
      <c r="K22" s="2042"/>
      <c r="L22" s="2901"/>
      <c r="M22" s="2895"/>
      <c r="N22" s="2895"/>
      <c r="O22" s="2895"/>
      <c r="P22" s="3495"/>
      <c r="Q22" s="1487"/>
      <c r="R22" s="714"/>
      <c r="S22" s="715"/>
      <c r="T22" s="714"/>
      <c r="U22" s="715"/>
      <c r="V22" s="714"/>
      <c r="W22" s="715"/>
      <c r="X22" s="1490"/>
      <c r="Y22" s="3488"/>
      <c r="Z22" s="1491"/>
      <c r="AA22" s="1488">
        <v>1</v>
      </c>
      <c r="AB22" s="1488">
        <v>1</v>
      </c>
      <c r="AC22" s="1488">
        <v>1</v>
      </c>
    </row>
    <row r="23" spans="1:29" ht="57">
      <c r="A23" s="387"/>
      <c r="B23" s="410" t="s">
        <v>1705</v>
      </c>
      <c r="C23" s="2037"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01"/>
      <c r="M23" s="2895"/>
      <c r="N23" s="2895"/>
      <c r="O23" s="2895"/>
      <c r="P23" s="3495"/>
      <c r="Q23" s="1487" t="str">
        <f>B23</f>
        <v>自然及人文环境</v>
      </c>
      <c r="R23" s="714" t="s">
        <v>21</v>
      </c>
      <c r="S23" s="715">
        <f>F23</f>
        <v>100</v>
      </c>
      <c r="T23" s="714" t="s">
        <v>21</v>
      </c>
      <c r="U23" s="715">
        <f>H23</f>
        <v>100</v>
      </c>
      <c r="V23" s="714" t="s">
        <v>21</v>
      </c>
      <c r="W23" s="715">
        <f>J23</f>
        <v>100</v>
      </c>
      <c r="X23" s="1490"/>
      <c r="Y23" s="3488"/>
      <c r="Z23" s="1491" t="str">
        <f>Q23</f>
        <v>自然及人文环境</v>
      </c>
      <c r="AA23" s="1488">
        <f>D23/F23</f>
        <v>1</v>
      </c>
      <c r="AB23" s="1488">
        <f>D23/H23</f>
        <v>1</v>
      </c>
      <c r="AC23" s="1488">
        <f>D23/J23</f>
        <v>1</v>
      </c>
    </row>
    <row r="24" spans="1:29" ht="15">
      <c r="A24" s="387"/>
      <c r="B24" s="415"/>
      <c r="C24" s="406"/>
      <c r="D24" s="407"/>
      <c r="E24" s="2034"/>
      <c r="F24" s="407"/>
      <c r="G24" s="2035"/>
      <c r="H24" s="407"/>
      <c r="I24" s="2035"/>
      <c r="J24" s="407"/>
      <c r="K24" s="2036"/>
      <c r="L24" s="2901"/>
      <c r="M24" s="2895"/>
      <c r="N24" s="2895"/>
      <c r="O24" s="2895"/>
      <c r="P24" s="3495"/>
      <c r="Q24" s="1487"/>
      <c r="R24" s="714"/>
      <c r="S24" s="715"/>
      <c r="T24" s="714"/>
      <c r="U24" s="715"/>
      <c r="V24" s="714"/>
      <c r="W24" s="715"/>
      <c r="X24" s="1490"/>
      <c r="Y24" s="3488"/>
      <c r="Z24" s="1491"/>
      <c r="AA24" s="1488">
        <v>1</v>
      </c>
      <c r="AB24" s="1488">
        <v>1</v>
      </c>
      <c r="AC24" s="1488">
        <v>1</v>
      </c>
    </row>
    <row r="25" spans="1:29" ht="15">
      <c r="A25" s="387"/>
      <c r="B25" s="381" t="s">
        <v>2140</v>
      </c>
      <c r="C25" s="419"/>
      <c r="D25" s="394">
        <v>100</v>
      </c>
      <c r="E25" s="2043"/>
      <c r="F25" s="394">
        <f>SUMIF(86:86,E25,87:87)-SUMIF(86:86,C25,87:87)+100</f>
        <v>100</v>
      </c>
      <c r="G25" s="2044"/>
      <c r="H25" s="394">
        <f>SUMIF(86:86,G25,87:87)-SUMIF(86:86,C25,87:87)+100</f>
        <v>100</v>
      </c>
      <c r="I25" s="2044"/>
      <c r="J25" s="394">
        <f>SUMIF(86:86,I25,87:87)-SUMIF(86:86,C25,87:87)+100</f>
        <v>100</v>
      </c>
      <c r="K25" s="385"/>
      <c r="L25" s="2901"/>
      <c r="M25" s="2895"/>
      <c r="N25" s="2895"/>
      <c r="O25" s="2895"/>
      <c r="P25" s="3495"/>
      <c r="Q25" s="1487" t="str">
        <f t="shared" ref="Q25:Q46" si="11">B25</f>
        <v>楼层-1</v>
      </c>
      <c r="R25" s="714" t="s">
        <v>21</v>
      </c>
      <c r="S25" s="715">
        <f t="shared" ref="S25:S46" si="12">F25</f>
        <v>100</v>
      </c>
      <c r="T25" s="714" t="s">
        <v>21</v>
      </c>
      <c r="U25" s="715">
        <f t="shared" ref="U25:U46" si="13">H25</f>
        <v>100</v>
      </c>
      <c r="V25" s="714" t="s">
        <v>21</v>
      </c>
      <c r="W25" s="715">
        <f t="shared" ref="W25:W46" si="14">J25</f>
        <v>100</v>
      </c>
      <c r="X25" s="1490"/>
      <c r="Y25" s="3488"/>
      <c r="Z25" s="1491" t="str">
        <f>Q25</f>
        <v>楼层-1</v>
      </c>
      <c r="AA25" s="1488">
        <f t="shared" ref="AA25:AA46" si="15">D25/F25</f>
        <v>1</v>
      </c>
      <c r="AB25" s="1488">
        <f t="shared" ref="AB25:AB46" si="16">D25/H25</f>
        <v>1</v>
      </c>
      <c r="AC25" s="1488">
        <f t="shared" ref="AC25:AC46" si="17">D25/J25</f>
        <v>1</v>
      </c>
    </row>
    <row r="26" spans="1:29" ht="15">
      <c r="A26" s="387"/>
      <c r="B26" s="381" t="s">
        <v>2141</v>
      </c>
      <c r="C26" s="419"/>
      <c r="D26" s="394">
        <v>100</v>
      </c>
      <c r="E26" s="2043"/>
      <c r="F26" s="394">
        <f>SUMIF(88:88,E26,89:89)-SUMIF(88:88,C26,89:89)+100</f>
        <v>100</v>
      </c>
      <c r="G26" s="2044"/>
      <c r="H26" s="394">
        <f>SUMIF(88:88,G26,89:89)-SUMIF(88:88,C26,89:89)+100</f>
        <v>100</v>
      </c>
      <c r="I26" s="2044"/>
      <c r="J26" s="394">
        <f>SUMIF(88:88,I26,89:89)-SUMIF(88:88,C26,89:89)+100</f>
        <v>100</v>
      </c>
      <c r="K26" s="385"/>
      <c r="L26" s="2901"/>
      <c r="M26" s="2895"/>
      <c r="N26" s="2895"/>
      <c r="O26" s="2895"/>
      <c r="P26" s="3495"/>
      <c r="Q26" s="1487" t="str">
        <f t="shared" si="11"/>
        <v>朝向</v>
      </c>
      <c r="R26" s="714" t="s">
        <v>21</v>
      </c>
      <c r="S26" s="715">
        <f t="shared" si="12"/>
        <v>100</v>
      </c>
      <c r="T26" s="714" t="s">
        <v>21</v>
      </c>
      <c r="U26" s="715">
        <f t="shared" si="13"/>
        <v>100</v>
      </c>
      <c r="V26" s="714" t="s">
        <v>21</v>
      </c>
      <c r="W26" s="715">
        <f t="shared" si="14"/>
        <v>100</v>
      </c>
      <c r="X26" s="1490"/>
      <c r="Y26" s="3488"/>
      <c r="Z26" s="1491" t="str">
        <f>Q26</f>
        <v>朝向</v>
      </c>
      <c r="AA26" s="1488">
        <f t="shared" si="15"/>
        <v>1</v>
      </c>
      <c r="AB26" s="1488">
        <f t="shared" si="16"/>
        <v>1</v>
      </c>
      <c r="AC26" s="1488">
        <f t="shared" si="17"/>
        <v>1</v>
      </c>
    </row>
    <row r="27" spans="1:29" s="113" customFormat="1" ht="15">
      <c r="A27" s="390"/>
      <c r="B27" s="1248">
        <v>111</v>
      </c>
      <c r="C27" s="391"/>
      <c r="D27" s="421">
        <v>100</v>
      </c>
      <c r="E27" s="424"/>
      <c r="F27" s="421">
        <f>SUMIF(90:90,E27,91:91)-SUMIF(90:90,C27,91:91)+100</f>
        <v>100</v>
      </c>
      <c r="G27" s="422"/>
      <c r="H27" s="421">
        <f>SUMIF(90:90,G27,91:91)-SUMIF(90:90,C27,91:91)+100</f>
        <v>100</v>
      </c>
      <c r="I27" s="422"/>
      <c r="J27" s="421">
        <f>SUMIF(90:90,I27,91:91)-SUMIF(90:90,C27,91:91)+100</f>
        <v>100</v>
      </c>
      <c r="K27" s="2031"/>
      <c r="L27" s="2896"/>
      <c r="M27" s="2897"/>
      <c r="N27" s="2897"/>
      <c r="O27" s="2897"/>
      <c r="P27" s="3495"/>
      <c r="Q27" s="1478">
        <f t="shared" si="11"/>
        <v>111</v>
      </c>
      <c r="R27" s="710" t="s">
        <v>21</v>
      </c>
      <c r="S27" s="711">
        <f t="shared" si="12"/>
        <v>100</v>
      </c>
      <c r="T27" s="710" t="s">
        <v>21</v>
      </c>
      <c r="U27" s="711">
        <f t="shared" si="13"/>
        <v>100</v>
      </c>
      <c r="V27" s="710" t="s">
        <v>21</v>
      </c>
      <c r="W27" s="711">
        <f t="shared" si="14"/>
        <v>100</v>
      </c>
      <c r="X27" s="712"/>
      <c r="Y27" s="3488"/>
      <c r="Z27" s="55">
        <f>Q27</f>
        <v>111</v>
      </c>
      <c r="AA27" s="1488">
        <f t="shared" si="15"/>
        <v>1</v>
      </c>
      <c r="AB27" s="1488">
        <f t="shared" si="16"/>
        <v>1</v>
      </c>
      <c r="AC27" s="1488">
        <f t="shared" si="17"/>
        <v>1</v>
      </c>
    </row>
    <row r="28" spans="1:29" ht="15">
      <c r="A28" s="387"/>
      <c r="B28" s="1248">
        <v>111</v>
      </c>
      <c r="C28" s="393"/>
      <c r="D28" s="394">
        <v>100</v>
      </c>
      <c r="E28" s="393"/>
      <c r="F28" s="394">
        <f>SUMIF(92:92,E28,93:93)-SUMIF(92:92,C28,93:93)+100</f>
        <v>100</v>
      </c>
      <c r="G28" s="2045"/>
      <c r="H28" s="394">
        <f>SUMIF(92:92,G28,93:93)-SUMIF(92:92,C28,93:93)+100</f>
        <v>100</v>
      </c>
      <c r="I28" s="393"/>
      <c r="J28" s="394">
        <f>SUMIF(92:92,I28,93:93)-SUMIF(92:92,C28,93:93)+100</f>
        <v>100</v>
      </c>
      <c r="K28" s="2031"/>
      <c r="L28" s="2901"/>
      <c r="M28" s="2895"/>
      <c r="N28" s="2895"/>
      <c r="O28" s="2895"/>
      <c r="P28" s="3495"/>
      <c r="Q28" s="1487">
        <f t="shared" si="11"/>
        <v>111</v>
      </c>
      <c r="R28" s="714" t="s">
        <v>21</v>
      </c>
      <c r="S28" s="715">
        <f t="shared" si="12"/>
        <v>100</v>
      </c>
      <c r="T28" s="714" t="s">
        <v>21</v>
      </c>
      <c r="U28" s="715">
        <f t="shared" si="13"/>
        <v>100</v>
      </c>
      <c r="V28" s="714" t="s">
        <v>21</v>
      </c>
      <c r="W28" s="715">
        <f t="shared" si="14"/>
        <v>100</v>
      </c>
      <c r="X28" s="1490"/>
      <c r="Y28" s="3488"/>
      <c r="Z28" s="1491">
        <f t="shared" ref="Z28:Z46" si="18">Q28</f>
        <v>111</v>
      </c>
      <c r="AA28" s="1488">
        <f t="shared" si="15"/>
        <v>1</v>
      </c>
      <c r="AB28" s="1488">
        <f t="shared" si="16"/>
        <v>1</v>
      </c>
      <c r="AC28" s="1488">
        <f t="shared" si="17"/>
        <v>1</v>
      </c>
    </row>
    <row r="29" spans="1:29" ht="15">
      <c r="A29" s="387"/>
      <c r="B29" s="1248">
        <v>111</v>
      </c>
      <c r="C29" s="393"/>
      <c r="D29" s="394">
        <v>100</v>
      </c>
      <c r="E29" s="393"/>
      <c r="F29" s="394">
        <f>SUMIF(94:94,E29,95:95)-SUMIF(94:94,C29,95:95)+100</f>
        <v>100</v>
      </c>
      <c r="G29" s="2045"/>
      <c r="H29" s="394">
        <f>SUMIF(94:94,G29,95:95)-SUMIF(94:94,C29,95:95)+100</f>
        <v>100</v>
      </c>
      <c r="I29" s="393"/>
      <c r="J29" s="394">
        <f>SUMIF(94:94,I29,95:95)-SUMIF(94:94,C29,95:95)+100</f>
        <v>100</v>
      </c>
      <c r="K29" s="2031"/>
      <c r="L29" s="2901"/>
      <c r="M29" s="2895"/>
      <c r="N29" s="2895"/>
      <c r="O29" s="2895"/>
      <c r="P29" s="3495"/>
      <c r="Q29" s="1487">
        <f t="shared" si="11"/>
        <v>111</v>
      </c>
      <c r="R29" s="714" t="s">
        <v>21</v>
      </c>
      <c r="S29" s="715">
        <f t="shared" si="12"/>
        <v>100</v>
      </c>
      <c r="T29" s="714" t="s">
        <v>21</v>
      </c>
      <c r="U29" s="715">
        <f t="shared" si="13"/>
        <v>100</v>
      </c>
      <c r="V29" s="714" t="s">
        <v>21</v>
      </c>
      <c r="W29" s="715">
        <f t="shared" si="14"/>
        <v>100</v>
      </c>
      <c r="X29" s="1490"/>
      <c r="Y29" s="3488"/>
      <c r="Z29" s="1491">
        <f t="shared" si="18"/>
        <v>111</v>
      </c>
      <c r="AA29" s="1488">
        <f t="shared" si="15"/>
        <v>1</v>
      </c>
      <c r="AB29" s="1488">
        <f t="shared" si="16"/>
        <v>1</v>
      </c>
      <c r="AC29" s="1488">
        <f t="shared" si="17"/>
        <v>1</v>
      </c>
    </row>
    <row r="30" spans="1:29" ht="15">
      <c r="A30" s="387"/>
      <c r="B30" s="1248">
        <v>111</v>
      </c>
      <c r="C30" s="393"/>
      <c r="D30" s="394">
        <v>100</v>
      </c>
      <c r="E30" s="393"/>
      <c r="F30" s="394">
        <f>SUMIF(96:96,E30,97:97)-SUMIF(96:96,C30,97:97)+100</f>
        <v>100</v>
      </c>
      <c r="G30" s="2045"/>
      <c r="H30" s="394">
        <f>SUMIF(96:96,G30,97:97)-SUMIF(96:96,C30,97:97)+100</f>
        <v>100</v>
      </c>
      <c r="I30" s="393"/>
      <c r="J30" s="394">
        <f>SUMIF(96:96,I30,97:97)-SUMIF(96:96,C30,97:97)+100</f>
        <v>100</v>
      </c>
      <c r="K30" s="2031"/>
      <c r="L30" s="2901"/>
      <c r="M30" s="2895"/>
      <c r="N30" s="2895"/>
      <c r="O30" s="2895"/>
      <c r="P30" s="3495"/>
      <c r="Q30" s="1487">
        <f t="shared" si="11"/>
        <v>111</v>
      </c>
      <c r="R30" s="714" t="s">
        <v>21</v>
      </c>
      <c r="S30" s="715">
        <f t="shared" si="12"/>
        <v>100</v>
      </c>
      <c r="T30" s="714" t="s">
        <v>21</v>
      </c>
      <c r="U30" s="715">
        <f t="shared" si="13"/>
        <v>100</v>
      </c>
      <c r="V30" s="714" t="s">
        <v>21</v>
      </c>
      <c r="W30" s="715">
        <f t="shared" si="14"/>
        <v>100</v>
      </c>
      <c r="X30" s="1490"/>
      <c r="Y30" s="3488"/>
      <c r="Z30" s="1491">
        <f t="shared" si="18"/>
        <v>111</v>
      </c>
      <c r="AA30" s="1488">
        <f t="shared" si="15"/>
        <v>1</v>
      </c>
      <c r="AB30" s="1488">
        <f t="shared" si="16"/>
        <v>1</v>
      </c>
      <c r="AC30" s="1488">
        <f t="shared" si="17"/>
        <v>1</v>
      </c>
    </row>
    <row r="31" spans="1:29" ht="15.75" thickBot="1">
      <c r="A31" s="395"/>
      <c r="B31" s="1248">
        <v>111</v>
      </c>
      <c r="C31" s="396"/>
      <c r="D31" s="397">
        <v>100</v>
      </c>
      <c r="E31" s="396"/>
      <c r="F31" s="397">
        <f>SUMIF(98:98,E31,99:99)-SUMIF(98:98,C31,99:99)+100</f>
        <v>100</v>
      </c>
      <c r="G31" s="2046"/>
      <c r="H31" s="397">
        <f>SUMIF(98:98,G31,99:99)-SUMIF(98:98,C31,99:99)+100</f>
        <v>100</v>
      </c>
      <c r="I31" s="396"/>
      <c r="J31" s="397">
        <f>SUMIF(98:98,I31,99:99)-SUMIF(98:98,C31,99:99)+100</f>
        <v>100</v>
      </c>
      <c r="K31" s="2031"/>
      <c r="L31" s="2901"/>
      <c r="M31" s="2895"/>
      <c r="N31" s="2895"/>
      <c r="O31" s="2895"/>
      <c r="P31" s="3495"/>
      <c r="Q31" s="1487">
        <f t="shared" si="11"/>
        <v>111</v>
      </c>
      <c r="R31" s="714" t="s">
        <v>21</v>
      </c>
      <c r="S31" s="715">
        <f t="shared" si="12"/>
        <v>100</v>
      </c>
      <c r="T31" s="714" t="s">
        <v>21</v>
      </c>
      <c r="U31" s="715">
        <f t="shared" si="13"/>
        <v>100</v>
      </c>
      <c r="V31" s="714" t="s">
        <v>21</v>
      </c>
      <c r="W31" s="715">
        <f t="shared" si="14"/>
        <v>100</v>
      </c>
      <c r="X31" s="1490"/>
      <c r="Y31" s="3488"/>
      <c r="Z31" s="1491">
        <f t="shared" si="18"/>
        <v>111</v>
      </c>
      <c r="AA31" s="1488">
        <f t="shared" si="15"/>
        <v>1</v>
      </c>
      <c r="AB31" s="1488">
        <f t="shared" si="16"/>
        <v>1</v>
      </c>
      <c r="AC31" s="1488">
        <f t="shared" si="17"/>
        <v>1</v>
      </c>
    </row>
    <row r="32" spans="1:29" ht="15">
      <c r="A32" s="399" t="s">
        <v>2142</v>
      </c>
      <c r="B32" s="67" t="s">
        <v>2143</v>
      </c>
      <c r="C32" s="2047"/>
      <c r="D32" s="426">
        <v>100</v>
      </c>
      <c r="E32" s="2048"/>
      <c r="F32" s="420">
        <f>SUMIF(100:100,E32,101:101)-SUMIF(100:100,C32,101:101)+100</f>
        <v>100</v>
      </c>
      <c r="G32" s="2047"/>
      <c r="H32" s="426">
        <f>SUMIF(100:100,G32,101:101)-SUMIF(100:100,C32,101:101)+100</f>
        <v>100</v>
      </c>
      <c r="I32" s="2048"/>
      <c r="J32" s="394">
        <f>SUMIF(100:100,I32,101:101)-SUMIF(100:100,C32,101:101)+100</f>
        <v>100</v>
      </c>
      <c r="K32" s="385"/>
      <c r="L32" s="2901"/>
      <c r="M32" s="2895"/>
      <c r="N32" s="2895"/>
      <c r="O32" s="2895"/>
      <c r="P32" s="3489" t="s">
        <v>2144</v>
      </c>
      <c r="Q32" s="1487" t="str">
        <f t="shared" si="11"/>
        <v>建筑类型</v>
      </c>
      <c r="R32" s="714" t="s">
        <v>21</v>
      </c>
      <c r="S32" s="715">
        <f t="shared" si="12"/>
        <v>100</v>
      </c>
      <c r="T32" s="714" t="s">
        <v>21</v>
      </c>
      <c r="U32" s="715">
        <f t="shared" si="13"/>
        <v>100</v>
      </c>
      <c r="V32" s="714" t="s">
        <v>21</v>
      </c>
      <c r="W32" s="715">
        <f t="shared" si="14"/>
        <v>100</v>
      </c>
      <c r="X32" s="1490"/>
      <c r="Y32" s="3492" t="s">
        <v>2144</v>
      </c>
      <c r="Z32" s="1491" t="str">
        <f t="shared" si="18"/>
        <v>建筑类型</v>
      </c>
      <c r="AA32" s="1488">
        <f t="shared" si="15"/>
        <v>1</v>
      </c>
      <c r="AB32" s="1488">
        <f t="shared" si="16"/>
        <v>1</v>
      </c>
      <c r="AC32" s="1488">
        <f t="shared" si="17"/>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31"/>
      <c r="L33" s="2900"/>
      <c r="M33" s="2902"/>
      <c r="N33" s="2902"/>
      <c r="O33" s="2902"/>
      <c r="P33" s="3490"/>
      <c r="Q33" s="716" t="str">
        <f t="shared" si="11"/>
        <v>项目建筑规模</v>
      </c>
      <c r="R33" s="717" t="s">
        <v>21</v>
      </c>
      <c r="S33" s="718" t="e">
        <f t="shared" si="12"/>
        <v>#N/A</v>
      </c>
      <c r="T33" s="717" t="s">
        <v>21</v>
      </c>
      <c r="U33" s="718" t="e">
        <f t="shared" si="13"/>
        <v>#N/A</v>
      </c>
      <c r="V33" s="717" t="s">
        <v>21</v>
      </c>
      <c r="W33" s="718" t="e">
        <f t="shared" si="14"/>
        <v>#N/A</v>
      </c>
      <c r="X33" s="719"/>
      <c r="Y33" s="3492"/>
      <c r="Z33" s="720" t="str">
        <f t="shared" si="18"/>
        <v>项目建筑规模</v>
      </c>
      <c r="AA33" s="1488" t="e">
        <f t="shared" si="15"/>
        <v>#N/A</v>
      </c>
      <c r="AB33" s="1488" t="e">
        <f t="shared" si="16"/>
        <v>#N/A</v>
      </c>
      <c r="AC33" s="1488" t="e">
        <f t="shared" si="17"/>
        <v>#N/A</v>
      </c>
    </row>
    <row r="34" spans="1:29" ht="15">
      <c r="A34" s="431"/>
      <c r="B34" s="381" t="s">
        <v>2146</v>
      </c>
      <c r="C34" s="2049"/>
      <c r="D34" s="394">
        <v>100</v>
      </c>
      <c r="E34" s="2050"/>
      <c r="F34" s="420">
        <f>SUMIF(105:105,E34,106:106)-SUMIF(105:105,C34,106:106)+100</f>
        <v>100</v>
      </c>
      <c r="G34" s="2049"/>
      <c r="H34" s="394">
        <f>SUMIF(105:105,G34,106:106)-SUMIF(105:105,C34,106:106)+100</f>
        <v>100</v>
      </c>
      <c r="I34" s="2050"/>
      <c r="J34" s="394">
        <f>SUMIF(105:105,I34,106:106)-SUMIF(105:105,C34,106:106)+100</f>
        <v>100</v>
      </c>
      <c r="K34" s="385"/>
      <c r="L34" s="2901"/>
      <c r="M34" s="2895"/>
      <c r="N34" s="2895"/>
      <c r="O34" s="2895"/>
      <c r="P34" s="3490"/>
      <c r="Q34" s="1487" t="str">
        <f t="shared" si="11"/>
        <v>建筑结构</v>
      </c>
      <c r="R34" s="714" t="s">
        <v>21</v>
      </c>
      <c r="S34" s="715">
        <f t="shared" si="12"/>
        <v>100</v>
      </c>
      <c r="T34" s="714" t="s">
        <v>21</v>
      </c>
      <c r="U34" s="715">
        <f t="shared" si="13"/>
        <v>100</v>
      </c>
      <c r="V34" s="714" t="s">
        <v>21</v>
      </c>
      <c r="W34" s="715">
        <f t="shared" si="14"/>
        <v>100</v>
      </c>
      <c r="X34" s="1490"/>
      <c r="Y34" s="3492"/>
      <c r="Z34" s="1491" t="str">
        <f t="shared" si="18"/>
        <v>建筑结构</v>
      </c>
      <c r="AA34" s="1488">
        <f t="shared" si="15"/>
        <v>1</v>
      </c>
      <c r="AB34" s="1488">
        <f t="shared" si="16"/>
        <v>1</v>
      </c>
      <c r="AC34" s="1488">
        <f t="shared" si="17"/>
        <v>1</v>
      </c>
    </row>
    <row r="35" spans="1:29" ht="15">
      <c r="A35" s="431"/>
      <c r="B35" s="381" t="s">
        <v>2147</v>
      </c>
      <c r="C35" s="2043"/>
      <c r="D35" s="394">
        <v>100</v>
      </c>
      <c r="E35" s="2044"/>
      <c r="F35" s="420">
        <f>SUMIF(107:107,E35,108:108)-SUMIF(107:107,C35,108:108)+100</f>
        <v>100</v>
      </c>
      <c r="G35" s="2043"/>
      <c r="H35" s="394">
        <f>SUMIF(107:107,G35,108:108)-SUMIF(107:107,C35,108:108)+100</f>
        <v>100</v>
      </c>
      <c r="I35" s="2044"/>
      <c r="J35" s="394">
        <f>SUMIF(107:107,I35,108:108)-SUMIF(107:107,C35,108:108)+100</f>
        <v>100</v>
      </c>
      <c r="K35" s="385"/>
      <c r="L35" s="2901"/>
      <c r="M35" s="2895"/>
      <c r="N35" s="2895"/>
      <c r="O35" s="2895"/>
      <c r="P35" s="3490"/>
      <c r="Q35" s="1487" t="str">
        <f t="shared" si="11"/>
        <v>建筑品质</v>
      </c>
      <c r="R35" s="714" t="s">
        <v>21</v>
      </c>
      <c r="S35" s="715">
        <f t="shared" si="12"/>
        <v>100</v>
      </c>
      <c r="T35" s="714" t="s">
        <v>21</v>
      </c>
      <c r="U35" s="715">
        <f t="shared" si="13"/>
        <v>100</v>
      </c>
      <c r="V35" s="714" t="s">
        <v>21</v>
      </c>
      <c r="W35" s="715">
        <f t="shared" si="14"/>
        <v>100</v>
      </c>
      <c r="X35" s="1490"/>
      <c r="Y35" s="3492"/>
      <c r="Z35" s="1491" t="str">
        <f t="shared" si="18"/>
        <v>建筑品质</v>
      </c>
      <c r="AA35" s="1488">
        <f t="shared" si="15"/>
        <v>1</v>
      </c>
      <c r="AB35" s="1488">
        <f t="shared" si="16"/>
        <v>1</v>
      </c>
      <c r="AC35" s="1488">
        <f t="shared" si="17"/>
        <v>1</v>
      </c>
    </row>
    <row r="36" spans="1:29" ht="15">
      <c r="A36" s="431"/>
      <c r="B36" s="381" t="s">
        <v>2148</v>
      </c>
      <c r="C36" s="2043"/>
      <c r="D36" s="394">
        <v>100</v>
      </c>
      <c r="E36" s="2044"/>
      <c r="F36" s="420">
        <f>SUMIF(109:109,E36,110:110)-SUMIF(109:109,C36,110:110)+100</f>
        <v>100</v>
      </c>
      <c r="G36" s="2043"/>
      <c r="H36" s="394">
        <f>SUMIF(109:109,G36,110:110)-SUMIF(109:109,C36,110:110)+100</f>
        <v>100</v>
      </c>
      <c r="I36" s="2044"/>
      <c r="J36" s="394">
        <f>SUMIF(109:109,I36,110:110)-SUMIF(109:109,C36,110:110)+100</f>
        <v>100</v>
      </c>
      <c r="K36" s="385"/>
      <c r="L36" s="2901"/>
      <c r="M36" s="2895"/>
      <c r="N36" s="2895"/>
      <c r="O36" s="2895"/>
      <c r="P36" s="3490"/>
      <c r="Q36" s="1487" t="str">
        <f t="shared" si="11"/>
        <v>公共部分装修</v>
      </c>
      <c r="R36" s="714" t="s">
        <v>21</v>
      </c>
      <c r="S36" s="715">
        <f t="shared" si="12"/>
        <v>100</v>
      </c>
      <c r="T36" s="714" t="s">
        <v>21</v>
      </c>
      <c r="U36" s="715">
        <f t="shared" si="13"/>
        <v>100</v>
      </c>
      <c r="V36" s="714" t="s">
        <v>21</v>
      </c>
      <c r="W36" s="715">
        <f t="shared" si="14"/>
        <v>100</v>
      </c>
      <c r="X36" s="1490"/>
      <c r="Y36" s="3492"/>
      <c r="Z36" s="1491" t="str">
        <f t="shared" si="18"/>
        <v>公共部分装修</v>
      </c>
      <c r="AA36" s="1488">
        <f t="shared" si="15"/>
        <v>1</v>
      </c>
      <c r="AB36" s="1488">
        <f t="shared" si="16"/>
        <v>1</v>
      </c>
      <c r="AC36" s="1488">
        <f t="shared" si="17"/>
        <v>1</v>
      </c>
    </row>
    <row r="37" spans="1:29" s="113" customFormat="1" ht="15">
      <c r="A37" s="432"/>
      <c r="B37" s="381" t="s">
        <v>2149</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6"/>
      <c r="M37" s="2897"/>
      <c r="N37" s="2897"/>
      <c r="O37" s="2897"/>
      <c r="P37" s="3490"/>
      <c r="Q37" s="1478" t="str">
        <f t="shared" si="11"/>
        <v>成新度</v>
      </c>
      <c r="R37" s="710" t="s">
        <v>21</v>
      </c>
      <c r="S37" s="711" t="e">
        <f t="shared" si="12"/>
        <v>#N/A</v>
      </c>
      <c r="T37" s="710" t="s">
        <v>21</v>
      </c>
      <c r="U37" s="711" t="e">
        <f t="shared" si="13"/>
        <v>#N/A</v>
      </c>
      <c r="V37" s="710" t="s">
        <v>21</v>
      </c>
      <c r="W37" s="711" t="e">
        <f t="shared" si="14"/>
        <v>#N/A</v>
      </c>
      <c r="X37" s="712"/>
      <c r="Y37" s="3492"/>
      <c r="Z37" s="55" t="str">
        <f t="shared" si="18"/>
        <v>成新度</v>
      </c>
      <c r="AA37" s="713" t="e">
        <f t="shared" si="15"/>
        <v>#N/A</v>
      </c>
      <c r="AB37" s="713" t="e">
        <f t="shared" si="16"/>
        <v>#N/A</v>
      </c>
      <c r="AC37" s="713" t="e">
        <f t="shared" si="17"/>
        <v>#N/A</v>
      </c>
    </row>
    <row r="38" spans="1:29" ht="15">
      <c r="A38" s="431"/>
      <c r="B38" s="381" t="s">
        <v>2150</v>
      </c>
      <c r="C38" s="2043"/>
      <c r="D38" s="394">
        <v>100</v>
      </c>
      <c r="E38" s="2044"/>
      <c r="F38" s="420">
        <f>SUMIF(114:114,E38,115:115)-SUMIF(114:114,C38,115:115)+100</f>
        <v>100</v>
      </c>
      <c r="G38" s="2043"/>
      <c r="H38" s="394">
        <f>SUMIF(114:114,G38,115:115)-SUMIF(114:114,C38,115:115)+100</f>
        <v>100</v>
      </c>
      <c r="I38" s="2044"/>
      <c r="J38" s="394">
        <f>SUMIF(114:114,I38,115:115)-SUMIF(114:114,C38,115:115)+100</f>
        <v>100</v>
      </c>
      <c r="K38" s="385"/>
      <c r="L38" s="2901"/>
      <c r="M38" s="2895"/>
      <c r="N38" s="2895"/>
      <c r="O38" s="2895"/>
      <c r="P38" s="3490" t="s">
        <v>2144</v>
      </c>
      <c r="Q38" s="1487" t="str">
        <f t="shared" si="11"/>
        <v>物业管理</v>
      </c>
      <c r="R38" s="714" t="s">
        <v>21</v>
      </c>
      <c r="S38" s="715">
        <f t="shared" si="12"/>
        <v>100</v>
      </c>
      <c r="T38" s="714" t="s">
        <v>21</v>
      </c>
      <c r="U38" s="715">
        <f t="shared" si="13"/>
        <v>100</v>
      </c>
      <c r="V38" s="714" t="s">
        <v>21</v>
      </c>
      <c r="W38" s="715">
        <f t="shared" si="14"/>
        <v>100</v>
      </c>
      <c r="X38" s="1490"/>
      <c r="Y38" s="3492" t="s">
        <v>2144</v>
      </c>
      <c r="Z38" s="1491" t="str">
        <f t="shared" si="18"/>
        <v>物业管理</v>
      </c>
      <c r="AA38" s="1488">
        <f t="shared" si="15"/>
        <v>1</v>
      </c>
      <c r="AB38" s="1488">
        <f t="shared" si="16"/>
        <v>1</v>
      </c>
      <c r="AC38" s="1488">
        <f t="shared" si="17"/>
        <v>1</v>
      </c>
    </row>
    <row r="39" spans="1:29" ht="15">
      <c r="A39" s="431"/>
      <c r="B39" s="381" t="s">
        <v>2151</v>
      </c>
      <c r="C39" s="2043"/>
      <c r="D39" s="394">
        <v>100</v>
      </c>
      <c r="E39" s="2044"/>
      <c r="F39" s="420">
        <f>SUMIF(116:116,E39,117:117)-SUMIF(116:116,C39,117:117)+100</f>
        <v>100</v>
      </c>
      <c r="G39" s="2043"/>
      <c r="H39" s="394">
        <f>SUMIF(116:116,G39,117:117)-SUMIF(116:116,C39,117:117)+100</f>
        <v>100</v>
      </c>
      <c r="I39" s="2044"/>
      <c r="J39" s="394">
        <f>SUMIF(116:116,I39,117:117)-SUMIF(116:116,C39,117:117)+100</f>
        <v>100</v>
      </c>
      <c r="K39" s="385"/>
      <c r="L39" s="2901"/>
      <c r="M39" s="2895"/>
      <c r="N39" s="2895"/>
      <c r="O39" s="2895"/>
      <c r="P39" s="3490"/>
      <c r="Q39" s="1487" t="str">
        <f t="shared" si="11"/>
        <v>市政基础设施</v>
      </c>
      <c r="R39" s="714" t="s">
        <v>21</v>
      </c>
      <c r="S39" s="715">
        <f t="shared" si="12"/>
        <v>100</v>
      </c>
      <c r="T39" s="714" t="s">
        <v>21</v>
      </c>
      <c r="U39" s="715">
        <f t="shared" si="13"/>
        <v>100</v>
      </c>
      <c r="V39" s="714" t="s">
        <v>21</v>
      </c>
      <c r="W39" s="715">
        <f t="shared" si="14"/>
        <v>100</v>
      </c>
      <c r="X39" s="1490"/>
      <c r="Y39" s="3492"/>
      <c r="Z39" s="1491" t="str">
        <f t="shared" si="18"/>
        <v>市政基础设施</v>
      </c>
      <c r="AA39" s="1488">
        <f t="shared" si="15"/>
        <v>1</v>
      </c>
      <c r="AB39" s="1488">
        <f t="shared" si="16"/>
        <v>1</v>
      </c>
      <c r="AC39" s="1488">
        <f t="shared" si="17"/>
        <v>1</v>
      </c>
    </row>
    <row r="40" spans="1:29" ht="15">
      <c r="A40" s="431"/>
      <c r="B40" s="381" t="s">
        <v>2152</v>
      </c>
      <c r="C40" s="2043"/>
      <c r="D40" s="394">
        <v>100</v>
      </c>
      <c r="E40" s="2044"/>
      <c r="F40" s="420">
        <f>SUMIF(118:118,E40,119:119)-SUMIF(118:118,C40,119:119)+100</f>
        <v>100</v>
      </c>
      <c r="G40" s="2043"/>
      <c r="H40" s="394">
        <f>SUMIF(118:118,G40,119:119)-SUMIF(118:118,C40,119:119)+100</f>
        <v>100</v>
      </c>
      <c r="I40" s="2044"/>
      <c r="J40" s="394">
        <f>SUMIF(118:118,I40,119:119)-SUMIF(118:118,C40,119:119)+100</f>
        <v>100</v>
      </c>
      <c r="K40" s="385"/>
      <c r="L40" s="2901"/>
      <c r="M40" s="2895"/>
      <c r="N40" s="2895"/>
      <c r="O40" s="2895"/>
      <c r="P40" s="3490"/>
      <c r="Q40" s="1487" t="str">
        <f t="shared" si="11"/>
        <v>房型</v>
      </c>
      <c r="R40" s="714" t="s">
        <v>21</v>
      </c>
      <c r="S40" s="715">
        <f t="shared" si="12"/>
        <v>100</v>
      </c>
      <c r="T40" s="714" t="s">
        <v>21</v>
      </c>
      <c r="U40" s="715">
        <f t="shared" si="13"/>
        <v>100</v>
      </c>
      <c r="V40" s="714" t="s">
        <v>21</v>
      </c>
      <c r="W40" s="715">
        <f t="shared" si="14"/>
        <v>100</v>
      </c>
      <c r="X40" s="1490"/>
      <c r="Y40" s="3492"/>
      <c r="Z40" s="1491" t="str">
        <f t="shared" si="18"/>
        <v>房型</v>
      </c>
      <c r="AA40" s="1488">
        <f t="shared" si="15"/>
        <v>1</v>
      </c>
      <c r="AB40" s="1488">
        <f t="shared" si="16"/>
        <v>1</v>
      </c>
      <c r="AC40" s="1488">
        <f t="shared" si="17"/>
        <v>1</v>
      </c>
    </row>
    <row r="41" spans="1:29" s="430" customFormat="1" ht="28.5">
      <c r="A41" s="427"/>
      <c r="B41" s="381" t="s">
        <v>2153</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31"/>
      <c r="L41" s="2900"/>
      <c r="M41" s="2902"/>
      <c r="N41" s="2902"/>
      <c r="O41" s="2902"/>
      <c r="P41" s="3490"/>
      <c r="Q41" s="716" t="str">
        <f t="shared" si="11"/>
        <v>单套/主力户型建筑面积</v>
      </c>
      <c r="R41" s="717" t="s">
        <v>21</v>
      </c>
      <c r="S41" s="718">
        <f t="shared" si="12"/>
        <v>100</v>
      </c>
      <c r="T41" s="717" t="s">
        <v>21</v>
      </c>
      <c r="U41" s="718">
        <f t="shared" si="13"/>
        <v>100</v>
      </c>
      <c r="V41" s="717" t="s">
        <v>21</v>
      </c>
      <c r="W41" s="718">
        <f t="shared" si="14"/>
        <v>100</v>
      </c>
      <c r="X41" s="719"/>
      <c r="Y41" s="3492"/>
      <c r="Z41" s="720" t="str">
        <f t="shared" si="18"/>
        <v>单套/主力户型建筑面积</v>
      </c>
      <c r="AA41" s="1488">
        <f t="shared" si="15"/>
        <v>1</v>
      </c>
      <c r="AB41" s="1488">
        <f t="shared" si="16"/>
        <v>1</v>
      </c>
      <c r="AC41" s="1488">
        <f t="shared" si="17"/>
        <v>1</v>
      </c>
    </row>
    <row r="42" spans="1:29" ht="15">
      <c r="A42" s="431"/>
      <c r="B42" s="381" t="s">
        <v>2154</v>
      </c>
      <c r="C42" s="2043"/>
      <c r="D42" s="394">
        <v>100</v>
      </c>
      <c r="E42" s="2044"/>
      <c r="F42" s="420">
        <f>SUMIF(122:122,E42,123:123)-SUMIF(122:122,C42,123:123)+100</f>
        <v>100</v>
      </c>
      <c r="G42" s="2043"/>
      <c r="H42" s="394">
        <f>SUMIF(122:122,G42,123:123)-SUMIF(122:122,C42,123:123)+100</f>
        <v>100</v>
      </c>
      <c r="I42" s="2044"/>
      <c r="J42" s="394">
        <f>SUMIF(122:122,I42,123:123)-SUMIF(122:122,C42,123:123)+100</f>
        <v>100</v>
      </c>
      <c r="K42" s="385"/>
      <c r="L42" s="2901"/>
      <c r="M42" s="2895"/>
      <c r="N42" s="2895"/>
      <c r="O42" s="2895"/>
      <c r="P42" s="3490"/>
      <c r="Q42" s="1487" t="str">
        <f t="shared" si="11"/>
        <v>内部装修</v>
      </c>
      <c r="R42" s="714" t="s">
        <v>21</v>
      </c>
      <c r="S42" s="715">
        <f t="shared" si="12"/>
        <v>100</v>
      </c>
      <c r="T42" s="714" t="s">
        <v>21</v>
      </c>
      <c r="U42" s="715">
        <f t="shared" si="13"/>
        <v>100</v>
      </c>
      <c r="V42" s="714" t="s">
        <v>21</v>
      </c>
      <c r="W42" s="715">
        <f t="shared" si="14"/>
        <v>100</v>
      </c>
      <c r="X42" s="1490"/>
      <c r="Y42" s="3492"/>
      <c r="Z42" s="1491" t="str">
        <f t="shared" si="18"/>
        <v>内部装修</v>
      </c>
      <c r="AA42" s="1488">
        <f t="shared" si="15"/>
        <v>1</v>
      </c>
      <c r="AB42" s="1488">
        <f t="shared" si="16"/>
        <v>1</v>
      </c>
      <c r="AC42" s="1488">
        <f t="shared" si="17"/>
        <v>1</v>
      </c>
    </row>
    <row r="43" spans="1:29" ht="15">
      <c r="A43" s="431"/>
      <c r="B43" s="381" t="s">
        <v>2155</v>
      </c>
      <c r="C43" s="2043"/>
      <c r="D43" s="394">
        <v>100</v>
      </c>
      <c r="E43" s="2044"/>
      <c r="F43" s="420">
        <f>SUMIF(124:124,E43,125:125)-SUMIF(124:124,C43,125:125)+100</f>
        <v>100</v>
      </c>
      <c r="G43" s="2043"/>
      <c r="H43" s="394">
        <f>SUMIF(124:124,G43,125:125)-SUMIF(124:124,C43,125:125)+100</f>
        <v>100</v>
      </c>
      <c r="I43" s="2044"/>
      <c r="J43" s="394">
        <f>SUMIF(124:124,I43,125:125)-SUMIF(124:124,C43,125:125)+100</f>
        <v>100</v>
      </c>
      <c r="K43" s="385"/>
      <c r="L43" s="2901"/>
      <c r="M43" s="2895"/>
      <c r="N43" s="2895"/>
      <c r="O43" s="2895"/>
      <c r="P43" s="3490"/>
      <c r="Q43" s="1487" t="str">
        <f t="shared" si="11"/>
        <v>内部装修维护情况</v>
      </c>
      <c r="R43" s="714" t="s">
        <v>21</v>
      </c>
      <c r="S43" s="715">
        <f t="shared" si="12"/>
        <v>100</v>
      </c>
      <c r="T43" s="714" t="s">
        <v>21</v>
      </c>
      <c r="U43" s="715">
        <f t="shared" si="13"/>
        <v>100</v>
      </c>
      <c r="V43" s="714" t="s">
        <v>21</v>
      </c>
      <c r="W43" s="715">
        <f t="shared" si="14"/>
        <v>100</v>
      </c>
      <c r="X43" s="1490"/>
      <c r="Y43" s="3492"/>
      <c r="Z43" s="1491" t="str">
        <f t="shared" si="18"/>
        <v>内部装修维护情况</v>
      </c>
      <c r="AA43" s="1488">
        <f t="shared" si="15"/>
        <v>1</v>
      </c>
      <c r="AB43" s="1488">
        <f t="shared" si="16"/>
        <v>1</v>
      </c>
      <c r="AC43" s="1488">
        <f t="shared" si="17"/>
        <v>1</v>
      </c>
    </row>
    <row r="44" spans="1:29" s="113" customFormat="1" ht="15">
      <c r="A44" s="432"/>
      <c r="B44" s="1248">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31"/>
      <c r="L44" s="2896"/>
      <c r="M44" s="2897"/>
      <c r="N44" s="2897"/>
      <c r="O44" s="2897"/>
      <c r="P44" s="3490"/>
      <c r="Q44" s="1478">
        <f t="shared" si="11"/>
        <v>111</v>
      </c>
      <c r="R44" s="710" t="s">
        <v>21</v>
      </c>
      <c r="S44" s="711">
        <f t="shared" si="12"/>
        <v>100</v>
      </c>
      <c r="T44" s="710" t="s">
        <v>21</v>
      </c>
      <c r="U44" s="711">
        <f t="shared" si="13"/>
        <v>100</v>
      </c>
      <c r="V44" s="710" t="s">
        <v>21</v>
      </c>
      <c r="W44" s="711">
        <f t="shared" si="14"/>
        <v>100</v>
      </c>
      <c r="X44" s="712"/>
      <c r="Y44" s="3492"/>
      <c r="Z44" s="55">
        <f t="shared" si="18"/>
        <v>111</v>
      </c>
      <c r="AA44" s="713">
        <f t="shared" si="15"/>
        <v>1</v>
      </c>
      <c r="AB44" s="713">
        <f t="shared" si="16"/>
        <v>1</v>
      </c>
      <c r="AC44" s="713">
        <f t="shared" si="17"/>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31"/>
      <c r="L45" s="2901"/>
      <c r="M45" s="2895"/>
      <c r="N45" s="2895"/>
      <c r="O45" s="2895"/>
      <c r="P45" s="3490"/>
      <c r="Q45" s="1487">
        <f t="shared" si="11"/>
        <v>111</v>
      </c>
      <c r="R45" s="714" t="s">
        <v>21</v>
      </c>
      <c r="S45" s="715">
        <f t="shared" si="12"/>
        <v>100</v>
      </c>
      <c r="T45" s="714" t="s">
        <v>21</v>
      </c>
      <c r="U45" s="715">
        <f t="shared" si="13"/>
        <v>100</v>
      </c>
      <c r="V45" s="714" t="s">
        <v>21</v>
      </c>
      <c r="W45" s="715">
        <f t="shared" si="14"/>
        <v>100</v>
      </c>
      <c r="X45" s="1490"/>
      <c r="Y45" s="3492"/>
      <c r="Z45" s="1491">
        <f t="shared" si="18"/>
        <v>111</v>
      </c>
      <c r="AA45" s="1488">
        <f t="shared" si="15"/>
        <v>1</v>
      </c>
      <c r="AB45" s="1488">
        <f t="shared" si="16"/>
        <v>1</v>
      </c>
      <c r="AC45" s="1488">
        <f t="shared" si="17"/>
        <v>1</v>
      </c>
    </row>
    <row r="46" spans="1:29" ht="15.75" thickBot="1">
      <c r="A46" s="437"/>
      <c r="B46" s="2032">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31"/>
      <c r="L46" s="2901"/>
      <c r="M46" s="2895"/>
      <c r="N46" s="2895"/>
      <c r="O46" s="2895"/>
      <c r="P46" s="3491"/>
      <c r="Q46" s="1487">
        <f t="shared" si="11"/>
        <v>111</v>
      </c>
      <c r="R46" s="714" t="s">
        <v>20</v>
      </c>
      <c r="S46" s="715">
        <f t="shared" si="12"/>
        <v>100</v>
      </c>
      <c r="T46" s="714" t="s">
        <v>20</v>
      </c>
      <c r="U46" s="715">
        <f t="shared" si="13"/>
        <v>100</v>
      </c>
      <c r="V46" s="714" t="s">
        <v>20</v>
      </c>
      <c r="W46" s="715">
        <f t="shared" si="14"/>
        <v>100</v>
      </c>
      <c r="X46" s="1490"/>
      <c r="Y46" s="3493"/>
      <c r="Z46" s="1491">
        <f t="shared" si="18"/>
        <v>111</v>
      </c>
      <c r="AA46" s="1488">
        <f t="shared" si="15"/>
        <v>1</v>
      </c>
      <c r="AB46" s="1488">
        <f t="shared" si="16"/>
        <v>1</v>
      </c>
      <c r="AC46" s="1488">
        <f t="shared" si="17"/>
        <v>1</v>
      </c>
    </row>
    <row r="47" spans="1:29" ht="15">
      <c r="A47" s="438" t="s">
        <v>2156</v>
      </c>
      <c r="B47" s="439"/>
      <c r="C47" s="1269" t="s">
        <v>19</v>
      </c>
      <c r="D47" s="1270"/>
      <c r="E47" s="1271"/>
      <c r="F47" s="1272"/>
      <c r="G47" s="1273"/>
      <c r="H47" s="1274"/>
      <c r="I47" s="1271"/>
      <c r="J47" s="1274"/>
      <c r="K47" s="2051"/>
      <c r="L47" s="2903"/>
      <c r="M47" s="2904"/>
      <c r="N47" s="2895"/>
      <c r="O47" s="2904"/>
      <c r="P47" s="3485" t="str">
        <f>A47</f>
        <v>成交单价（元/平方米）</v>
      </c>
      <c r="Q47" s="3485"/>
      <c r="R47" s="3486">
        <f>E47</f>
        <v>0</v>
      </c>
      <c r="S47" s="3486"/>
      <c r="T47" s="3486">
        <f>G47</f>
        <v>0</v>
      </c>
      <c r="U47" s="3486"/>
      <c r="V47" s="3486">
        <f>I47</f>
        <v>0</v>
      </c>
      <c r="W47" s="3486"/>
      <c r="X47" s="699"/>
      <c r="Y47" s="721"/>
      <c r="Z47" s="699"/>
      <c r="AA47" s="699"/>
      <c r="AB47" s="699"/>
      <c r="AC47" s="699"/>
    </row>
    <row r="48" spans="1:29" ht="15.75" thickBot="1">
      <c r="A48" s="445" t="s">
        <v>2157</v>
      </c>
      <c r="B48" s="446"/>
      <c r="C48" s="1275" t="e">
        <f>R49</f>
        <v>#DIV/0!</v>
      </c>
      <c r="D48" s="2489" t="s">
        <v>2638</v>
      </c>
      <c r="E48" s="1276" t="e">
        <f>R48</f>
        <v>#DIV/0!</v>
      </c>
      <c r="F48" s="2490"/>
      <c r="G48" s="1275" t="e">
        <f>T48</f>
        <v>#DIV/0!</v>
      </c>
      <c r="H48" s="2490"/>
      <c r="I48" s="1276" t="e">
        <f>V48</f>
        <v>#DIV/0!</v>
      </c>
      <c r="J48" s="2490"/>
      <c r="K48" s="2491">
        <f>F48+H48+J48</f>
        <v>0</v>
      </c>
      <c r="L48" s="2903"/>
      <c r="M48" s="2904"/>
      <c r="N48" s="2904"/>
      <c r="O48" s="2904"/>
      <c r="P48" s="3485" t="str">
        <f>A48</f>
        <v>比较价值（元/平方米）</v>
      </c>
      <c r="Q48" s="3485"/>
      <c r="R48" s="3486" t="e">
        <f>IF(F1="售价",ROUND(PRODUCT(R47,AA7:AA46),0),ROUND(PRODUCT(R47,AA7:AA46),1))</f>
        <v>#DIV/0!</v>
      </c>
      <c r="S48" s="3486"/>
      <c r="T48" s="3486" t="e">
        <f>IF(F1="售价",ROUND(PRODUCT(T47,AB7:AB46),0),ROUND(PRODUCT(T47,AB7:AB46),1))</f>
        <v>#DIV/0!</v>
      </c>
      <c r="U48" s="3486"/>
      <c r="V48" s="3486" t="e">
        <f>IF(F1="售价",ROUND(PRODUCT(V47,AC7:AC46),0),ROUND(PRODUCT(V47,AC7:AC46),1))</f>
        <v>#DIV/0!</v>
      </c>
      <c r="W48" s="3486"/>
      <c r="X48" s="699"/>
      <c r="Y48" s="699"/>
      <c r="Z48" s="699"/>
      <c r="AA48" s="699"/>
      <c r="AB48" s="699"/>
      <c r="AC48" s="699"/>
    </row>
    <row r="49" spans="1:29" ht="15.75" thickBot="1">
      <c r="A49" s="449" t="s">
        <v>2158</v>
      </c>
      <c r="B49" s="450"/>
      <c r="C49" s="1277" t="e">
        <f>R49</f>
        <v>#DIV/0!</v>
      </c>
      <c r="D49" s="1278"/>
      <c r="E49" s="1278"/>
      <c r="F49" s="1278"/>
      <c r="G49" s="1278"/>
      <c r="H49" s="1278"/>
      <c r="I49" s="1278"/>
      <c r="J49" s="1278"/>
      <c r="K49" s="2052"/>
      <c r="L49" s="2903"/>
      <c r="M49" s="2904"/>
      <c r="N49" s="2904"/>
      <c r="O49" s="2904"/>
      <c r="P49" s="3482" t="str">
        <f>A49</f>
        <v>估价对象XX用房的比较价值（楼面单价，元/平方米）</v>
      </c>
      <c r="Q49" s="3483"/>
      <c r="R49" s="3484" t="e">
        <f>IF(F1="售价",ROUND(IF(D48="简单平均",AVERAGE(R48:V48),R48*F48+T48*H48+V48*J48),0),ROUND(IF(D48="简单平均",AVERAGE(R48:V48),R48*F48+T48*H48+V48*J48),1))</f>
        <v>#DIV/0!</v>
      </c>
      <c r="S49" s="3484"/>
      <c r="T49" s="3484"/>
      <c r="U49" s="3484"/>
      <c r="V49" s="3484"/>
      <c r="W49" s="3484"/>
      <c r="X49" s="699"/>
      <c r="Y49" s="699"/>
      <c r="Z49" s="699"/>
      <c r="AA49" s="699"/>
      <c r="AB49" s="699"/>
      <c r="AC49" s="699"/>
    </row>
    <row r="50" spans="1:29">
      <c r="A50" s="2904"/>
      <c r="B50" s="2904"/>
      <c r="C50" s="2904"/>
      <c r="D50" s="2904"/>
      <c r="E50" s="2904"/>
      <c r="F50" s="2904"/>
      <c r="G50" s="2908"/>
      <c r="H50" s="2904"/>
      <c r="I50" s="2904"/>
      <c r="J50" s="2904"/>
      <c r="K50" s="2909"/>
      <c r="L50" s="2905"/>
      <c r="M50" s="2904"/>
      <c r="N50" s="2904"/>
      <c r="O50" s="2904"/>
    </row>
    <row r="51" spans="1:29">
      <c r="A51" s="2904"/>
      <c r="B51" s="2904"/>
      <c r="C51" s="2904"/>
      <c r="D51" s="2904"/>
      <c r="E51" s="2904"/>
      <c r="F51" s="2904"/>
      <c r="G51" s="2904"/>
      <c r="H51" s="2904"/>
      <c r="I51" s="2904"/>
      <c r="J51" s="2904"/>
      <c r="K51" s="2909"/>
      <c r="L51" s="2905"/>
      <c r="M51" s="2904"/>
      <c r="N51" s="2904"/>
      <c r="O51" s="2904"/>
    </row>
    <row r="52" spans="1:29" ht="13.5" customHeight="1">
      <c r="A52" s="2904"/>
      <c r="B52" s="2904"/>
      <c r="C52" s="454" t="s">
        <v>2159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9"/>
      <c r="L52" s="2905"/>
      <c r="M52" s="2904"/>
      <c r="N52" s="2904"/>
      <c r="O52" s="2904"/>
    </row>
    <row r="53" spans="1:29" ht="13.5" customHeight="1">
      <c r="A53" s="2904"/>
      <c r="B53" s="2904"/>
      <c r="C53" s="454" t="s">
        <v>2160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9"/>
      <c r="L53" s="2905"/>
      <c r="M53" s="2904"/>
      <c r="N53" s="2904"/>
      <c r="O53" s="2904"/>
    </row>
    <row r="54" spans="1:29" s="459" customFormat="1" ht="13.5" customHeight="1">
      <c r="A54" s="2907"/>
      <c r="B54" s="2907"/>
      <c r="C54" s="454" t="s">
        <v>2161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2"/>
      <c r="L54" s="2906"/>
      <c r="M54" s="2907"/>
      <c r="N54" s="2907"/>
      <c r="O54" s="2907"/>
      <c r="P54" s="2054"/>
    </row>
    <row r="55" spans="1:29" s="459" customFormat="1">
      <c r="A55" s="2907"/>
      <c r="B55" s="2910"/>
      <c r="C55" s="2911"/>
      <c r="D55" s="2907"/>
      <c r="E55" s="2907"/>
      <c r="F55" s="2907"/>
      <c r="G55" s="2907"/>
      <c r="H55" s="2907"/>
      <c r="I55" s="2907"/>
      <c r="J55" s="2907"/>
      <c r="K55" s="2912"/>
      <c r="L55" s="2906"/>
      <c r="M55" s="2907"/>
      <c r="N55" s="2907"/>
      <c r="O55" s="2907"/>
      <c r="P55" s="2054"/>
    </row>
    <row r="56" spans="1:29">
      <c r="A56" s="2904"/>
      <c r="B56" s="2910"/>
      <c r="C56" s="2911"/>
      <c r="D56" s="2904"/>
      <c r="E56" s="2904"/>
      <c r="F56" s="2904"/>
      <c r="G56" s="2904"/>
      <c r="H56" s="2904"/>
      <c r="I56" s="2904"/>
      <c r="J56" s="2904"/>
      <c r="K56" s="2909"/>
      <c r="L56" s="2905"/>
      <c r="M56" s="2904"/>
      <c r="N56" s="2904"/>
      <c r="O56" s="2904"/>
    </row>
    <row r="57" spans="1:29" ht="21.75" thickBot="1">
      <c r="A57" s="703" t="s">
        <v>2162</v>
      </c>
      <c r="B57" s="699"/>
      <c r="C57" s="704"/>
      <c r="D57" s="704"/>
      <c r="E57" s="704"/>
      <c r="F57" s="705"/>
      <c r="G57" s="705"/>
      <c r="H57" s="704"/>
      <c r="I57" s="704"/>
      <c r="J57" s="704"/>
      <c r="K57" s="1053"/>
      <c r="L57" s="1054"/>
      <c r="M57" s="1052"/>
      <c r="N57" s="1052"/>
      <c r="O57" s="1052"/>
      <c r="P57" s="2055"/>
      <c r="Q57" s="461"/>
    </row>
    <row r="58" spans="1:29" s="465" customFormat="1" ht="15">
      <c r="A58" s="462" t="s">
        <v>2163</v>
      </c>
      <c r="B58" s="463"/>
      <c r="C58" s="1301" t="str">
        <f>YEAR(C7)&amp;"-"&amp;MONTH(C7)</f>
        <v>2022-11</v>
      </c>
      <c r="D58" s="1300">
        <f>EDATE(C58,-1)</f>
        <v>44835</v>
      </c>
      <c r="E58" s="1300">
        <f>EDATE(D58,-1)</f>
        <v>44805</v>
      </c>
      <c r="F58" s="1300">
        <f t="shared" ref="F58:O58" si="19">EDATE(E58,-1)</f>
        <v>44774</v>
      </c>
      <c r="G58" s="1300">
        <f t="shared" si="19"/>
        <v>44743</v>
      </c>
      <c r="H58" s="1300">
        <f t="shared" si="19"/>
        <v>44713</v>
      </c>
      <c r="I58" s="1300">
        <f t="shared" si="19"/>
        <v>44682</v>
      </c>
      <c r="J58" s="1300">
        <f t="shared" si="19"/>
        <v>44652</v>
      </c>
      <c r="K58" s="1300">
        <f t="shared" si="19"/>
        <v>44621</v>
      </c>
      <c r="L58" s="1300">
        <f t="shared" si="19"/>
        <v>44593</v>
      </c>
      <c r="M58" s="1300">
        <f t="shared" si="19"/>
        <v>44562</v>
      </c>
      <c r="N58" s="1300">
        <f t="shared" si="19"/>
        <v>44531</v>
      </c>
      <c r="O58" s="1300">
        <f t="shared" si="19"/>
        <v>44501</v>
      </c>
      <c r="P58" s="1296"/>
    </row>
    <row r="59" spans="1:29" s="113" customFormat="1" ht="15">
      <c r="A59" s="466"/>
      <c r="B59" s="2056"/>
      <c r="C59" s="1298">
        <v>100</v>
      </c>
      <c r="D59" s="468"/>
      <c r="E59" s="469"/>
      <c r="F59" s="469"/>
      <c r="G59" s="469"/>
      <c r="H59" s="469"/>
      <c r="I59" s="469"/>
      <c r="J59" s="469"/>
      <c r="K59" s="469"/>
      <c r="L59" s="469"/>
      <c r="M59" s="470"/>
      <c r="N59" s="469"/>
      <c r="O59" s="470"/>
      <c r="P59" s="2057"/>
    </row>
    <row r="60" spans="1:29" s="113" customFormat="1" ht="15.75" thickBot="1">
      <c r="A60" s="472" t="s">
        <v>2164</v>
      </c>
      <c r="B60" s="473"/>
      <c r="C60" s="474"/>
      <c r="D60" s="475"/>
      <c r="E60" s="475"/>
      <c r="F60" s="475"/>
      <c r="G60" s="475"/>
      <c r="H60" s="475"/>
      <c r="I60" s="475"/>
      <c r="J60" s="475"/>
      <c r="K60" s="475"/>
      <c r="L60" s="475"/>
      <c r="M60" s="476"/>
      <c r="N60" s="475"/>
      <c r="O60" s="476"/>
      <c r="P60" s="2057"/>
      <c r="Q60" s="461"/>
    </row>
    <row r="61" spans="1:29" s="113" customFormat="1" ht="15">
      <c r="A61" s="478" t="s">
        <v>2165</v>
      </c>
      <c r="B61" s="467"/>
      <c r="C61" s="479" t="s">
        <v>2166</v>
      </c>
      <c r="D61" s="480"/>
      <c r="E61" s="480"/>
      <c r="F61" s="480"/>
      <c r="G61" s="480"/>
      <c r="H61" s="480"/>
      <c r="I61" s="480"/>
      <c r="J61" s="480"/>
      <c r="K61" s="480"/>
      <c r="L61" s="481"/>
      <c r="M61" s="482"/>
      <c r="N61" s="1044"/>
      <c r="O61" s="1044"/>
      <c r="P61" s="2058"/>
      <c r="Q61" s="461"/>
    </row>
    <row r="62" spans="1:29" s="113" customFormat="1" ht="15.75" thickBot="1">
      <c r="A62" s="478"/>
      <c r="B62" s="467"/>
      <c r="C62" s="468">
        <v>100</v>
      </c>
      <c r="D62" s="469"/>
      <c r="E62" s="469"/>
      <c r="F62" s="469"/>
      <c r="G62" s="469"/>
      <c r="H62" s="469"/>
      <c r="I62" s="469"/>
      <c r="J62" s="469"/>
      <c r="K62" s="469"/>
      <c r="L62" s="469"/>
      <c r="M62" s="471"/>
      <c r="N62" s="1044"/>
      <c r="O62" s="1044"/>
      <c r="P62" s="2057"/>
      <c r="Q62" s="461"/>
    </row>
    <row r="63" spans="1:29">
      <c r="A63" s="484" t="s">
        <v>2167</v>
      </c>
      <c r="B63" s="485" t="s">
        <v>2133</v>
      </c>
      <c r="C63" s="486">
        <f>C9</f>
        <v>0</v>
      </c>
      <c r="D63" s="487"/>
      <c r="E63" s="487"/>
      <c r="F63" s="487"/>
      <c r="G63" s="487"/>
      <c r="H63" s="487"/>
      <c r="I63" s="487"/>
      <c r="J63" s="487"/>
      <c r="K63" s="488"/>
      <c r="L63" s="489"/>
      <c r="M63" s="490"/>
      <c r="N63" s="1045"/>
      <c r="O63" s="1045"/>
      <c r="P63" s="2059"/>
      <c r="Q63" s="461"/>
    </row>
    <row r="64" spans="1:29" ht="15.75" thickBot="1">
      <c r="A64" s="491"/>
      <c r="B64" s="492"/>
      <c r="C64" s="493">
        <v>100</v>
      </c>
      <c r="D64" s="493"/>
      <c r="E64" s="493"/>
      <c r="F64" s="493"/>
      <c r="G64" s="493"/>
      <c r="H64" s="493"/>
      <c r="I64" s="493"/>
      <c r="J64" s="493"/>
      <c r="K64" s="493"/>
      <c r="L64" s="493"/>
      <c r="M64" s="494"/>
      <c r="N64" s="1046"/>
      <c r="O64" s="1046"/>
      <c r="P64" s="2059"/>
      <c r="Q64" s="461"/>
    </row>
    <row r="65" spans="1:17" ht="27.75" thickTop="1">
      <c r="A65" s="491"/>
      <c r="B65" s="495" t="s">
        <v>2136</v>
      </c>
      <c r="C65" s="496" t="s">
        <v>2168</v>
      </c>
      <c r="D65" s="496" t="s">
        <v>2169</v>
      </c>
      <c r="E65" s="496" t="s">
        <v>2170</v>
      </c>
      <c r="F65" s="496" t="s">
        <v>2171</v>
      </c>
      <c r="G65" s="496" t="s">
        <v>2172</v>
      </c>
      <c r="H65" s="496" t="s">
        <v>2173</v>
      </c>
      <c r="I65" s="496" t="s">
        <v>2174</v>
      </c>
      <c r="J65" s="496"/>
      <c r="K65" s="497"/>
      <c r="L65" s="498"/>
      <c r="M65" s="499"/>
      <c r="N65" s="1045"/>
      <c r="O65" s="1045"/>
      <c r="P65" s="2059"/>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6"/>
      <c r="O66" s="1046"/>
      <c r="P66" s="2059"/>
      <c r="Q66" s="461"/>
    </row>
    <row r="67" spans="1:17" ht="15.75" thickTop="1">
      <c r="A67" s="491"/>
      <c r="B67" s="503" t="s">
        <v>2137</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6"/>
      <c r="O67" s="1046"/>
      <c r="P67" s="2059"/>
      <c r="Q67" s="461"/>
    </row>
    <row r="68" spans="1:17" ht="15">
      <c r="A68" s="491"/>
      <c r="B68" s="505"/>
      <c r="C68" s="506"/>
      <c r="D68" s="506"/>
      <c r="E68" s="506"/>
      <c r="F68" s="506"/>
      <c r="G68" s="506"/>
      <c r="H68" s="506"/>
      <c r="I68" s="506"/>
      <c r="J68" s="506"/>
      <c r="K68" s="507"/>
      <c r="L68" s="508"/>
      <c r="M68" s="509"/>
      <c r="N68" s="1045"/>
      <c r="O68" s="1045"/>
      <c r="P68" s="2059"/>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6"/>
      <c r="O69" s="1046"/>
      <c r="P69" s="2059"/>
      <c r="Q69" s="461"/>
    </row>
    <row r="70" spans="1:17" s="430" customFormat="1" ht="15.75" thickTop="1">
      <c r="A70" s="510"/>
      <c r="B70" s="495">
        <f>B12</f>
        <v>111</v>
      </c>
      <c r="C70" s="511"/>
      <c r="D70" s="511"/>
      <c r="E70" s="511"/>
      <c r="F70" s="511"/>
      <c r="G70" s="511"/>
      <c r="H70" s="512"/>
      <c r="I70" s="512"/>
      <c r="J70" s="512"/>
      <c r="K70" s="512"/>
      <c r="L70" s="513"/>
      <c r="M70" s="514"/>
      <c r="N70" s="1047"/>
      <c r="O70" s="1047"/>
      <c r="P70" s="2060"/>
      <c r="Q70" s="516"/>
    </row>
    <row r="71" spans="1:17" s="430" customFormat="1" ht="15.75" thickBot="1">
      <c r="A71" s="510"/>
      <c r="B71" s="500"/>
      <c r="C71" s="517"/>
      <c r="D71" s="493"/>
      <c r="E71" s="493"/>
      <c r="F71" s="493"/>
      <c r="G71" s="493"/>
      <c r="H71" s="493"/>
      <c r="I71" s="493"/>
      <c r="J71" s="493"/>
      <c r="K71" s="493"/>
      <c r="L71" s="493"/>
      <c r="M71" s="494"/>
      <c r="N71" s="1046"/>
      <c r="O71" s="1046"/>
      <c r="P71" s="2060"/>
      <c r="Q71" s="516"/>
    </row>
    <row r="72" spans="1:17" s="430" customFormat="1" ht="15.75" thickTop="1">
      <c r="A72" s="510"/>
      <c r="B72" s="495">
        <f>B13</f>
        <v>111</v>
      </c>
      <c r="C72" s="511"/>
      <c r="D72" s="511"/>
      <c r="E72" s="511"/>
      <c r="F72" s="511"/>
      <c r="G72" s="511"/>
      <c r="H72" s="512"/>
      <c r="I72" s="512"/>
      <c r="J72" s="512"/>
      <c r="K72" s="512"/>
      <c r="L72" s="513"/>
      <c r="M72" s="514"/>
      <c r="N72" s="1047"/>
      <c r="O72" s="1047"/>
      <c r="P72" s="2061"/>
      <c r="Q72" s="518"/>
    </row>
    <row r="73" spans="1:17" s="430" customFormat="1" ht="15.75" thickBot="1">
      <c r="A73" s="510"/>
      <c r="B73" s="500"/>
      <c r="C73" s="517"/>
      <c r="D73" s="517"/>
      <c r="E73" s="517"/>
      <c r="F73" s="517"/>
      <c r="G73" s="517"/>
      <c r="H73" s="519"/>
      <c r="I73" s="519"/>
      <c r="J73" s="519"/>
      <c r="K73" s="519"/>
      <c r="L73" s="519"/>
      <c r="M73" s="520"/>
      <c r="N73" s="1047"/>
      <c r="O73" s="1047"/>
      <c r="P73" s="2060"/>
      <c r="Q73" s="516"/>
    </row>
    <row r="74" spans="1:17" s="430" customFormat="1" ht="15.75" thickTop="1">
      <c r="A74" s="510"/>
      <c r="B74" s="503">
        <f>B14</f>
        <v>111</v>
      </c>
      <c r="C74" s="511"/>
      <c r="D74" s="511"/>
      <c r="E74" s="511"/>
      <c r="F74" s="511"/>
      <c r="G74" s="480"/>
      <c r="H74" s="521"/>
      <c r="I74" s="521"/>
      <c r="J74" s="521"/>
      <c r="K74" s="521"/>
      <c r="L74" s="522"/>
      <c r="M74" s="523"/>
      <c r="N74" s="1047"/>
      <c r="O74" s="1047"/>
      <c r="P74" s="2062"/>
      <c r="Q74" s="516"/>
    </row>
    <row r="75" spans="1:17" s="430" customFormat="1" ht="15.75" thickBot="1">
      <c r="A75" s="525"/>
      <c r="B75" s="526"/>
      <c r="C75" s="527"/>
      <c r="D75" s="527"/>
      <c r="E75" s="527"/>
      <c r="F75" s="527"/>
      <c r="G75" s="527"/>
      <c r="H75" s="528"/>
      <c r="I75" s="528"/>
      <c r="J75" s="528"/>
      <c r="K75" s="528"/>
      <c r="L75" s="528"/>
      <c r="M75" s="529"/>
      <c r="N75" s="1047"/>
      <c r="O75" s="1047"/>
      <c r="P75" s="2060"/>
      <c r="Q75" s="516"/>
    </row>
    <row r="76" spans="1:17">
      <c r="A76" s="484" t="s">
        <v>2138</v>
      </c>
      <c r="B76" s="485" t="s">
        <v>2175</v>
      </c>
      <c r="C76" s="530" t="s">
        <v>2176</v>
      </c>
      <c r="D76" s="530" t="s">
        <v>2177</v>
      </c>
      <c r="E76" s="530" t="s">
        <v>2178</v>
      </c>
      <c r="F76" s="530" t="s">
        <v>2179</v>
      </c>
      <c r="G76" s="530" t="s">
        <v>2180</v>
      </c>
      <c r="H76" s="486"/>
      <c r="I76" s="486"/>
      <c r="J76" s="486"/>
      <c r="K76" s="531"/>
      <c r="L76" s="532"/>
      <c r="M76" s="533"/>
      <c r="N76" s="1045"/>
      <c r="O76" s="1045"/>
      <c r="P76" s="2063"/>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6"/>
      <c r="O77" s="1046"/>
      <c r="P77" s="2059"/>
      <c r="Q77" s="461"/>
    </row>
    <row r="78" spans="1:17" ht="15.75" thickTop="1">
      <c r="A78" s="491"/>
      <c r="B78" s="495" t="s">
        <v>2181</v>
      </c>
      <c r="C78" s="535" t="s">
        <v>2176</v>
      </c>
      <c r="D78" s="535" t="s">
        <v>2177</v>
      </c>
      <c r="E78" s="535" t="s">
        <v>2178</v>
      </c>
      <c r="F78" s="535" t="s">
        <v>2179</v>
      </c>
      <c r="G78" s="535" t="s">
        <v>2180</v>
      </c>
      <c r="H78" s="496"/>
      <c r="I78" s="496"/>
      <c r="J78" s="496"/>
      <c r="K78" s="497"/>
      <c r="L78" s="498"/>
      <c r="M78" s="499"/>
      <c r="N78" s="1045"/>
      <c r="O78" s="1045"/>
      <c r="P78" s="2059"/>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6"/>
      <c r="O79" s="1046"/>
      <c r="P79" s="2059"/>
      <c r="Q79" s="461"/>
    </row>
    <row r="80" spans="1:17" ht="15.75" thickTop="1">
      <c r="A80" s="491"/>
      <c r="B80" s="495" t="s">
        <v>2182</v>
      </c>
      <c r="C80" s="535" t="s">
        <v>2176</v>
      </c>
      <c r="D80" s="535" t="s">
        <v>2177</v>
      </c>
      <c r="E80" s="535" t="s">
        <v>2178</v>
      </c>
      <c r="F80" s="535" t="s">
        <v>2179</v>
      </c>
      <c r="G80" s="535" t="s">
        <v>2180</v>
      </c>
      <c r="H80" s="496"/>
      <c r="I80" s="496"/>
      <c r="J80" s="496"/>
      <c r="K80" s="497"/>
      <c r="L80" s="498"/>
      <c r="M80" s="499"/>
      <c r="N80" s="1045"/>
      <c r="O80" s="1045"/>
      <c r="P80" s="2059"/>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6"/>
      <c r="O81" s="1046"/>
      <c r="P81" s="2059"/>
      <c r="Q81" s="461"/>
    </row>
    <row r="82" spans="1:17" ht="15.75" thickTop="1">
      <c r="A82" s="491"/>
      <c r="B82" s="503" t="s">
        <v>1704</v>
      </c>
      <c r="C82" s="496" t="s">
        <v>2183</v>
      </c>
      <c r="D82" s="496" t="s">
        <v>2184</v>
      </c>
      <c r="E82" s="496" t="s">
        <v>2185</v>
      </c>
      <c r="F82" s="496" t="s">
        <v>2186</v>
      </c>
      <c r="G82" s="496" t="s">
        <v>2187</v>
      </c>
      <c r="H82" s="496"/>
      <c r="I82" s="496"/>
      <c r="J82" s="496"/>
      <c r="K82" s="496"/>
      <c r="L82" s="496"/>
      <c r="M82" s="1244"/>
      <c r="N82" s="1046"/>
      <c r="O82" s="1046"/>
      <c r="P82" s="2059"/>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6"/>
      <c r="O83" s="1046"/>
      <c r="P83" s="2059"/>
      <c r="Q83" s="461"/>
    </row>
    <row r="84" spans="1:17" ht="15.75" thickTop="1">
      <c r="A84" s="491"/>
      <c r="B84" s="495" t="s">
        <v>2188</v>
      </c>
      <c r="C84" s="535" t="s">
        <v>2176</v>
      </c>
      <c r="D84" s="535" t="s">
        <v>2177</v>
      </c>
      <c r="E84" s="535" t="s">
        <v>2178</v>
      </c>
      <c r="F84" s="535" t="s">
        <v>2179</v>
      </c>
      <c r="G84" s="535" t="s">
        <v>2180</v>
      </c>
      <c r="H84" s="496"/>
      <c r="I84" s="496"/>
      <c r="J84" s="496"/>
      <c r="K84" s="497"/>
      <c r="L84" s="498"/>
      <c r="M84" s="499"/>
      <c r="N84" s="1045"/>
      <c r="O84" s="1045"/>
      <c r="P84" s="2059"/>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6"/>
      <c r="O85" s="1046"/>
      <c r="P85" s="2059"/>
      <c r="Q85" s="461"/>
    </row>
    <row r="86" spans="1:17" s="113" customFormat="1" ht="15.75" thickTop="1">
      <c r="A86" s="536"/>
      <c r="B86" s="495" t="s">
        <v>2189</v>
      </c>
      <c r="C86" s="511"/>
      <c r="D86" s="511"/>
      <c r="E86" s="511"/>
      <c r="F86" s="511"/>
      <c r="G86" s="511"/>
      <c r="H86" s="511"/>
      <c r="I86" s="511"/>
      <c r="J86" s="511"/>
      <c r="K86" s="511"/>
      <c r="L86" s="537"/>
      <c r="M86" s="538"/>
      <c r="N86" s="1044"/>
      <c r="O86" s="1044"/>
      <c r="P86" s="2059"/>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6"/>
      <c r="O87" s="1046"/>
      <c r="P87" s="2059"/>
      <c r="Q87" s="461"/>
    </row>
    <row r="88" spans="1:17" s="113" customFormat="1" ht="15.75" thickTop="1">
      <c r="A88" s="536"/>
      <c r="B88" s="495" t="s">
        <v>2190</v>
      </c>
      <c r="C88" s="511"/>
      <c r="D88" s="511"/>
      <c r="E88" s="511"/>
      <c r="F88" s="2064"/>
      <c r="G88" s="511"/>
      <c r="H88" s="511"/>
      <c r="I88" s="511"/>
      <c r="J88" s="511"/>
      <c r="K88" s="511"/>
      <c r="L88" s="511"/>
      <c r="M88" s="538"/>
      <c r="N88" s="1044"/>
      <c r="O88" s="1044"/>
      <c r="P88" s="2059"/>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6"/>
      <c r="O89" s="1046"/>
      <c r="P89" s="2059"/>
      <c r="Q89" s="461"/>
    </row>
    <row r="90" spans="1:17" s="430" customFormat="1" ht="15.75" thickTop="1">
      <c r="A90" s="510"/>
      <c r="B90" s="495">
        <f>B27</f>
        <v>111</v>
      </c>
      <c r="C90" s="511"/>
      <c r="D90" s="511"/>
      <c r="E90" s="511"/>
      <c r="F90" s="511"/>
      <c r="G90" s="511"/>
      <c r="H90" s="512"/>
      <c r="I90" s="512"/>
      <c r="J90" s="512"/>
      <c r="K90" s="512"/>
      <c r="L90" s="513"/>
      <c r="M90" s="514"/>
      <c r="N90" s="1047"/>
      <c r="O90" s="1047"/>
      <c r="P90" s="2060"/>
      <c r="Q90" s="516"/>
    </row>
    <row r="91" spans="1:17" s="430" customFormat="1" ht="15.75" thickBot="1">
      <c r="A91" s="510"/>
      <c r="B91" s="500"/>
      <c r="C91" s="517"/>
      <c r="D91" s="517"/>
      <c r="E91" s="517"/>
      <c r="F91" s="517"/>
      <c r="G91" s="517"/>
      <c r="H91" s="519"/>
      <c r="I91" s="519"/>
      <c r="J91" s="519"/>
      <c r="K91" s="519"/>
      <c r="L91" s="519"/>
      <c r="M91" s="520"/>
      <c r="N91" s="1047"/>
      <c r="O91" s="1047"/>
      <c r="P91" s="2060"/>
      <c r="Q91" s="516"/>
    </row>
    <row r="92" spans="1:17" ht="15.75" thickTop="1">
      <c r="A92" s="491"/>
      <c r="B92" s="495">
        <f>B28</f>
        <v>111</v>
      </c>
      <c r="C92" s="511"/>
      <c r="D92" s="511"/>
      <c r="E92" s="511"/>
      <c r="F92" s="511"/>
      <c r="G92" s="540"/>
      <c r="H92" s="540"/>
      <c r="I92" s="540"/>
      <c r="J92" s="540"/>
      <c r="K92" s="541"/>
      <c r="L92" s="542"/>
      <c r="M92" s="543"/>
      <c r="N92" s="1045"/>
      <c r="O92" s="1045"/>
      <c r="P92" s="2059"/>
      <c r="Q92" s="461"/>
    </row>
    <row r="93" spans="1:17" ht="15.75" thickBot="1">
      <c r="A93" s="491"/>
      <c r="B93" s="500"/>
      <c r="C93" s="517"/>
      <c r="D93" s="493"/>
      <c r="E93" s="493"/>
      <c r="F93" s="493"/>
      <c r="G93" s="493"/>
      <c r="H93" s="493"/>
      <c r="I93" s="493"/>
      <c r="J93" s="493"/>
      <c r="K93" s="493"/>
      <c r="L93" s="493"/>
      <c r="M93" s="494"/>
      <c r="N93" s="1046"/>
      <c r="O93" s="1046"/>
      <c r="P93" s="2059"/>
      <c r="Q93" s="461"/>
    </row>
    <row r="94" spans="1:17" ht="15.75" thickTop="1">
      <c r="A94" s="491"/>
      <c r="B94" s="495">
        <f>B29</f>
        <v>111</v>
      </c>
      <c r="C94" s="511"/>
      <c r="D94" s="511"/>
      <c r="E94" s="511"/>
      <c r="F94" s="511"/>
      <c r="G94" s="540"/>
      <c r="H94" s="540"/>
      <c r="I94" s="540"/>
      <c r="J94" s="540"/>
      <c r="K94" s="541"/>
      <c r="L94" s="542"/>
      <c r="M94" s="543"/>
      <c r="N94" s="1045"/>
      <c r="O94" s="1045"/>
      <c r="P94" s="2059"/>
      <c r="Q94" s="461"/>
    </row>
    <row r="95" spans="1:17" ht="15.75" thickBot="1">
      <c r="A95" s="491"/>
      <c r="B95" s="500"/>
      <c r="C95" s="517"/>
      <c r="D95" s="517"/>
      <c r="E95" s="517"/>
      <c r="F95" s="517"/>
      <c r="G95" s="493"/>
      <c r="H95" s="493"/>
      <c r="I95" s="493"/>
      <c r="J95" s="493"/>
      <c r="K95" s="493"/>
      <c r="L95" s="493"/>
      <c r="M95" s="494"/>
      <c r="N95" s="1046"/>
      <c r="O95" s="1046"/>
      <c r="P95" s="2059"/>
      <c r="Q95" s="461"/>
    </row>
    <row r="96" spans="1:17" ht="15.75" thickTop="1">
      <c r="A96" s="491"/>
      <c r="B96" s="495">
        <f>B30</f>
        <v>111</v>
      </c>
      <c r="C96" s="511"/>
      <c r="D96" s="511"/>
      <c r="E96" s="511"/>
      <c r="F96" s="511"/>
      <c r="G96" s="540"/>
      <c r="H96" s="540"/>
      <c r="I96" s="540"/>
      <c r="J96" s="540"/>
      <c r="K96" s="541"/>
      <c r="L96" s="542"/>
      <c r="M96" s="543"/>
      <c r="N96" s="1045"/>
      <c r="O96" s="1045"/>
      <c r="P96" s="2059"/>
      <c r="Q96" s="461"/>
    </row>
    <row r="97" spans="1:17" ht="15.75" thickBot="1">
      <c r="A97" s="491"/>
      <c r="B97" s="500"/>
      <c r="C97" s="527"/>
      <c r="D97" s="527"/>
      <c r="E97" s="527"/>
      <c r="F97" s="527"/>
      <c r="G97" s="493"/>
      <c r="H97" s="493"/>
      <c r="I97" s="493"/>
      <c r="J97" s="493"/>
      <c r="K97" s="493"/>
      <c r="L97" s="493"/>
      <c r="M97" s="494"/>
      <c r="N97" s="1046"/>
      <c r="O97" s="1046"/>
      <c r="P97" s="2059"/>
      <c r="Q97" s="461"/>
    </row>
    <row r="98" spans="1:17" ht="15.75" thickTop="1">
      <c r="A98" s="491"/>
      <c r="B98" s="503">
        <f>B31</f>
        <v>111</v>
      </c>
      <c r="C98" s="544"/>
      <c r="D98" s="544"/>
      <c r="E98" s="544"/>
      <c r="F98" s="544"/>
      <c r="G98" s="544"/>
      <c r="H98" s="544"/>
      <c r="I98" s="544"/>
      <c r="J98" s="544"/>
      <c r="K98" s="545"/>
      <c r="L98" s="546"/>
      <c r="M98" s="547"/>
      <c r="N98" s="1045"/>
      <c r="O98" s="1045"/>
      <c r="P98" s="2059"/>
      <c r="Q98" s="461"/>
    </row>
    <row r="99" spans="1:17" ht="15.75" thickBot="1">
      <c r="A99" s="2065"/>
      <c r="B99" s="526"/>
      <c r="C99" s="548"/>
      <c r="D99" s="548"/>
      <c r="E99" s="548"/>
      <c r="F99" s="548"/>
      <c r="G99" s="548"/>
      <c r="H99" s="548"/>
      <c r="I99" s="548"/>
      <c r="J99" s="548"/>
      <c r="K99" s="548"/>
      <c r="L99" s="548"/>
      <c r="M99" s="549"/>
      <c r="N99" s="1046"/>
      <c r="O99" s="1046"/>
      <c r="P99" s="2059"/>
      <c r="Q99" s="461"/>
    </row>
    <row r="100" spans="1:17">
      <c r="A100" s="484" t="s">
        <v>2142</v>
      </c>
      <c r="B100" s="485" t="s">
        <v>2191</v>
      </c>
      <c r="C100" s="487"/>
      <c r="D100" s="487"/>
      <c r="E100" s="487"/>
      <c r="F100" s="487"/>
      <c r="G100" s="487"/>
      <c r="H100" s="487"/>
      <c r="I100" s="487"/>
      <c r="J100" s="487"/>
      <c r="K100" s="488"/>
      <c r="L100" s="489"/>
      <c r="M100" s="490"/>
      <c r="N100" s="1045"/>
      <c r="O100" s="1045"/>
      <c r="P100" s="2059"/>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6"/>
      <c r="O101" s="1046"/>
      <c r="P101" s="2059"/>
      <c r="Q101" s="461"/>
    </row>
    <row r="102" spans="1:17" ht="15.75" thickTop="1">
      <c r="A102" s="491"/>
      <c r="B102" s="495" t="s">
        <v>2192</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4"/>
      <c r="O102" s="1044"/>
      <c r="P102" s="2059"/>
      <c r="Q102" s="461"/>
    </row>
    <row r="103" spans="1:17" s="430" customFormat="1">
      <c r="A103" s="550"/>
      <c r="B103" s="551"/>
      <c r="C103" s="552"/>
      <c r="D103" s="552"/>
      <c r="E103" s="552"/>
      <c r="F103" s="552"/>
      <c r="G103" s="552"/>
      <c r="H103" s="552"/>
      <c r="I103" s="552"/>
      <c r="J103" s="553"/>
      <c r="K103" s="553"/>
      <c r="L103" s="554"/>
      <c r="M103" s="555"/>
      <c r="N103" s="1047"/>
      <c r="O103" s="1047"/>
      <c r="P103" s="2060"/>
      <c r="Q103" s="516"/>
    </row>
    <row r="104" spans="1:17" s="430" customFormat="1" ht="15.75" thickBot="1">
      <c r="A104" s="510"/>
      <c r="B104" s="500"/>
      <c r="C104" s="517"/>
      <c r="D104" s="493"/>
      <c r="E104" s="493"/>
      <c r="F104" s="493"/>
      <c r="G104" s="493"/>
      <c r="H104" s="493"/>
      <c r="I104" s="493"/>
      <c r="J104" s="493"/>
      <c r="K104" s="493"/>
      <c r="L104" s="493"/>
      <c r="M104" s="493"/>
      <c r="N104" s="1046"/>
      <c r="O104" s="1046"/>
      <c r="P104" s="2060"/>
      <c r="Q104" s="516"/>
    </row>
    <row r="105" spans="1:17" ht="15" thickTop="1">
      <c r="A105" s="556"/>
      <c r="B105" s="495" t="s">
        <v>2193</v>
      </c>
      <c r="C105" s="511"/>
      <c r="D105" s="511"/>
      <c r="E105" s="540"/>
      <c r="F105" s="540"/>
      <c r="G105" s="540"/>
      <c r="H105" s="540"/>
      <c r="I105" s="540"/>
      <c r="J105" s="540"/>
      <c r="K105" s="541"/>
      <c r="L105" s="542"/>
      <c r="M105" s="543"/>
      <c r="N105" s="1045"/>
      <c r="O105" s="1045"/>
      <c r="P105" s="2059"/>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6"/>
      <c r="O106" s="1046"/>
      <c r="P106" s="2059"/>
      <c r="Q106" s="461"/>
    </row>
    <row r="107" spans="1:17" ht="15" thickTop="1">
      <c r="A107" s="556"/>
      <c r="B107" s="495" t="s">
        <v>2194</v>
      </c>
      <c r="C107" s="540"/>
      <c r="D107" s="540"/>
      <c r="E107" s="540"/>
      <c r="F107" s="540"/>
      <c r="G107" s="540"/>
      <c r="H107" s="540"/>
      <c r="I107" s="540"/>
      <c r="J107" s="540"/>
      <c r="K107" s="541"/>
      <c r="L107" s="542"/>
      <c r="M107" s="543"/>
      <c r="N107" s="1045"/>
      <c r="O107" s="1045"/>
      <c r="P107" s="2059"/>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6"/>
      <c r="O108" s="1046"/>
      <c r="P108" s="2059"/>
      <c r="Q108" s="461"/>
    </row>
    <row r="109" spans="1:17" ht="15" thickTop="1">
      <c r="A109" s="556"/>
      <c r="B109" s="495" t="s">
        <v>2195</v>
      </c>
      <c r="C109" s="511"/>
      <c r="D109" s="511"/>
      <c r="E109" s="511"/>
      <c r="F109" s="540"/>
      <c r="G109" s="540"/>
      <c r="H109" s="540"/>
      <c r="I109" s="540"/>
      <c r="J109" s="540"/>
      <c r="K109" s="541"/>
      <c r="L109" s="542"/>
      <c r="M109" s="543"/>
      <c r="N109" s="1045"/>
      <c r="O109" s="1045"/>
      <c r="P109" s="2059"/>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6"/>
      <c r="O110" s="1046"/>
      <c r="P110" s="2059"/>
      <c r="Q110" s="461"/>
    </row>
    <row r="111" spans="1:17" s="430" customFormat="1" ht="15" thickTop="1">
      <c r="A111" s="550"/>
      <c r="B111" s="495" t="s">
        <v>1634</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7"/>
      <c r="O111" s="1047"/>
      <c r="P111" s="2060"/>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7"/>
      <c r="O112" s="1047"/>
      <c r="P112" s="2060"/>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7"/>
      <c r="O113" s="1047"/>
      <c r="P113" s="2060"/>
      <c r="Q113" s="516"/>
    </row>
    <row r="114" spans="1:17" ht="15" thickTop="1">
      <c r="A114" s="556"/>
      <c r="B114" s="495" t="s">
        <v>2196</v>
      </c>
      <c r="C114" s="511"/>
      <c r="D114" s="511"/>
      <c r="E114" s="540"/>
      <c r="F114" s="540"/>
      <c r="G114" s="540"/>
      <c r="H114" s="540"/>
      <c r="I114" s="540"/>
      <c r="J114" s="540"/>
      <c r="K114" s="541"/>
      <c r="L114" s="542"/>
      <c r="M114" s="543"/>
      <c r="N114" s="1045"/>
      <c r="O114" s="1045"/>
      <c r="P114" s="2059"/>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6"/>
      <c r="O115" s="1046"/>
      <c r="P115" s="2059"/>
      <c r="Q115" s="461"/>
    </row>
    <row r="116" spans="1:17" ht="15" thickTop="1">
      <c r="A116" s="556"/>
      <c r="B116" s="495" t="s">
        <v>2197</v>
      </c>
      <c r="C116" s="511"/>
      <c r="D116" s="511"/>
      <c r="E116" s="511"/>
      <c r="F116" s="511"/>
      <c r="G116" s="511"/>
      <c r="H116" s="540"/>
      <c r="I116" s="540"/>
      <c r="J116" s="540"/>
      <c r="K116" s="541"/>
      <c r="L116" s="542"/>
      <c r="M116" s="543"/>
      <c r="N116" s="1045"/>
      <c r="O116" s="1045"/>
      <c r="P116" s="2059"/>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6"/>
      <c r="O117" s="1046"/>
      <c r="P117" s="2059"/>
      <c r="Q117" s="461"/>
    </row>
    <row r="118" spans="1:17" ht="15" thickTop="1">
      <c r="A118" s="556"/>
      <c r="B118" s="495" t="s">
        <v>2198</v>
      </c>
      <c r="C118" s="540"/>
      <c r="D118" s="540"/>
      <c r="E118" s="540"/>
      <c r="F118" s="540"/>
      <c r="G118" s="540"/>
      <c r="H118" s="540"/>
      <c r="I118" s="540"/>
      <c r="J118" s="540"/>
      <c r="K118" s="541"/>
      <c r="L118" s="542"/>
      <c r="M118" s="543"/>
      <c r="N118" s="1045"/>
      <c r="O118" s="1045"/>
      <c r="P118" s="2059"/>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6"/>
      <c r="O119" s="1046"/>
      <c r="P119" s="2059"/>
      <c r="Q119" s="461"/>
    </row>
    <row r="120" spans="1:17" s="430" customFormat="1" ht="28.5" thickTop="1">
      <c r="A120" s="550"/>
      <c r="B120" s="495" t="s">
        <v>2153</v>
      </c>
      <c r="C120" s="511"/>
      <c r="D120" s="511"/>
      <c r="E120" s="511"/>
      <c r="F120" s="511"/>
      <c r="G120" s="511"/>
      <c r="H120" s="511"/>
      <c r="I120" s="511"/>
      <c r="J120" s="511"/>
      <c r="K120" s="511"/>
      <c r="L120" s="537"/>
      <c r="M120" s="538"/>
      <c r="N120" s="1047"/>
      <c r="O120" s="1047"/>
      <c r="P120" s="2060"/>
      <c r="Q120" s="516"/>
    </row>
    <row r="121" spans="1:17" s="430" customFormat="1" ht="15.75" thickBot="1">
      <c r="A121" s="510"/>
      <c r="B121" s="492"/>
      <c r="C121" s="517"/>
      <c r="D121" s="493"/>
      <c r="E121" s="493"/>
      <c r="F121" s="493"/>
      <c r="G121" s="493"/>
      <c r="H121" s="493"/>
      <c r="I121" s="493"/>
      <c r="J121" s="493"/>
      <c r="K121" s="493"/>
      <c r="L121" s="493"/>
      <c r="M121" s="493"/>
      <c r="N121" s="1047"/>
      <c r="O121" s="1047"/>
      <c r="P121" s="2060"/>
      <c r="Q121" s="516"/>
    </row>
    <row r="122" spans="1:17" ht="15" thickTop="1">
      <c r="A122" s="556"/>
      <c r="B122" s="495" t="s">
        <v>2199</v>
      </c>
      <c r="C122" s="511"/>
      <c r="D122" s="511"/>
      <c r="E122" s="511"/>
      <c r="F122" s="540"/>
      <c r="G122" s="540"/>
      <c r="H122" s="540"/>
      <c r="I122" s="540"/>
      <c r="J122" s="540"/>
      <c r="K122" s="541"/>
      <c r="L122" s="542"/>
      <c r="M122" s="543"/>
      <c r="N122" s="1045"/>
      <c r="O122" s="1045"/>
      <c r="P122" s="2059"/>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6"/>
      <c r="O123" s="1046"/>
      <c r="P123" s="2059"/>
      <c r="Q123" s="461"/>
    </row>
    <row r="124" spans="1:17" ht="15" thickTop="1">
      <c r="A124" s="556"/>
      <c r="B124" s="495" t="s">
        <v>2200</v>
      </c>
      <c r="C124" s="535" t="s">
        <v>2176</v>
      </c>
      <c r="D124" s="535" t="s">
        <v>2177</v>
      </c>
      <c r="E124" s="535" t="s">
        <v>2178</v>
      </c>
      <c r="F124" s="535" t="s">
        <v>2179</v>
      </c>
      <c r="G124" s="535" t="s">
        <v>2180</v>
      </c>
      <c r="H124" s="496"/>
      <c r="I124" s="496"/>
      <c r="J124" s="496"/>
      <c r="K124" s="497"/>
      <c r="L124" s="498"/>
      <c r="M124" s="499"/>
      <c r="N124" s="1045"/>
      <c r="O124" s="1045"/>
      <c r="P124" s="2060"/>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6"/>
      <c r="O125" s="1046"/>
      <c r="P125" s="2059"/>
      <c r="Q125" s="461"/>
    </row>
    <row r="126" spans="1:17" s="430" customFormat="1" ht="15" thickTop="1">
      <c r="A126" s="550"/>
      <c r="B126" s="495">
        <f>B44</f>
        <v>111</v>
      </c>
      <c r="C126" s="511"/>
      <c r="D126" s="511"/>
      <c r="E126" s="511"/>
      <c r="F126" s="511"/>
      <c r="G126" s="511"/>
      <c r="H126" s="512"/>
      <c r="I126" s="512"/>
      <c r="J126" s="512"/>
      <c r="K126" s="512"/>
      <c r="L126" s="513"/>
      <c r="M126" s="514"/>
      <c r="N126" s="1047"/>
      <c r="O126" s="1047"/>
      <c r="P126" s="2060"/>
      <c r="Q126" s="516"/>
    </row>
    <row r="127" spans="1:17" s="430" customFormat="1" ht="15.75" thickBot="1">
      <c r="A127" s="510"/>
      <c r="B127" s="500"/>
      <c r="C127" s="517"/>
      <c r="D127" s="493"/>
      <c r="E127" s="493"/>
      <c r="F127" s="493"/>
      <c r="G127" s="517"/>
      <c r="H127" s="519"/>
      <c r="I127" s="519"/>
      <c r="J127" s="519"/>
      <c r="K127" s="519"/>
      <c r="L127" s="519"/>
      <c r="M127" s="520"/>
      <c r="N127" s="1047"/>
      <c r="O127" s="1047"/>
      <c r="P127" s="2060"/>
      <c r="Q127" s="516"/>
    </row>
    <row r="128" spans="1:17" ht="15" thickTop="1">
      <c r="A128" s="556"/>
      <c r="B128" s="495">
        <f>B45</f>
        <v>111</v>
      </c>
      <c r="C128" s="511"/>
      <c r="D128" s="511"/>
      <c r="E128" s="511"/>
      <c r="F128" s="511"/>
      <c r="G128" s="540"/>
      <c r="H128" s="540"/>
      <c r="I128" s="540"/>
      <c r="J128" s="540"/>
      <c r="K128" s="541"/>
      <c r="L128" s="542"/>
      <c r="M128" s="543"/>
      <c r="N128" s="1045"/>
      <c r="O128" s="1045"/>
      <c r="P128" s="2059"/>
      <c r="Q128" s="461"/>
    </row>
    <row r="129" spans="1:17" ht="15.75" thickBot="1">
      <c r="A129" s="491"/>
      <c r="B129" s="500"/>
      <c r="C129" s="517"/>
      <c r="D129" s="517"/>
      <c r="E129" s="517"/>
      <c r="F129" s="517"/>
      <c r="G129" s="493"/>
      <c r="H129" s="493"/>
      <c r="I129" s="493"/>
      <c r="J129" s="493"/>
      <c r="K129" s="493"/>
      <c r="L129" s="493"/>
      <c r="M129" s="494"/>
      <c r="N129" s="1046"/>
      <c r="O129" s="1046"/>
      <c r="P129" s="2059"/>
      <c r="Q129" s="461"/>
    </row>
    <row r="130" spans="1:17" ht="15" thickTop="1">
      <c r="A130" s="556"/>
      <c r="B130" s="503">
        <f>B46</f>
        <v>111</v>
      </c>
      <c r="C130" s="511"/>
      <c r="D130" s="511"/>
      <c r="E130" s="511"/>
      <c r="F130" s="511"/>
      <c r="G130" s="544"/>
      <c r="H130" s="544"/>
      <c r="I130" s="544"/>
      <c r="J130" s="544"/>
      <c r="K130" s="480"/>
      <c r="L130" s="481"/>
      <c r="M130" s="547"/>
      <c r="N130" s="1045"/>
      <c r="O130" s="1045"/>
      <c r="P130" s="2059"/>
      <c r="Q130" s="461"/>
    </row>
    <row r="131" spans="1:17" ht="15.75" thickBot="1">
      <c r="A131" s="2065"/>
      <c r="B131" s="526"/>
      <c r="C131" s="527"/>
      <c r="D131" s="527"/>
      <c r="E131" s="527"/>
      <c r="F131" s="527"/>
      <c r="G131" s="548"/>
      <c r="H131" s="548"/>
      <c r="I131" s="548"/>
      <c r="J131" s="548"/>
      <c r="K131" s="548"/>
      <c r="L131" s="548"/>
      <c r="M131" s="549"/>
      <c r="N131" s="1046"/>
      <c r="O131" s="1046"/>
      <c r="P131" s="2059"/>
      <c r="Q131" s="461"/>
    </row>
    <row r="136" spans="1:17" ht="15" thickBot="1">
      <c r="B136" s="2066" t="s">
        <v>2201</v>
      </c>
    </row>
    <row r="137" spans="1:17" ht="15">
      <c r="B137" s="2067" t="s">
        <v>2202</v>
      </c>
      <c r="C137" s="2068"/>
      <c r="D137" s="2068"/>
      <c r="E137" s="2068"/>
      <c r="F137" s="2068"/>
      <c r="G137" s="2069"/>
      <c r="H137" s="2070"/>
      <c r="I137" s="2071" t="s">
        <v>2203</v>
      </c>
      <c r="J137" s="2068"/>
      <c r="K137" s="2072"/>
    </row>
    <row r="138" spans="1:17" ht="15">
      <c r="B138" s="2073"/>
      <c r="C138" s="142" t="s">
        <v>2204</v>
      </c>
      <c r="D138" s="142" t="s">
        <v>2205</v>
      </c>
      <c r="E138" s="2074" t="s">
        <v>2206</v>
      </c>
      <c r="F138" s="2075" t="s">
        <v>2207</v>
      </c>
      <c r="G138" s="142" t="s">
        <v>2205</v>
      </c>
      <c r="H138" s="143" t="s">
        <v>2206</v>
      </c>
      <c r="I138" s="2076"/>
      <c r="J138" s="142" t="s">
        <v>2208</v>
      </c>
      <c r="K138" s="143" t="s">
        <v>2209</v>
      </c>
    </row>
    <row r="139" spans="1:17" ht="15">
      <c r="B139" s="979">
        <v>6</v>
      </c>
      <c r="C139" s="980">
        <v>96</v>
      </c>
      <c r="D139" s="2077" t="s">
        <v>2210</v>
      </c>
      <c r="E139" s="981">
        <v>100</v>
      </c>
      <c r="F139" s="982">
        <v>102.5</v>
      </c>
      <c r="G139" s="2077" t="s">
        <v>2210</v>
      </c>
      <c r="H139" s="983">
        <v>105</v>
      </c>
      <c r="I139" s="2078" t="s">
        <v>2211</v>
      </c>
      <c r="J139" s="980">
        <v>20</v>
      </c>
      <c r="K139" s="984">
        <f>C145/(J139-2)</f>
        <v>4.0555555555555553E-3</v>
      </c>
    </row>
    <row r="140" spans="1:17" ht="15">
      <c r="B140" s="985">
        <v>5</v>
      </c>
      <c r="C140" s="986">
        <v>100</v>
      </c>
      <c r="D140" s="986"/>
      <c r="E140" s="987"/>
      <c r="F140" s="988">
        <v>102</v>
      </c>
      <c r="G140" s="986"/>
      <c r="H140" s="989"/>
      <c r="I140" s="2079" t="s">
        <v>2212</v>
      </c>
      <c r="J140" s="277">
        <f>ROUNDUP((J139-1)/2,0)</f>
        <v>10</v>
      </c>
      <c r="K140" s="990">
        <v>100</v>
      </c>
    </row>
    <row r="141" spans="1:17" ht="15">
      <c r="B141" s="985">
        <v>4</v>
      </c>
      <c r="C141" s="986">
        <v>102</v>
      </c>
      <c r="D141" s="986"/>
      <c r="E141" s="987"/>
      <c r="F141" s="988">
        <v>101.5</v>
      </c>
      <c r="G141" s="986"/>
      <c r="H141" s="989"/>
      <c r="I141" s="2079" t="s">
        <v>2213</v>
      </c>
      <c r="J141" s="277">
        <v>1</v>
      </c>
      <c r="K141" s="991">
        <f>ROUND(100+(J141-J140)*K139*100,1)</f>
        <v>96.4</v>
      </c>
    </row>
    <row r="142" spans="1:17" ht="15">
      <c r="B142" s="985">
        <v>3</v>
      </c>
      <c r="C142" s="986">
        <v>103</v>
      </c>
      <c r="D142" s="986"/>
      <c r="E142" s="987"/>
      <c r="F142" s="988">
        <v>101</v>
      </c>
      <c r="G142" s="986"/>
      <c r="H142" s="989"/>
      <c r="I142" s="2079" t="s">
        <v>2214</v>
      </c>
      <c r="J142" s="277">
        <f>J139</f>
        <v>20</v>
      </c>
      <c r="K142" s="992">
        <v>95</v>
      </c>
    </row>
    <row r="143" spans="1:17" ht="15">
      <c r="B143" s="985">
        <v>2</v>
      </c>
      <c r="C143" s="986">
        <v>100</v>
      </c>
      <c r="D143" s="986"/>
      <c r="E143" s="987"/>
      <c r="F143" s="988">
        <v>100.5</v>
      </c>
      <c r="G143" s="986"/>
      <c r="H143" s="989"/>
      <c r="I143" s="2079" t="s">
        <v>2215</v>
      </c>
      <c r="J143" s="986">
        <v>15</v>
      </c>
      <c r="K143" s="991">
        <f>ROUND(100+(J143-J140)*K139*100,1)</f>
        <v>102</v>
      </c>
    </row>
    <row r="144" spans="1:17" ht="15">
      <c r="B144" s="985">
        <v>1</v>
      </c>
      <c r="C144" s="986">
        <v>98</v>
      </c>
      <c r="D144" s="2080" t="s">
        <v>2216</v>
      </c>
      <c r="E144" s="987">
        <v>102</v>
      </c>
      <c r="F144" s="993">
        <v>100</v>
      </c>
      <c r="G144" s="2080" t="s">
        <v>2216</v>
      </c>
      <c r="H144" s="989">
        <v>105</v>
      </c>
      <c r="I144" s="2079" t="s">
        <v>2215</v>
      </c>
      <c r="J144" s="986">
        <v>18</v>
      </c>
      <c r="K144" s="991">
        <f>ROUND(100+(J144-J140)*K139*100,1)</f>
        <v>103.2</v>
      </c>
    </row>
    <row r="145" spans="2:11" ht="15.75" thickBot="1">
      <c r="B145" s="2081" t="s">
        <v>2217</v>
      </c>
      <c r="C145" s="994">
        <f>ROUND(MAX(C139:C144)/MIN(C139:C144)-1,3)</f>
        <v>7.2999999999999995E-2</v>
      </c>
      <c r="D145" s="995"/>
      <c r="E145" s="995"/>
      <c r="F145" s="2082" t="s">
        <v>2218</v>
      </c>
      <c r="G145" s="2083"/>
      <c r="H145" s="2084"/>
      <c r="I145" s="2085" t="s">
        <v>2215</v>
      </c>
      <c r="J145" s="996">
        <v>8</v>
      </c>
      <c r="K145" s="997">
        <f>ROUND(100+(J145-J140)*K139*100,1)</f>
        <v>99.2</v>
      </c>
    </row>
    <row r="147" spans="2:11">
      <c r="B147" s="2066" t="s">
        <v>2219</v>
      </c>
    </row>
    <row r="148" spans="2:11">
      <c r="B148" s="2066" t="s">
        <v>2220</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Q72" sqref="Q72"/>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15" t="s">
        <v>2221</v>
      </c>
      <c r="C1" s="1359" t="s">
        <v>2109</v>
      </c>
      <c r="D1" s="1346"/>
      <c r="E1" s="2494"/>
      <c r="F1" s="2016"/>
      <c r="G1" s="1356" t="s">
        <v>2222</v>
      </c>
      <c r="H1" s="1355"/>
      <c r="I1" s="1355"/>
      <c r="J1" s="1355"/>
      <c r="K1" s="1357"/>
      <c r="L1" s="1358"/>
      <c r="M1" s="1359"/>
      <c r="N1" s="1359"/>
      <c r="O1" s="1359"/>
      <c r="P1" s="2086"/>
      <c r="Q1" s="2087"/>
      <c r="R1" s="2087"/>
      <c r="S1" s="2087"/>
      <c r="T1" s="2087"/>
      <c r="U1" s="2087"/>
      <c r="V1" s="2087"/>
      <c r="W1" s="2087"/>
      <c r="X1" s="2087"/>
      <c r="Y1" s="2087"/>
      <c r="Z1" s="2087"/>
      <c r="AA1" s="2087"/>
      <c r="AB1" s="2087"/>
      <c r="AC1" s="2088"/>
    </row>
    <row r="2" spans="1:29" s="358" customFormat="1" ht="28.5" customHeight="1" thickTop="1">
      <c r="A2" s="1342" t="s">
        <v>1906</v>
      </c>
      <c r="B2" s="1279" t="e">
        <f ca="1">IF(C2="——",ROUND(C49*D3/10000,0),ROUND(C49*D3/10000,0)-D2)</f>
        <v>#DIV/0!</v>
      </c>
      <c r="C2" s="2018"/>
      <c r="D2" s="1228" t="e">
        <f ca="1">SUMIF(INDIRECT("'"&amp;F2&amp;"'"&amp;"!A:A"),"承租人权益价值",INDIRECT("'"&amp;F2&amp;"'"&amp;"!c:c"))</f>
        <v>#REF!</v>
      </c>
      <c r="E2" s="2019" t="s">
        <v>1907</v>
      </c>
      <c r="F2" s="2020"/>
      <c r="G2" s="1020"/>
      <c r="H2" s="1020"/>
      <c r="I2" s="1020"/>
      <c r="J2" s="1020"/>
      <c r="K2" s="1020"/>
      <c r="L2" s="2913"/>
      <c r="M2" s="2914"/>
      <c r="N2" s="2914"/>
      <c r="O2" s="2914"/>
      <c r="P2" s="2089"/>
      <c r="Q2" s="1024"/>
      <c r="R2" s="1024"/>
      <c r="S2" s="1024"/>
      <c r="T2" s="1024"/>
      <c r="U2" s="1024"/>
      <c r="V2" s="1024"/>
      <c r="W2" s="1024"/>
      <c r="X2" s="1024"/>
      <c r="Y2" s="1024"/>
      <c r="Z2" s="1024"/>
      <c r="AA2" s="1024"/>
      <c r="AB2" s="1024"/>
      <c r="AC2" s="2090"/>
    </row>
    <row r="3" spans="1:29" s="358" customFormat="1" ht="28.5" customHeight="1" thickBot="1">
      <c r="A3" s="209" t="s">
        <v>1908</v>
      </c>
      <c r="B3" s="566" t="e">
        <f ca="1">IF(C2="——",C49,ROUND(B2*10000/D3,0))</f>
        <v>#DIV/0!</v>
      </c>
      <c r="C3" s="360" t="s">
        <v>2223</v>
      </c>
      <c r="D3" s="359">
        <f>IF(D1="",'数据-汇总表'!E3,SUMIF('数据-汇总表'!$C19:$C33,D1,'数据-汇总表'!$E19:$E33))</f>
        <v>6531.86</v>
      </c>
      <c r="E3" s="2091"/>
      <c r="F3" s="1021"/>
      <c r="G3" s="1020"/>
      <c r="H3" s="1020"/>
      <c r="I3" s="1020"/>
      <c r="J3" s="1020"/>
      <c r="K3" s="1022"/>
      <c r="L3" s="2913"/>
      <c r="M3" s="2914"/>
      <c r="N3" s="2914"/>
      <c r="O3" s="2914"/>
      <c r="P3" s="2089"/>
      <c r="Q3" s="1024"/>
      <c r="R3" s="1024"/>
      <c r="S3" s="1024"/>
      <c r="T3" s="1024"/>
      <c r="U3" s="1024"/>
      <c r="V3" s="1024"/>
      <c r="W3" s="1024"/>
      <c r="X3" s="1024"/>
      <c r="Y3" s="1024"/>
      <c r="Z3" s="1024"/>
      <c r="AA3" s="1024"/>
      <c r="AB3" s="1024"/>
      <c r="AC3" s="2091"/>
    </row>
    <row r="4" spans="1:29" ht="15">
      <c r="A4" s="361" t="s">
        <v>2224</v>
      </c>
      <c r="B4" s="362"/>
      <c r="C4" s="3468" t="s">
        <v>2225</v>
      </c>
      <c r="D4" s="3469"/>
      <c r="E4" s="3470" t="s">
        <v>2226</v>
      </c>
      <c r="F4" s="3471"/>
      <c r="G4" s="3468" t="s">
        <v>2227</v>
      </c>
      <c r="H4" s="3469"/>
      <c r="I4" s="3468" t="s">
        <v>2228</v>
      </c>
      <c r="J4" s="3469"/>
      <c r="K4" s="567" t="s">
        <v>2229</v>
      </c>
      <c r="L4" s="2894"/>
      <c r="M4" s="2895"/>
      <c r="N4" s="2895"/>
      <c r="O4" s="2895"/>
      <c r="P4" s="3472" t="s">
        <v>2230</v>
      </c>
      <c r="Q4" s="3473"/>
      <c r="R4" s="3455" t="s">
        <v>2226</v>
      </c>
      <c r="S4" s="3456"/>
      <c r="T4" s="3455" t="s">
        <v>2227</v>
      </c>
      <c r="U4" s="3456"/>
      <c r="V4" s="3480" t="s">
        <v>2228</v>
      </c>
      <c r="W4" s="3480"/>
      <c r="X4" s="1490"/>
      <c r="Y4" s="3455" t="s">
        <v>2230</v>
      </c>
      <c r="Z4" s="3456"/>
      <c r="AA4" s="3450" t="s">
        <v>2226</v>
      </c>
      <c r="AB4" s="3480" t="s">
        <v>2227</v>
      </c>
      <c r="AC4" s="3450" t="s">
        <v>2228</v>
      </c>
    </row>
    <row r="5" spans="1:29" ht="15">
      <c r="A5" s="364"/>
      <c r="B5" s="365"/>
      <c r="C5" s="3461" t="s">
        <v>2121</v>
      </c>
      <c r="D5" s="3462"/>
      <c r="E5" s="3459" t="s">
        <v>2122</v>
      </c>
      <c r="F5" s="3460"/>
      <c r="G5" s="3461" t="s">
        <v>2123</v>
      </c>
      <c r="H5" s="3462"/>
      <c r="I5" s="3461" t="s">
        <v>2124</v>
      </c>
      <c r="J5" s="3462"/>
      <c r="K5" s="567"/>
      <c r="L5" s="2894"/>
      <c r="M5" s="2895"/>
      <c r="N5" s="2895"/>
      <c r="O5" s="2895"/>
      <c r="P5" s="3474"/>
      <c r="Q5" s="3475"/>
      <c r="R5" s="3457"/>
      <c r="S5" s="3458"/>
      <c r="T5" s="3457"/>
      <c r="U5" s="3458"/>
      <c r="V5" s="3480"/>
      <c r="W5" s="3480"/>
      <c r="X5" s="1490"/>
      <c r="Y5" s="3457"/>
      <c r="Z5" s="3458"/>
      <c r="AA5" s="3451"/>
      <c r="AB5" s="3480"/>
      <c r="AC5" s="3451"/>
    </row>
    <row r="6" spans="1:29" ht="15.75" thickBot="1">
      <c r="A6" s="366"/>
      <c r="B6" s="367"/>
      <c r="C6" s="3463" t="s">
        <v>2125</v>
      </c>
      <c r="D6" s="3464"/>
      <c r="E6" s="3465" t="s">
        <v>2125</v>
      </c>
      <c r="F6" s="3466"/>
      <c r="G6" s="3463" t="s">
        <v>2125</v>
      </c>
      <c r="H6" s="3464"/>
      <c r="I6" s="3463" t="s">
        <v>2125</v>
      </c>
      <c r="J6" s="3464"/>
      <c r="K6" s="567" t="s">
        <v>2126</v>
      </c>
      <c r="L6" s="2894"/>
      <c r="M6" s="2895"/>
      <c r="N6" s="2895"/>
      <c r="O6" s="2895"/>
      <c r="P6" s="3476"/>
      <c r="Q6" s="3477"/>
      <c r="R6" s="3457"/>
      <c r="S6" s="3458"/>
      <c r="T6" s="3478"/>
      <c r="U6" s="3479"/>
      <c r="V6" s="3480"/>
      <c r="W6" s="3480"/>
      <c r="X6" s="1490"/>
      <c r="Y6" s="3478"/>
      <c r="Z6" s="3479"/>
      <c r="AA6" s="3452"/>
      <c r="AB6" s="3480"/>
      <c r="AC6" s="3452"/>
    </row>
    <row r="7" spans="1:29" s="113" customFormat="1" ht="15.75" thickBot="1">
      <c r="A7" s="368" t="s">
        <v>2127</v>
      </c>
      <c r="B7" s="369"/>
      <c r="C7" s="370">
        <f>'数据-取费表'!B2</f>
        <v>44869</v>
      </c>
      <c r="D7" s="371">
        <v>100</v>
      </c>
      <c r="E7" s="372"/>
      <c r="F7" s="373">
        <f>SUMIF(58:58,YEAR(E7)&amp;"-"&amp;MONTH(E7),59:59)</f>
        <v>0</v>
      </c>
      <c r="G7" s="372"/>
      <c r="H7" s="371">
        <f>SUMIF(58:58,YEAR(G7)&amp;"-"&amp;MONTH(G7),59:59)</f>
        <v>0</v>
      </c>
      <c r="I7" s="372"/>
      <c r="J7" s="371">
        <f>SUMIF(58:58,YEAR(I7)&amp;"-"&amp;MONTH(I7),59:59)</f>
        <v>0</v>
      </c>
      <c r="K7" s="568"/>
      <c r="L7" s="2896"/>
      <c r="M7" s="2897"/>
      <c r="N7" s="2897"/>
      <c r="O7" s="2897"/>
      <c r="P7" s="3453" t="s">
        <v>2128</v>
      </c>
      <c r="Q7" s="3481"/>
      <c r="R7" s="710" t="s">
        <v>17</v>
      </c>
      <c r="S7" s="711">
        <f t="shared" ref="S7:S15" si="0">F7</f>
        <v>0</v>
      </c>
      <c r="T7" s="710" t="s">
        <v>17</v>
      </c>
      <c r="U7" s="711">
        <f t="shared" ref="U7:U15" si="1">H7</f>
        <v>0</v>
      </c>
      <c r="V7" s="710" t="s">
        <v>17</v>
      </c>
      <c r="W7" s="711">
        <f t="shared" ref="W7:W15" si="2">J7</f>
        <v>0</v>
      </c>
      <c r="X7" s="712"/>
      <c r="Y7" s="3453" t="s">
        <v>2128</v>
      </c>
      <c r="Z7" s="3454"/>
      <c r="AA7" s="713" t="e">
        <f>D7/F7</f>
        <v>#DIV/0!</v>
      </c>
      <c r="AB7" s="713" t="e">
        <f>D7/H7</f>
        <v>#DIV/0!</v>
      </c>
      <c r="AC7" s="713" t="e">
        <f>D7/J7</f>
        <v>#DIV/0!</v>
      </c>
    </row>
    <row r="8" spans="1:29" s="113" customFormat="1" ht="15.75" thickBot="1">
      <c r="A8" s="368" t="s">
        <v>2129</v>
      </c>
      <c r="B8" s="369"/>
      <c r="C8" s="374" t="s">
        <v>2231</v>
      </c>
      <c r="D8" s="371">
        <v>100</v>
      </c>
      <c r="E8" s="374"/>
      <c r="F8" s="373">
        <f>SUMIF(61:61,E8,62:62)-SUMIF(61:61,C8,62:62)+100</f>
        <v>0</v>
      </c>
      <c r="G8" s="374"/>
      <c r="H8" s="371">
        <f>SUMIF(61:61,G8,62:62)-SUMIF(61:61,C8,62:62)+100</f>
        <v>0</v>
      </c>
      <c r="I8" s="374"/>
      <c r="J8" s="371">
        <f>SUMIF(61:61,I8,62:62)-SUMIF(61:61,C8,62:62)+100</f>
        <v>0</v>
      </c>
      <c r="K8" s="568"/>
      <c r="L8" s="2896"/>
      <c r="M8" s="2897"/>
      <c r="N8" s="2897"/>
      <c r="O8" s="2897"/>
      <c r="P8" s="3453" t="s">
        <v>2131</v>
      </c>
      <c r="Q8" s="3454"/>
      <c r="R8" s="710" t="s">
        <v>17</v>
      </c>
      <c r="S8" s="711">
        <f t="shared" si="0"/>
        <v>0</v>
      </c>
      <c r="T8" s="710" t="s">
        <v>17</v>
      </c>
      <c r="U8" s="711">
        <f t="shared" si="1"/>
        <v>0</v>
      </c>
      <c r="V8" s="710" t="s">
        <v>17</v>
      </c>
      <c r="W8" s="711">
        <f t="shared" si="2"/>
        <v>0</v>
      </c>
      <c r="X8" s="712"/>
      <c r="Y8" s="3453" t="s">
        <v>2131</v>
      </c>
      <c r="Z8" s="3454"/>
      <c r="AA8" s="713" t="e">
        <f t="shared" ref="AA8:AA46" si="3">D8/F8</f>
        <v>#DIV/0!</v>
      </c>
      <c r="AB8" s="713" t="e">
        <f t="shared" ref="AB8:AB46" si="4">D8/H8</f>
        <v>#DIV/0!</v>
      </c>
      <c r="AC8" s="713" t="e">
        <f t="shared" ref="AC8:AC46" si="5">D8/J8</f>
        <v>#DIV/0!</v>
      </c>
    </row>
    <row r="9" spans="1:29" s="113" customFormat="1">
      <c r="A9" s="375" t="s">
        <v>2132</v>
      </c>
      <c r="B9" s="67" t="s">
        <v>2133</v>
      </c>
      <c r="C9" s="376"/>
      <c r="D9" s="131">
        <v>100</v>
      </c>
      <c r="E9" s="377"/>
      <c r="F9" s="378">
        <f>SUMIF(63:63,E9,64:64)-SUMIF(63:63,C9,64:64)+100</f>
        <v>100</v>
      </c>
      <c r="G9" s="377"/>
      <c r="H9" s="131">
        <f>SUMIF(63:63,G9,64:64)-SUMIF(63:63,C9,64:64)+100</f>
        <v>100</v>
      </c>
      <c r="I9" s="377"/>
      <c r="J9" s="131">
        <f>SUMIF(63:63,I9,64:64)-SUMIF(63:63,C9,64:64)+100</f>
        <v>100</v>
      </c>
      <c r="K9" s="568"/>
      <c r="L9" s="2896"/>
      <c r="M9" s="2897"/>
      <c r="N9" s="2897"/>
      <c r="O9" s="2897"/>
      <c r="P9" s="3467" t="s">
        <v>2134</v>
      </c>
      <c r="Q9" s="1478" t="str">
        <f t="shared" ref="Q9:Q15" si="6">B9</f>
        <v>用途</v>
      </c>
      <c r="R9" s="710" t="s">
        <v>17</v>
      </c>
      <c r="S9" s="711">
        <f t="shared" si="0"/>
        <v>100</v>
      </c>
      <c r="T9" s="710" t="s">
        <v>17</v>
      </c>
      <c r="U9" s="711">
        <f t="shared" si="1"/>
        <v>100</v>
      </c>
      <c r="V9" s="710" t="s">
        <v>17</v>
      </c>
      <c r="W9" s="711">
        <f t="shared" si="2"/>
        <v>100</v>
      </c>
      <c r="X9" s="712"/>
      <c r="Y9" s="3397"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569"/>
      <c r="L10" s="2898"/>
      <c r="M10" s="2899"/>
      <c r="N10" s="2899"/>
      <c r="O10" s="2899"/>
      <c r="P10" s="3467"/>
      <c r="Q10" s="1478" t="str">
        <f t="shared" si="6"/>
        <v>土地使用年限（年）</v>
      </c>
      <c r="R10" s="710" t="s">
        <v>17</v>
      </c>
      <c r="S10" s="711">
        <f t="shared" si="0"/>
        <v>100</v>
      </c>
      <c r="T10" s="710" t="s">
        <v>17</v>
      </c>
      <c r="U10" s="711">
        <f t="shared" si="1"/>
        <v>100</v>
      </c>
      <c r="V10" s="710" t="s">
        <v>17</v>
      </c>
      <c r="W10" s="711">
        <f t="shared" si="2"/>
        <v>100</v>
      </c>
      <c r="X10" s="712"/>
      <c r="Y10" s="3397"/>
      <c r="Z10" s="55" t="str">
        <f t="shared" si="7"/>
        <v>土地使用年限（年）</v>
      </c>
      <c r="AA10" s="713">
        <f t="shared" si="3"/>
        <v>1</v>
      </c>
      <c r="AB10" s="713">
        <f t="shared" si="4"/>
        <v>1</v>
      </c>
      <c r="AC10" s="713">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00"/>
      <c r="M11" s="2895"/>
      <c r="N11" s="2895"/>
      <c r="O11" s="2895"/>
      <c r="P11" s="3467"/>
      <c r="Q11" s="1478" t="str">
        <f t="shared" si="6"/>
        <v>容积率</v>
      </c>
      <c r="R11" s="710" t="s">
        <v>17</v>
      </c>
      <c r="S11" s="711" t="e">
        <f t="shared" si="0"/>
        <v>#N/A</v>
      </c>
      <c r="T11" s="710" t="s">
        <v>17</v>
      </c>
      <c r="U11" s="711" t="e">
        <f t="shared" si="1"/>
        <v>#N/A</v>
      </c>
      <c r="V11" s="710" t="s">
        <v>17</v>
      </c>
      <c r="W11" s="711" t="e">
        <f t="shared" si="2"/>
        <v>#N/A</v>
      </c>
      <c r="X11" s="712"/>
      <c r="Y11" s="3397"/>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384">
        <f>SUMIF(70:70,E12,71:71)-SUMIF(70:70,C12,71:71)+100</f>
        <v>100</v>
      </c>
      <c r="G12" s="393"/>
      <c r="H12" s="132">
        <f>SUMIF(70:70,G12,71:71)-SUMIF(70:70,C12,71:71)+100</f>
        <v>100</v>
      </c>
      <c r="I12" s="393"/>
      <c r="J12" s="132">
        <f>SUMIF(70:70,I12,71:71)-SUMIF(70:70,C12,71:71)+100</f>
        <v>100</v>
      </c>
      <c r="K12" s="570"/>
      <c r="L12" s="2896"/>
      <c r="M12" s="2897"/>
      <c r="N12" s="2897"/>
      <c r="O12" s="2897"/>
      <c r="P12" s="3467"/>
      <c r="Q12" s="1478">
        <f t="shared" si="6"/>
        <v>111</v>
      </c>
      <c r="R12" s="710" t="s">
        <v>17</v>
      </c>
      <c r="S12" s="711">
        <f t="shared" si="0"/>
        <v>100</v>
      </c>
      <c r="T12" s="710" t="s">
        <v>17</v>
      </c>
      <c r="U12" s="711">
        <f t="shared" si="1"/>
        <v>100</v>
      </c>
      <c r="V12" s="710" t="s">
        <v>17</v>
      </c>
      <c r="W12" s="711">
        <f t="shared" si="2"/>
        <v>100</v>
      </c>
      <c r="X12" s="712"/>
      <c r="Y12" s="3397"/>
      <c r="Z12" s="55">
        <f t="shared" si="7"/>
        <v>111</v>
      </c>
      <c r="AA12" s="713">
        <f>D12/F12</f>
        <v>1</v>
      </c>
      <c r="AB12" s="713">
        <f>D12/H12</f>
        <v>1</v>
      </c>
      <c r="AC12" s="713">
        <f>D12/J12</f>
        <v>1</v>
      </c>
    </row>
    <row r="13" spans="1:29" ht="15">
      <c r="A13" s="387"/>
      <c r="B13" s="2030">
        <v>111</v>
      </c>
      <c r="C13" s="393"/>
      <c r="D13" s="394">
        <v>100</v>
      </c>
      <c r="E13" s="393"/>
      <c r="F13" s="384">
        <f>SUMIF(72:72,E13,73:73)-SUMIF(72:72,C13,73:73)+100</f>
        <v>100</v>
      </c>
      <c r="G13" s="393"/>
      <c r="H13" s="394">
        <f>SUMIF(72:72,G13,73:73)-SUMIF(72:72,C13,73:73)+100</f>
        <v>100</v>
      </c>
      <c r="I13" s="393"/>
      <c r="J13" s="394">
        <f>SUMIF(72:72,I13,73:73)-SUMIF(72:72,C13,73:73)+100</f>
        <v>100</v>
      </c>
      <c r="K13" s="570"/>
      <c r="L13" s="2901"/>
      <c r="M13" s="2895"/>
      <c r="N13" s="2895"/>
      <c r="O13" s="2895"/>
      <c r="P13" s="3467"/>
      <c r="Q13" s="1478">
        <f t="shared" si="6"/>
        <v>111</v>
      </c>
      <c r="R13" s="710" t="s">
        <v>17</v>
      </c>
      <c r="S13" s="711">
        <f t="shared" si="0"/>
        <v>100</v>
      </c>
      <c r="T13" s="710" t="s">
        <v>17</v>
      </c>
      <c r="U13" s="711">
        <f t="shared" si="1"/>
        <v>100</v>
      </c>
      <c r="V13" s="710" t="s">
        <v>17</v>
      </c>
      <c r="W13" s="711">
        <f t="shared" si="2"/>
        <v>100</v>
      </c>
      <c r="X13" s="712"/>
      <c r="Y13" s="3397"/>
      <c r="Z13" s="55">
        <f t="shared" si="7"/>
        <v>111</v>
      </c>
      <c r="AA13" s="713">
        <f t="shared" si="3"/>
        <v>1</v>
      </c>
      <c r="AB13" s="713">
        <f t="shared" si="4"/>
        <v>1</v>
      </c>
      <c r="AC13" s="713">
        <f t="shared" si="5"/>
        <v>1</v>
      </c>
    </row>
    <row r="14" spans="1:29" ht="15.75" thickBot="1">
      <c r="A14" s="395"/>
      <c r="B14" s="2032">
        <v>111</v>
      </c>
      <c r="C14" s="396"/>
      <c r="D14" s="397">
        <v>100</v>
      </c>
      <c r="E14" s="393"/>
      <c r="F14" s="398">
        <f>SUMIF(74:74,E14,75:75)-SUMIF(74:74,C14,75:75)+100</f>
        <v>100</v>
      </c>
      <c r="G14" s="393"/>
      <c r="H14" s="397">
        <f>SUMIF(74:74,G14,75:75)-SUMIF(74:74,C14,75:75)+100</f>
        <v>100</v>
      </c>
      <c r="I14" s="393"/>
      <c r="J14" s="397">
        <f>SUMIF(74:74,I14,75:75)-SUMIF(74:74,C14,75:75)+100</f>
        <v>100</v>
      </c>
      <c r="K14" s="570"/>
      <c r="L14" s="2901"/>
      <c r="M14" s="2895"/>
      <c r="N14" s="2895"/>
      <c r="O14" s="2895"/>
      <c r="P14" s="3467"/>
      <c r="Q14" s="1478">
        <f t="shared" si="6"/>
        <v>111</v>
      </c>
      <c r="R14" s="710" t="s">
        <v>17</v>
      </c>
      <c r="S14" s="711">
        <f t="shared" si="0"/>
        <v>100</v>
      </c>
      <c r="T14" s="710" t="s">
        <v>17</v>
      </c>
      <c r="U14" s="711">
        <f t="shared" si="1"/>
        <v>100</v>
      </c>
      <c r="V14" s="710" t="s">
        <v>17</v>
      </c>
      <c r="W14" s="711">
        <f t="shared" si="2"/>
        <v>100</v>
      </c>
      <c r="X14" s="712"/>
      <c r="Y14" s="3397"/>
      <c r="Z14" s="55">
        <f t="shared" si="7"/>
        <v>111</v>
      </c>
      <c r="AA14" s="713">
        <f t="shared" si="3"/>
        <v>1</v>
      </c>
      <c r="AB14" s="713">
        <f t="shared" si="4"/>
        <v>1</v>
      </c>
      <c r="AC14" s="713">
        <f t="shared" si="5"/>
        <v>1</v>
      </c>
    </row>
    <row r="15" spans="1:29" ht="71.25">
      <c r="A15" s="399" t="s">
        <v>2138</v>
      </c>
      <c r="B15" s="65" t="s">
        <v>2232</v>
      </c>
      <c r="C15" s="2033"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01"/>
      <c r="M15" s="2895"/>
      <c r="N15" s="2895"/>
      <c r="O15" s="2895"/>
      <c r="P15" s="3494" t="s">
        <v>2139</v>
      </c>
      <c r="Q15" s="1487" t="str">
        <f t="shared" si="6"/>
        <v>商业繁华度</v>
      </c>
      <c r="R15" s="714" t="s">
        <v>17</v>
      </c>
      <c r="S15" s="715">
        <f t="shared" si="0"/>
        <v>100</v>
      </c>
      <c r="T15" s="714" t="s">
        <v>17</v>
      </c>
      <c r="U15" s="715">
        <f t="shared" si="1"/>
        <v>100</v>
      </c>
      <c r="V15" s="714" t="s">
        <v>17</v>
      </c>
      <c r="W15" s="715">
        <f t="shared" si="2"/>
        <v>100</v>
      </c>
      <c r="X15" s="1490"/>
      <c r="Y15" s="3487" t="s">
        <v>2139</v>
      </c>
      <c r="Z15" s="1491" t="str">
        <f t="shared" si="7"/>
        <v>商业繁华度</v>
      </c>
      <c r="AA15" s="1488">
        <f t="shared" si="3"/>
        <v>1</v>
      </c>
      <c r="AB15" s="1488">
        <f t="shared" si="4"/>
        <v>1</v>
      </c>
      <c r="AC15" s="1488">
        <f t="shared" si="5"/>
        <v>1</v>
      </c>
    </row>
    <row r="16" spans="1:29" ht="15">
      <c r="A16" s="387"/>
      <c r="B16" s="405"/>
      <c r="C16" s="406"/>
      <c r="D16" s="407"/>
      <c r="E16" s="406"/>
      <c r="F16" s="408"/>
      <c r="G16" s="406"/>
      <c r="H16" s="409"/>
      <c r="I16" s="406"/>
      <c r="J16" s="407"/>
      <c r="K16" s="572"/>
      <c r="L16" s="2901"/>
      <c r="M16" s="2895"/>
      <c r="N16" s="2895"/>
      <c r="O16" s="2895"/>
      <c r="P16" s="3495"/>
      <c r="Q16" s="1487"/>
      <c r="R16" s="714"/>
      <c r="S16" s="715"/>
      <c r="T16" s="714"/>
      <c r="U16" s="715"/>
      <c r="V16" s="714"/>
      <c r="W16" s="715"/>
      <c r="X16" s="1490"/>
      <c r="Y16" s="3488"/>
      <c r="Z16" s="1491"/>
      <c r="AA16" s="1488">
        <v>1</v>
      </c>
      <c r="AB16" s="1488">
        <v>1</v>
      </c>
      <c r="AC16" s="1488">
        <v>1</v>
      </c>
    </row>
    <row r="17" spans="1:29" ht="85.5">
      <c r="A17" s="387"/>
      <c r="B17" s="410" t="s">
        <v>1703</v>
      </c>
      <c r="C17" s="2037"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01"/>
      <c r="M17" s="2895"/>
      <c r="N17" s="2895"/>
      <c r="O17" s="2895"/>
      <c r="P17" s="3495"/>
      <c r="Q17" s="1487" t="str">
        <f>B17</f>
        <v>交通便捷度</v>
      </c>
      <c r="R17" s="714" t="s">
        <v>17</v>
      </c>
      <c r="S17" s="715">
        <f>F17</f>
        <v>100</v>
      </c>
      <c r="T17" s="714" t="s">
        <v>17</v>
      </c>
      <c r="U17" s="715">
        <f>H17</f>
        <v>100</v>
      </c>
      <c r="V17" s="714" t="s">
        <v>17</v>
      </c>
      <c r="W17" s="715">
        <f>J17</f>
        <v>100</v>
      </c>
      <c r="X17" s="1490"/>
      <c r="Y17" s="3488"/>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2901"/>
      <c r="M18" s="2895"/>
      <c r="N18" s="2895"/>
      <c r="O18" s="2895"/>
      <c r="P18" s="3495"/>
      <c r="Q18" s="1487"/>
      <c r="R18" s="714"/>
      <c r="S18" s="715"/>
      <c r="T18" s="714"/>
      <c r="U18" s="715"/>
      <c r="V18" s="714"/>
      <c r="W18" s="715"/>
      <c r="X18" s="1490"/>
      <c r="Y18" s="3488"/>
      <c r="Z18" s="1491"/>
      <c r="AA18" s="1488">
        <v>1</v>
      </c>
      <c r="AB18" s="1488">
        <v>1</v>
      </c>
      <c r="AC18" s="1488">
        <v>1</v>
      </c>
    </row>
    <row r="19" spans="1:29" ht="42.75">
      <c r="A19" s="387"/>
      <c r="B19" s="410" t="s">
        <v>2233</v>
      </c>
      <c r="C19" s="2037"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01"/>
      <c r="M19" s="2895"/>
      <c r="N19" s="2895"/>
      <c r="O19" s="2895"/>
      <c r="P19" s="3495"/>
      <c r="Q19" s="1487" t="str">
        <f>B19</f>
        <v>公共配套设施</v>
      </c>
      <c r="R19" s="714" t="s">
        <v>17</v>
      </c>
      <c r="S19" s="715">
        <f>F19</f>
        <v>100</v>
      </c>
      <c r="T19" s="714" t="s">
        <v>17</v>
      </c>
      <c r="U19" s="715">
        <f>H19</f>
        <v>100</v>
      </c>
      <c r="V19" s="714" t="s">
        <v>17</v>
      </c>
      <c r="W19" s="715">
        <f>J19</f>
        <v>100</v>
      </c>
      <c r="X19" s="1490"/>
      <c r="Y19" s="3488"/>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2901"/>
      <c r="M20" s="2895"/>
      <c r="N20" s="2895"/>
      <c r="O20" s="2895"/>
      <c r="P20" s="3495"/>
      <c r="Q20" s="1487"/>
      <c r="R20" s="714"/>
      <c r="S20" s="715"/>
      <c r="T20" s="714"/>
      <c r="U20" s="715"/>
      <c r="V20" s="714"/>
      <c r="W20" s="715"/>
      <c r="X20" s="1490"/>
      <c r="Y20" s="3488"/>
      <c r="Z20" s="1491"/>
      <c r="AA20" s="1488">
        <v>1</v>
      </c>
      <c r="AB20" s="1488">
        <v>1</v>
      </c>
      <c r="AC20" s="1488">
        <v>1</v>
      </c>
    </row>
    <row r="21" spans="1:29" ht="28.5">
      <c r="A21" s="387"/>
      <c r="B21" s="1246" t="s">
        <v>2234</v>
      </c>
      <c r="C21" s="2037"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01"/>
      <c r="M21" s="2895"/>
      <c r="N21" s="2895"/>
      <c r="O21" s="2895"/>
      <c r="P21" s="3495"/>
      <c r="Q21" s="1487" t="str">
        <f>B21</f>
        <v>基础设施水平</v>
      </c>
      <c r="R21" s="714" t="s">
        <v>17</v>
      </c>
      <c r="S21" s="715">
        <f>F21</f>
        <v>100</v>
      </c>
      <c r="T21" s="714" t="s">
        <v>17</v>
      </c>
      <c r="U21" s="715">
        <f>H21</f>
        <v>100</v>
      </c>
      <c r="V21" s="714" t="s">
        <v>17</v>
      </c>
      <c r="W21" s="715">
        <f>J21</f>
        <v>100</v>
      </c>
      <c r="X21" s="1490"/>
      <c r="Y21" s="3488"/>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2901"/>
      <c r="M22" s="2895"/>
      <c r="N22" s="2895"/>
      <c r="O22" s="2895"/>
      <c r="P22" s="3495"/>
      <c r="Q22" s="1487"/>
      <c r="R22" s="714"/>
      <c r="S22" s="715"/>
      <c r="T22" s="714"/>
      <c r="U22" s="715"/>
      <c r="V22" s="714"/>
      <c r="W22" s="715"/>
      <c r="X22" s="1490"/>
      <c r="Y22" s="3488"/>
      <c r="Z22" s="1491"/>
      <c r="AA22" s="1488">
        <v>1</v>
      </c>
      <c r="AB22" s="1488">
        <v>1</v>
      </c>
      <c r="AC22" s="1488">
        <v>1</v>
      </c>
    </row>
    <row r="23" spans="1:29" ht="57">
      <c r="A23" s="387"/>
      <c r="B23" s="410" t="s">
        <v>1705</v>
      </c>
      <c r="C23" s="2092"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01"/>
      <c r="M23" s="2895"/>
      <c r="N23" s="2895"/>
      <c r="O23" s="2895"/>
      <c r="P23" s="3495"/>
      <c r="Q23" s="1487" t="str">
        <f>B23</f>
        <v>自然及人文环境</v>
      </c>
      <c r="R23" s="714" t="s">
        <v>17</v>
      </c>
      <c r="S23" s="715">
        <f>F23</f>
        <v>100</v>
      </c>
      <c r="T23" s="714" t="s">
        <v>17</v>
      </c>
      <c r="U23" s="715">
        <f>H23</f>
        <v>100</v>
      </c>
      <c r="V23" s="714" t="s">
        <v>17</v>
      </c>
      <c r="W23" s="715">
        <f>J23</f>
        <v>100</v>
      </c>
      <c r="X23" s="1490"/>
      <c r="Y23" s="3488"/>
      <c r="Z23" s="1491" t="str">
        <f>Q23</f>
        <v>自然及人文环境</v>
      </c>
      <c r="AA23" s="1488">
        <f t="shared" si="3"/>
        <v>1</v>
      </c>
      <c r="AB23" s="1488">
        <f t="shared" si="4"/>
        <v>1</v>
      </c>
      <c r="AC23" s="1488">
        <f t="shared" si="5"/>
        <v>1</v>
      </c>
    </row>
    <row r="24" spans="1:29" ht="15">
      <c r="A24" s="387"/>
      <c r="B24" s="415"/>
      <c r="C24" s="406"/>
      <c r="D24" s="407"/>
      <c r="E24" s="2035"/>
      <c r="F24" s="408"/>
      <c r="G24" s="2034"/>
      <c r="H24" s="407"/>
      <c r="I24" s="2035"/>
      <c r="J24" s="407"/>
      <c r="K24" s="572"/>
      <c r="L24" s="2901"/>
      <c r="M24" s="2895"/>
      <c r="N24" s="2895"/>
      <c r="O24" s="2895"/>
      <c r="P24" s="3495"/>
      <c r="Q24" s="1487"/>
      <c r="R24" s="714"/>
      <c r="S24" s="715"/>
      <c r="T24" s="714"/>
      <c r="U24" s="715"/>
      <c r="V24" s="714"/>
      <c r="W24" s="715"/>
      <c r="X24" s="1490"/>
      <c r="Y24" s="3488"/>
      <c r="Z24" s="1491"/>
      <c r="AA24" s="1488">
        <v>1</v>
      </c>
      <c r="AB24" s="1488">
        <v>1</v>
      </c>
      <c r="AC24" s="1488">
        <v>1</v>
      </c>
    </row>
    <row r="25" spans="1:29" ht="15">
      <c r="A25" s="387"/>
      <c r="B25" s="381" t="s">
        <v>2235</v>
      </c>
      <c r="C25" s="573"/>
      <c r="D25" s="394">
        <v>100</v>
      </c>
      <c r="E25" s="573"/>
      <c r="F25" s="420">
        <f>SUMIF(86:86,E25,87:87)-SUMIF(86:86,C25,87:87)+100</f>
        <v>100</v>
      </c>
      <c r="G25" s="573"/>
      <c r="H25" s="394">
        <f>SUMIF(86:86,G25,87:87)-SUMIF(86:86,C25,87:87)+100</f>
        <v>100</v>
      </c>
      <c r="I25" s="573"/>
      <c r="J25" s="394">
        <f>SUMIF(86:86,I25,87:87)-SUMIF(86:86,C25,87:87)+100</f>
        <v>100</v>
      </c>
      <c r="K25" s="569"/>
      <c r="L25" s="2901"/>
      <c r="M25" s="2895"/>
      <c r="N25" s="2895"/>
      <c r="O25" s="2895"/>
      <c r="P25" s="3495"/>
      <c r="Q25" s="1487" t="str">
        <f t="shared" ref="Q25:Q46" si="11">B25</f>
        <v>临街状况</v>
      </c>
      <c r="R25" s="714" t="s">
        <v>17</v>
      </c>
      <c r="S25" s="715">
        <f>F25</f>
        <v>100</v>
      </c>
      <c r="T25" s="714" t="s">
        <v>17</v>
      </c>
      <c r="U25" s="715">
        <f>H25</f>
        <v>100</v>
      </c>
      <c r="V25" s="714" t="s">
        <v>17</v>
      </c>
      <c r="W25" s="715">
        <f>J25</f>
        <v>100</v>
      </c>
      <c r="X25" s="1490"/>
      <c r="Y25" s="3488"/>
      <c r="Z25" s="1491" t="str">
        <f>Q25</f>
        <v>临街状况</v>
      </c>
      <c r="AA25" s="1488">
        <f t="shared" si="3"/>
        <v>1</v>
      </c>
      <c r="AB25" s="1488">
        <f t="shared" si="4"/>
        <v>1</v>
      </c>
      <c r="AC25" s="1488">
        <f t="shared" si="5"/>
        <v>1</v>
      </c>
    </row>
    <row r="26" spans="1:29" ht="15">
      <c r="A26" s="387"/>
      <c r="B26" s="1248" t="s">
        <v>2236</v>
      </c>
      <c r="C26" s="393"/>
      <c r="D26" s="394">
        <v>100</v>
      </c>
      <c r="E26" s="393"/>
      <c r="F26" s="420">
        <f>SUMIF(88:88,E26,89:89)-SUMIF(88:88,C26,89:89)+100</f>
        <v>100</v>
      </c>
      <c r="G26" s="393"/>
      <c r="H26" s="394">
        <f>SUMIF(88:88,G26,89:89)-SUMIF(88:88,C26,89:89)+100</f>
        <v>100</v>
      </c>
      <c r="I26" s="393"/>
      <c r="J26" s="394">
        <f>SUMIF(88:88,I26,89:89)-SUMIF(88:88,C26,89:89)+100</f>
        <v>100</v>
      </c>
      <c r="K26" s="570"/>
      <c r="L26" s="2901"/>
      <c r="M26" s="2895"/>
      <c r="N26" s="2895"/>
      <c r="O26" s="2895"/>
      <c r="P26" s="3495"/>
      <c r="Q26" s="1487" t="str">
        <f t="shared" si="11"/>
        <v>平面位置/可视性</v>
      </c>
      <c r="R26" s="714" t="s">
        <v>17</v>
      </c>
      <c r="S26" s="715">
        <f>F26</f>
        <v>100</v>
      </c>
      <c r="T26" s="714" t="s">
        <v>17</v>
      </c>
      <c r="U26" s="715">
        <f>H26</f>
        <v>100</v>
      </c>
      <c r="V26" s="714" t="s">
        <v>17</v>
      </c>
      <c r="W26" s="715">
        <f>J26</f>
        <v>100</v>
      </c>
      <c r="X26" s="1490"/>
      <c r="Y26" s="3488"/>
      <c r="Z26" s="1491" t="str">
        <f>Q26</f>
        <v>平面位置/可视性</v>
      </c>
      <c r="AA26" s="1488">
        <f t="shared" si="3"/>
        <v>1</v>
      </c>
      <c r="AB26" s="1488">
        <f t="shared" si="4"/>
        <v>1</v>
      </c>
      <c r="AC26" s="1488">
        <f t="shared" si="5"/>
        <v>1</v>
      </c>
    </row>
    <row r="27" spans="1:29" s="113" customFormat="1" ht="15">
      <c r="A27" s="390"/>
      <c r="B27" s="410" t="s">
        <v>2237</v>
      </c>
      <c r="C27" s="2093"/>
      <c r="D27" s="421">
        <v>100</v>
      </c>
      <c r="E27" s="2093"/>
      <c r="F27" s="423">
        <f>SUMIF(90:90,E27,91:91)-SUMIF(90:90,C27,91:91)+100</f>
        <v>100</v>
      </c>
      <c r="G27" s="2093"/>
      <c r="H27" s="421">
        <f>SUMIF(90:90,G27,91:91)-SUMIF(90:90,C27,91:91)+100</f>
        <v>100</v>
      </c>
      <c r="I27" s="2093"/>
      <c r="J27" s="421">
        <f>SUMIF(90:90,I27,91:91)-SUMIF(90:90,C27,91:91)+100</f>
        <v>100</v>
      </c>
      <c r="K27" s="569"/>
      <c r="L27" s="2896"/>
      <c r="M27" s="2897"/>
      <c r="N27" s="2897"/>
      <c r="O27" s="2897"/>
      <c r="P27" s="3495"/>
      <c r="Q27" s="1478" t="str">
        <f t="shared" si="11"/>
        <v>人流量</v>
      </c>
      <c r="R27" s="710" t="s">
        <v>17</v>
      </c>
      <c r="S27" s="711">
        <f>F27</f>
        <v>100</v>
      </c>
      <c r="T27" s="710" t="s">
        <v>17</v>
      </c>
      <c r="U27" s="711">
        <f>H27</f>
        <v>100</v>
      </c>
      <c r="V27" s="710" t="s">
        <v>17</v>
      </c>
      <c r="W27" s="711">
        <f>J27</f>
        <v>100</v>
      </c>
      <c r="X27" s="712"/>
      <c r="Y27" s="3488"/>
      <c r="Z27" s="55" t="str">
        <f>Q27</f>
        <v>人流量</v>
      </c>
      <c r="AA27" s="1488">
        <f>D27/F27</f>
        <v>1</v>
      </c>
      <c r="AB27" s="1488">
        <f>D27/H27</f>
        <v>1</v>
      </c>
      <c r="AC27" s="1488">
        <f>D27/J27</f>
        <v>1</v>
      </c>
    </row>
    <row r="28" spans="1:29" ht="15">
      <c r="A28" s="387"/>
      <c r="B28" s="381" t="s">
        <v>2238</v>
      </c>
      <c r="C28" s="573"/>
      <c r="D28" s="394">
        <v>100</v>
      </c>
      <c r="E28" s="573"/>
      <c r="F28" s="420">
        <f>SUMIF(92:92,E28,93:93)-SUMIF(92:92,C28,93:93)+100</f>
        <v>100</v>
      </c>
      <c r="G28" s="573"/>
      <c r="H28" s="394">
        <f>SUMIF(92:92,G28,93:93)-SUMIF(92:92,C28,93:93)+100</f>
        <v>100</v>
      </c>
      <c r="I28" s="573"/>
      <c r="J28" s="394">
        <f>SUMIF(92:92,I28,93:93)-SUMIF(92:92,C28,93:93)+100</f>
        <v>100</v>
      </c>
      <c r="K28" s="570"/>
      <c r="L28" s="2901"/>
      <c r="M28" s="2895"/>
      <c r="N28" s="2895"/>
      <c r="O28" s="2895"/>
      <c r="P28" s="3495"/>
      <c r="Q28" s="1487" t="str">
        <f t="shared" si="11"/>
        <v>楼层</v>
      </c>
      <c r="R28" s="714" t="s">
        <v>17</v>
      </c>
      <c r="S28" s="715">
        <f t="shared" ref="S28:S46" si="12">F28</f>
        <v>100</v>
      </c>
      <c r="T28" s="714" t="s">
        <v>17</v>
      </c>
      <c r="U28" s="715">
        <f t="shared" ref="U28:U46" si="13">H28</f>
        <v>100</v>
      </c>
      <c r="V28" s="714" t="s">
        <v>17</v>
      </c>
      <c r="W28" s="715">
        <f t="shared" ref="W28:W46" si="14">J28</f>
        <v>100</v>
      </c>
      <c r="X28" s="1490"/>
      <c r="Y28" s="3488"/>
      <c r="Z28" s="1491" t="str">
        <f t="shared" ref="Z28:Z46" si="15">Q28</f>
        <v>楼层</v>
      </c>
      <c r="AA28" s="1488">
        <f t="shared" si="3"/>
        <v>1</v>
      </c>
      <c r="AB28" s="1488">
        <f t="shared" si="4"/>
        <v>1</v>
      </c>
      <c r="AC28" s="1488">
        <f t="shared" si="5"/>
        <v>1</v>
      </c>
    </row>
    <row r="29" spans="1:29" ht="15">
      <c r="A29" s="387"/>
      <c r="B29" s="1248">
        <v>111</v>
      </c>
      <c r="C29" s="393"/>
      <c r="D29" s="394">
        <v>100</v>
      </c>
      <c r="E29" s="393"/>
      <c r="F29" s="420">
        <f>SUMIF(94:94,E29,95:95)-SUMIF(94:94,C29,95:95)+100</f>
        <v>100</v>
      </c>
      <c r="G29" s="393"/>
      <c r="H29" s="394">
        <f>SUMIF(94:94,G29,95:95)-SUMIF(94:94,C29,95:95)+100</f>
        <v>100</v>
      </c>
      <c r="I29" s="393"/>
      <c r="J29" s="394">
        <f>SUMIF(94:94,I29,95:95)-SUMIF(94:94,C29,95:95)+100</f>
        <v>100</v>
      </c>
      <c r="K29" s="570"/>
      <c r="L29" s="2901"/>
      <c r="M29" s="2895"/>
      <c r="N29" s="2895"/>
      <c r="O29" s="2895"/>
      <c r="P29" s="3495"/>
      <c r="Q29" s="1487">
        <f t="shared" si="11"/>
        <v>111</v>
      </c>
      <c r="R29" s="714" t="s">
        <v>17</v>
      </c>
      <c r="S29" s="715">
        <f t="shared" si="12"/>
        <v>100</v>
      </c>
      <c r="T29" s="714" t="s">
        <v>17</v>
      </c>
      <c r="U29" s="715">
        <f t="shared" si="13"/>
        <v>100</v>
      </c>
      <c r="V29" s="714" t="s">
        <v>17</v>
      </c>
      <c r="W29" s="715">
        <f t="shared" si="14"/>
        <v>100</v>
      </c>
      <c r="X29" s="1490"/>
      <c r="Y29" s="3488"/>
      <c r="Z29" s="1491">
        <f t="shared" si="15"/>
        <v>111</v>
      </c>
      <c r="AA29" s="1488">
        <f t="shared" si="3"/>
        <v>1</v>
      </c>
      <c r="AB29" s="1488">
        <f t="shared" si="4"/>
        <v>1</v>
      </c>
      <c r="AC29" s="1488">
        <f t="shared" si="5"/>
        <v>1</v>
      </c>
    </row>
    <row r="30" spans="1:29" ht="15">
      <c r="A30" s="387"/>
      <c r="B30" s="1248">
        <v>111</v>
      </c>
      <c r="C30" s="393"/>
      <c r="D30" s="394">
        <v>100</v>
      </c>
      <c r="E30" s="393"/>
      <c r="F30" s="420">
        <f>SUMIF(96:96,E30,97:97)-SUMIF(96:96,C30,97:97)+100</f>
        <v>100</v>
      </c>
      <c r="G30" s="393"/>
      <c r="H30" s="394">
        <f>SUMIF(96:96,G30,97:97)-SUMIF(96:96,C30,97:97)+100</f>
        <v>100</v>
      </c>
      <c r="I30" s="393"/>
      <c r="J30" s="394">
        <f>SUMIF(96:96,I30,97:97)-SUMIF(96:96,C30,97:97)+100</f>
        <v>100</v>
      </c>
      <c r="K30" s="570"/>
      <c r="L30" s="2901"/>
      <c r="M30" s="2895"/>
      <c r="N30" s="2895"/>
      <c r="O30" s="2895"/>
      <c r="P30" s="3495"/>
      <c r="Q30" s="1487">
        <f t="shared" si="11"/>
        <v>111</v>
      </c>
      <c r="R30" s="714" t="s">
        <v>17</v>
      </c>
      <c r="S30" s="715">
        <f t="shared" si="12"/>
        <v>100</v>
      </c>
      <c r="T30" s="714" t="s">
        <v>17</v>
      </c>
      <c r="U30" s="715">
        <f t="shared" si="13"/>
        <v>100</v>
      </c>
      <c r="V30" s="714" t="s">
        <v>17</v>
      </c>
      <c r="W30" s="715">
        <f t="shared" si="14"/>
        <v>100</v>
      </c>
      <c r="X30" s="1490"/>
      <c r="Y30" s="3488"/>
      <c r="Z30" s="1491">
        <f t="shared" si="15"/>
        <v>111</v>
      </c>
      <c r="AA30" s="1488">
        <f t="shared" si="3"/>
        <v>1</v>
      </c>
      <c r="AB30" s="1488">
        <f t="shared" si="4"/>
        <v>1</v>
      </c>
      <c r="AC30" s="1488">
        <f t="shared" si="5"/>
        <v>1</v>
      </c>
    </row>
    <row r="31" spans="1:29" ht="15.75" thickBot="1">
      <c r="A31" s="395"/>
      <c r="B31" s="1248">
        <v>111</v>
      </c>
      <c r="C31" s="396"/>
      <c r="D31" s="397">
        <v>100</v>
      </c>
      <c r="E31" s="393"/>
      <c r="F31" s="398">
        <f>SUMIF(98:98,E31,99:99)-SUMIF(98:98,C31,99:99)+100</f>
        <v>100</v>
      </c>
      <c r="G31" s="393"/>
      <c r="H31" s="397">
        <f>SUMIF(98:98,G31,99:99)-SUMIF(98:98,C31,99:99)+100</f>
        <v>100</v>
      </c>
      <c r="I31" s="393"/>
      <c r="J31" s="397">
        <f>SUMIF(98:98,I31,99:99)-SUMIF(98:98,C31,99:99)+100</f>
        <v>100</v>
      </c>
      <c r="K31" s="570"/>
      <c r="L31" s="2901"/>
      <c r="M31" s="2895"/>
      <c r="N31" s="2895"/>
      <c r="O31" s="2895"/>
      <c r="P31" s="3495"/>
      <c r="Q31" s="1487">
        <f t="shared" si="11"/>
        <v>111</v>
      </c>
      <c r="R31" s="714" t="s">
        <v>17</v>
      </c>
      <c r="S31" s="715">
        <f t="shared" si="12"/>
        <v>100</v>
      </c>
      <c r="T31" s="714" t="s">
        <v>17</v>
      </c>
      <c r="U31" s="715">
        <f t="shared" si="13"/>
        <v>100</v>
      </c>
      <c r="V31" s="714" t="s">
        <v>17</v>
      </c>
      <c r="W31" s="715">
        <f t="shared" si="14"/>
        <v>100</v>
      </c>
      <c r="X31" s="1490"/>
      <c r="Y31" s="3488"/>
      <c r="Z31" s="1491">
        <f t="shared" si="15"/>
        <v>111</v>
      </c>
      <c r="AA31" s="1488">
        <f t="shared" si="3"/>
        <v>1</v>
      </c>
      <c r="AB31" s="1488">
        <f t="shared" si="4"/>
        <v>1</v>
      </c>
      <c r="AC31" s="1488">
        <f t="shared" si="5"/>
        <v>1</v>
      </c>
    </row>
    <row r="32" spans="1:29" ht="15">
      <c r="A32" s="399" t="s">
        <v>2142</v>
      </c>
      <c r="B32" s="67" t="s">
        <v>2239</v>
      </c>
      <c r="C32" s="2047"/>
      <c r="D32" s="426">
        <v>100</v>
      </c>
      <c r="E32" s="2047"/>
      <c r="F32" s="420">
        <f>SUMIF(100:100,E32,101:101)-SUMIF(100:100,C32,101:101)+100</f>
        <v>100</v>
      </c>
      <c r="G32" s="2047"/>
      <c r="H32" s="394">
        <f>SUMIF(100:100,G32,101:101)-SUMIF(100:100,C32,101:101)+100</f>
        <v>100</v>
      </c>
      <c r="I32" s="2047"/>
      <c r="J32" s="426">
        <f>SUMIF(100:100,I32,101:101)-SUMIF(100:100,C32,101:101)+100</f>
        <v>100</v>
      </c>
      <c r="K32" s="569"/>
      <c r="L32" s="2901"/>
      <c r="M32" s="2895"/>
      <c r="N32" s="2895"/>
      <c r="O32" s="2895"/>
      <c r="P32" s="3489" t="s">
        <v>2144</v>
      </c>
      <c r="Q32" s="1487" t="str">
        <f t="shared" si="11"/>
        <v>商业类型</v>
      </c>
      <c r="R32" s="714" t="s">
        <v>17</v>
      </c>
      <c r="S32" s="715">
        <f t="shared" si="12"/>
        <v>100</v>
      </c>
      <c r="T32" s="714" t="s">
        <v>17</v>
      </c>
      <c r="U32" s="715">
        <f t="shared" si="13"/>
        <v>100</v>
      </c>
      <c r="V32" s="714" t="s">
        <v>17</v>
      </c>
      <c r="W32" s="715">
        <f t="shared" si="14"/>
        <v>100</v>
      </c>
      <c r="X32" s="1490"/>
      <c r="Y32" s="3492" t="s">
        <v>2144</v>
      </c>
      <c r="Z32" s="1491" t="str">
        <f t="shared" si="15"/>
        <v>商业类型</v>
      </c>
      <c r="AA32" s="1488">
        <f t="shared" si="3"/>
        <v>1</v>
      </c>
      <c r="AB32" s="1488">
        <f t="shared" si="4"/>
        <v>1</v>
      </c>
      <c r="AC32" s="1488">
        <f t="shared" si="5"/>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00"/>
      <c r="M33" s="2902"/>
      <c r="N33" s="2902"/>
      <c r="O33" s="2902"/>
      <c r="P33" s="3490"/>
      <c r="Q33" s="716" t="str">
        <f t="shared" si="11"/>
        <v>项目建筑规模</v>
      </c>
      <c r="R33" s="717" t="s">
        <v>17</v>
      </c>
      <c r="S33" s="718" t="e">
        <f t="shared" si="12"/>
        <v>#N/A</v>
      </c>
      <c r="T33" s="717" t="s">
        <v>17</v>
      </c>
      <c r="U33" s="718" t="e">
        <f t="shared" si="13"/>
        <v>#N/A</v>
      </c>
      <c r="V33" s="717" t="s">
        <v>17</v>
      </c>
      <c r="W33" s="718" t="e">
        <f t="shared" si="14"/>
        <v>#N/A</v>
      </c>
      <c r="X33" s="719"/>
      <c r="Y33" s="3492"/>
      <c r="Z33" s="720" t="str">
        <f t="shared" si="15"/>
        <v>项目建筑规模</v>
      </c>
      <c r="AA33" s="1488" t="e">
        <f t="shared" si="3"/>
        <v>#N/A</v>
      </c>
      <c r="AB33" s="1488" t="e">
        <f t="shared" si="4"/>
        <v>#N/A</v>
      </c>
      <c r="AC33" s="1488" t="e">
        <f t="shared" si="5"/>
        <v>#N/A</v>
      </c>
    </row>
    <row r="34" spans="1:29" ht="15">
      <c r="A34" s="431"/>
      <c r="B34" s="381" t="s">
        <v>2146</v>
      </c>
      <c r="C34" s="2049"/>
      <c r="D34" s="394">
        <v>100</v>
      </c>
      <c r="E34" s="2049"/>
      <c r="F34" s="420">
        <f>SUMIF(105:105,E34,106:106)-SUMIF(105:105,C34,106:106)+100</f>
        <v>100</v>
      </c>
      <c r="G34" s="2049"/>
      <c r="H34" s="394">
        <f>SUMIF(105:105,G34,106:106)-SUMIF(105:105,C34,106:106)+100</f>
        <v>100</v>
      </c>
      <c r="I34" s="2049"/>
      <c r="J34" s="394">
        <f>SUMIF(105:105,I34,106:106)-SUMIF(105:105,C34,106:106)+100</f>
        <v>100</v>
      </c>
      <c r="K34" s="569"/>
      <c r="L34" s="2901"/>
      <c r="M34" s="2895"/>
      <c r="N34" s="2895"/>
      <c r="O34" s="2895"/>
      <c r="P34" s="3490"/>
      <c r="Q34" s="1487" t="str">
        <f t="shared" si="11"/>
        <v>建筑结构</v>
      </c>
      <c r="R34" s="714" t="s">
        <v>17</v>
      </c>
      <c r="S34" s="715">
        <f t="shared" si="12"/>
        <v>100</v>
      </c>
      <c r="T34" s="714" t="s">
        <v>17</v>
      </c>
      <c r="U34" s="715">
        <f t="shared" si="13"/>
        <v>100</v>
      </c>
      <c r="V34" s="714" t="s">
        <v>17</v>
      </c>
      <c r="W34" s="715">
        <f t="shared" si="14"/>
        <v>100</v>
      </c>
      <c r="X34" s="1490"/>
      <c r="Y34" s="3492"/>
      <c r="Z34" s="1491" t="str">
        <f t="shared" si="15"/>
        <v>建筑结构</v>
      </c>
      <c r="AA34" s="1488">
        <f t="shared" si="3"/>
        <v>1</v>
      </c>
      <c r="AB34" s="1488">
        <f t="shared" si="4"/>
        <v>1</v>
      </c>
      <c r="AC34" s="1488">
        <f t="shared" si="5"/>
        <v>1</v>
      </c>
    </row>
    <row r="35" spans="1:29" ht="15">
      <c r="A35" s="431"/>
      <c r="B35" s="381" t="s">
        <v>2240</v>
      </c>
      <c r="C35" s="2043"/>
      <c r="D35" s="394">
        <v>100</v>
      </c>
      <c r="E35" s="2043"/>
      <c r="F35" s="420">
        <f>SUMIF(107:107,E35,108:108)-SUMIF(107:107,C35,108:108)+100</f>
        <v>100</v>
      </c>
      <c r="G35" s="2043"/>
      <c r="H35" s="394">
        <f>SUMIF(107:107,G35,108:108)-SUMIF(107:107,C35,108:108)+100</f>
        <v>100</v>
      </c>
      <c r="I35" s="2043"/>
      <c r="J35" s="394">
        <f>SUMIF(107:107,I35,108:108)-SUMIF(107:107,C35,108:108)+100</f>
        <v>100</v>
      </c>
      <c r="K35" s="569"/>
      <c r="L35" s="2901"/>
      <c r="M35" s="2895"/>
      <c r="N35" s="2895"/>
      <c r="O35" s="2895"/>
      <c r="P35" s="3490"/>
      <c r="Q35" s="1487" t="str">
        <f t="shared" si="11"/>
        <v>公共部分装修</v>
      </c>
      <c r="R35" s="714" t="s">
        <v>17</v>
      </c>
      <c r="S35" s="715">
        <f t="shared" si="12"/>
        <v>100</v>
      </c>
      <c r="T35" s="714" t="s">
        <v>17</v>
      </c>
      <c r="U35" s="715">
        <f t="shared" si="13"/>
        <v>100</v>
      </c>
      <c r="V35" s="714" t="s">
        <v>17</v>
      </c>
      <c r="W35" s="715">
        <f t="shared" si="14"/>
        <v>100</v>
      </c>
      <c r="X35" s="1490"/>
      <c r="Y35" s="3492"/>
      <c r="Z35" s="1491" t="str">
        <f t="shared" si="15"/>
        <v>公共部分装修</v>
      </c>
      <c r="AA35" s="1488">
        <f t="shared" si="3"/>
        <v>1</v>
      </c>
      <c r="AB35" s="1488">
        <f t="shared" si="4"/>
        <v>1</v>
      </c>
      <c r="AC35" s="1488">
        <f t="shared" si="5"/>
        <v>1</v>
      </c>
    </row>
    <row r="36" spans="1:29" ht="15">
      <c r="A36" s="431"/>
      <c r="B36" s="381" t="s">
        <v>2241</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01"/>
      <c r="M36" s="2895"/>
      <c r="N36" s="2895"/>
      <c r="O36" s="2895"/>
      <c r="P36" s="3490"/>
      <c r="Q36" s="1487" t="str">
        <f t="shared" si="11"/>
        <v>成新度</v>
      </c>
      <c r="R36" s="714" t="s">
        <v>17</v>
      </c>
      <c r="S36" s="715" t="e">
        <f t="shared" si="12"/>
        <v>#N/A</v>
      </c>
      <c r="T36" s="714" t="s">
        <v>17</v>
      </c>
      <c r="U36" s="715" t="e">
        <f t="shared" si="13"/>
        <v>#N/A</v>
      </c>
      <c r="V36" s="714" t="s">
        <v>17</v>
      </c>
      <c r="W36" s="715" t="e">
        <f t="shared" si="14"/>
        <v>#N/A</v>
      </c>
      <c r="X36" s="1490"/>
      <c r="Y36" s="3492"/>
      <c r="Z36" s="1491" t="str">
        <f t="shared" si="15"/>
        <v>成新度</v>
      </c>
      <c r="AA36" s="1488" t="e">
        <f t="shared" si="3"/>
        <v>#N/A</v>
      </c>
      <c r="AB36" s="1488" t="e">
        <f t="shared" si="4"/>
        <v>#N/A</v>
      </c>
      <c r="AC36" s="1488" t="e">
        <f t="shared" si="5"/>
        <v>#N/A</v>
      </c>
    </row>
    <row r="37" spans="1:29" s="113" customFormat="1" ht="15">
      <c r="A37" s="432"/>
      <c r="B37" s="381" t="s">
        <v>2242</v>
      </c>
      <c r="C37" s="2043"/>
      <c r="D37" s="132">
        <v>100</v>
      </c>
      <c r="E37" s="2043"/>
      <c r="F37" s="420">
        <f>SUMIF(112:112,E37,113:113)-SUMIF(112:112,C37,113:113)+100</f>
        <v>100</v>
      </c>
      <c r="G37" s="2043"/>
      <c r="H37" s="394">
        <f>SUMIF(112:112,G37,113:113)-SUMIF(112:112,C37,113:113)+100</f>
        <v>100</v>
      </c>
      <c r="I37" s="2043"/>
      <c r="J37" s="394">
        <f>SUMIF(112:112,I37,113:113)-SUMIF(112:112,C37,113:113)+100</f>
        <v>100</v>
      </c>
      <c r="K37" s="569"/>
      <c r="L37" s="2896"/>
      <c r="M37" s="2897"/>
      <c r="N37" s="2897"/>
      <c r="O37" s="2897"/>
      <c r="P37" s="3490"/>
      <c r="Q37" s="1478" t="str">
        <f t="shared" si="11"/>
        <v>市政基础设施</v>
      </c>
      <c r="R37" s="710" t="s">
        <v>17</v>
      </c>
      <c r="S37" s="711">
        <f t="shared" si="12"/>
        <v>100</v>
      </c>
      <c r="T37" s="710" t="s">
        <v>17</v>
      </c>
      <c r="U37" s="711">
        <f t="shared" si="13"/>
        <v>100</v>
      </c>
      <c r="V37" s="710" t="s">
        <v>17</v>
      </c>
      <c r="W37" s="711">
        <f t="shared" si="14"/>
        <v>100</v>
      </c>
      <c r="X37" s="712"/>
      <c r="Y37" s="3492"/>
      <c r="Z37" s="55" t="str">
        <f t="shared" si="15"/>
        <v>市政基础设施</v>
      </c>
      <c r="AA37" s="713">
        <f t="shared" si="3"/>
        <v>1</v>
      </c>
      <c r="AB37" s="713">
        <f t="shared" si="4"/>
        <v>1</v>
      </c>
      <c r="AC37" s="713">
        <f t="shared" si="5"/>
        <v>1</v>
      </c>
    </row>
    <row r="38" spans="1:29" ht="15">
      <c r="A38" s="431"/>
      <c r="B38" s="381" t="s">
        <v>2243</v>
      </c>
      <c r="C38" s="2043"/>
      <c r="D38" s="394">
        <v>100</v>
      </c>
      <c r="E38" s="2043"/>
      <c r="F38" s="420">
        <f>SUMIF(114:114,E38,115:115)-SUMIF(114:114,C38,115:115)+100</f>
        <v>100</v>
      </c>
      <c r="G38" s="2043"/>
      <c r="H38" s="394">
        <f>SUMIF(114:114,G38,115:115)-SUMIF(114:114,C38,115:115)+100</f>
        <v>100</v>
      </c>
      <c r="I38" s="2043"/>
      <c r="J38" s="394">
        <f>SUMIF(114:114,I38,115:115)-SUMIF(114:114,C38,115:115)+100</f>
        <v>100</v>
      </c>
      <c r="K38" s="569"/>
      <c r="L38" s="2901"/>
      <c r="M38" s="2895"/>
      <c r="N38" s="2895"/>
      <c r="O38" s="2895"/>
      <c r="P38" s="3490" t="s">
        <v>2144</v>
      </c>
      <c r="Q38" s="1487" t="str">
        <f t="shared" si="11"/>
        <v>业态</v>
      </c>
      <c r="R38" s="714" t="s">
        <v>17</v>
      </c>
      <c r="S38" s="715">
        <f t="shared" si="12"/>
        <v>100</v>
      </c>
      <c r="T38" s="714" t="s">
        <v>17</v>
      </c>
      <c r="U38" s="715">
        <f t="shared" si="13"/>
        <v>100</v>
      </c>
      <c r="V38" s="714" t="s">
        <v>17</v>
      </c>
      <c r="W38" s="715">
        <f t="shared" si="14"/>
        <v>100</v>
      </c>
      <c r="X38" s="1490"/>
      <c r="Y38" s="3492" t="s">
        <v>2144</v>
      </c>
      <c r="Z38" s="1491" t="str">
        <f t="shared" si="15"/>
        <v>业态</v>
      </c>
      <c r="AA38" s="1488">
        <f t="shared" si="3"/>
        <v>1</v>
      </c>
      <c r="AB38" s="1488">
        <f t="shared" si="4"/>
        <v>1</v>
      </c>
      <c r="AC38" s="1488">
        <f t="shared" si="5"/>
        <v>1</v>
      </c>
    </row>
    <row r="39" spans="1:29" ht="15">
      <c r="A39" s="431"/>
      <c r="B39" s="381" t="s">
        <v>2244</v>
      </c>
      <c r="C39" s="2043"/>
      <c r="D39" s="394">
        <v>100</v>
      </c>
      <c r="E39" s="2043"/>
      <c r="F39" s="420">
        <f>SUMIF(116:116,E39,117:117)-SUMIF(116:116,C39,117:117)+100</f>
        <v>100</v>
      </c>
      <c r="G39" s="2043"/>
      <c r="H39" s="394">
        <f>SUMIF(116:116,G39,117:117)-SUMIF(116:116,C39,117:117)+100</f>
        <v>100</v>
      </c>
      <c r="I39" s="2043"/>
      <c r="J39" s="394">
        <f>SUMIF(116:116,I39,117:117)-SUMIF(116:116,C39,117:117)+100</f>
        <v>100</v>
      </c>
      <c r="K39" s="569"/>
      <c r="L39" s="2901"/>
      <c r="M39" s="2895"/>
      <c r="N39" s="2895"/>
      <c r="O39" s="2895"/>
      <c r="P39" s="3490"/>
      <c r="Q39" s="1487" t="str">
        <f t="shared" si="11"/>
        <v>层高</v>
      </c>
      <c r="R39" s="714" t="s">
        <v>17</v>
      </c>
      <c r="S39" s="715">
        <f t="shared" si="12"/>
        <v>100</v>
      </c>
      <c r="T39" s="714" t="s">
        <v>17</v>
      </c>
      <c r="U39" s="715">
        <f t="shared" si="13"/>
        <v>100</v>
      </c>
      <c r="V39" s="714" t="s">
        <v>17</v>
      </c>
      <c r="W39" s="715">
        <f t="shared" si="14"/>
        <v>100</v>
      </c>
      <c r="X39" s="1490"/>
      <c r="Y39" s="3492"/>
      <c r="Z39" s="1491" t="str">
        <f t="shared" si="15"/>
        <v>层高</v>
      </c>
      <c r="AA39" s="1488">
        <f t="shared" si="3"/>
        <v>1</v>
      </c>
      <c r="AB39" s="1488">
        <f t="shared" si="4"/>
        <v>1</v>
      </c>
      <c r="AC39" s="1488">
        <f t="shared" si="5"/>
        <v>1</v>
      </c>
    </row>
    <row r="40" spans="1:29" ht="15">
      <c r="A40" s="431"/>
      <c r="B40" s="381" t="s">
        <v>2245</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01"/>
      <c r="M40" s="2895"/>
      <c r="N40" s="2895"/>
      <c r="O40" s="2895"/>
      <c r="P40" s="3490"/>
      <c r="Q40" s="1487" t="str">
        <f t="shared" si="11"/>
        <v>单套建筑面积</v>
      </c>
      <c r="R40" s="714" t="s">
        <v>17</v>
      </c>
      <c r="S40" s="715">
        <f t="shared" si="12"/>
        <v>100</v>
      </c>
      <c r="T40" s="714" t="s">
        <v>17</v>
      </c>
      <c r="U40" s="715">
        <f t="shared" si="13"/>
        <v>100</v>
      </c>
      <c r="V40" s="714" t="s">
        <v>17</v>
      </c>
      <c r="W40" s="715">
        <f t="shared" si="14"/>
        <v>100</v>
      </c>
      <c r="X40" s="1490"/>
      <c r="Y40" s="3492"/>
      <c r="Z40" s="1491" t="str">
        <f t="shared" si="15"/>
        <v>单套建筑面积</v>
      </c>
      <c r="AA40" s="1488">
        <f t="shared" si="3"/>
        <v>1</v>
      </c>
      <c r="AB40" s="1488">
        <f t="shared" si="4"/>
        <v>1</v>
      </c>
      <c r="AC40" s="1488">
        <f t="shared" si="5"/>
        <v>1</v>
      </c>
    </row>
    <row r="41" spans="1:29" s="430" customFormat="1" ht="15">
      <c r="A41" s="427"/>
      <c r="B41" s="1489" t="s">
        <v>2246</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00"/>
      <c r="M41" s="2902"/>
      <c r="N41" s="2902"/>
      <c r="O41" s="2902"/>
      <c r="P41" s="3490"/>
      <c r="Q41" s="716" t="str">
        <f t="shared" si="11"/>
        <v>进深比</v>
      </c>
      <c r="R41" s="717" t="s">
        <v>17</v>
      </c>
      <c r="S41" s="718">
        <f t="shared" si="12"/>
        <v>100</v>
      </c>
      <c r="T41" s="717" t="s">
        <v>17</v>
      </c>
      <c r="U41" s="718">
        <f t="shared" si="13"/>
        <v>100</v>
      </c>
      <c r="V41" s="717" t="s">
        <v>17</v>
      </c>
      <c r="W41" s="718">
        <f t="shared" si="14"/>
        <v>100</v>
      </c>
      <c r="X41" s="719"/>
      <c r="Y41" s="3492"/>
      <c r="Z41" s="720" t="str">
        <f t="shared" si="15"/>
        <v>进深比</v>
      </c>
      <c r="AA41" s="1488">
        <f t="shared" si="3"/>
        <v>1</v>
      </c>
      <c r="AB41" s="1488">
        <f t="shared" si="4"/>
        <v>1</v>
      </c>
      <c r="AC41" s="1488">
        <f t="shared" si="5"/>
        <v>1</v>
      </c>
    </row>
    <row r="42" spans="1:29" ht="15">
      <c r="A42" s="431"/>
      <c r="B42" s="381" t="s">
        <v>2247</v>
      </c>
      <c r="C42" s="2043"/>
      <c r="D42" s="394">
        <v>100</v>
      </c>
      <c r="E42" s="2043"/>
      <c r="F42" s="420">
        <f>SUMIF(122:122,E42,123:123)-SUMIF(122:122,C42,123:123)+100</f>
        <v>100</v>
      </c>
      <c r="G42" s="2043"/>
      <c r="H42" s="394">
        <f>SUMIF(122:122,G42,123:123)-SUMIF(122:122,C42,123:123)+100</f>
        <v>100</v>
      </c>
      <c r="I42" s="2043"/>
      <c r="J42" s="394">
        <f>SUMIF(122:122,I42,123:123)-SUMIF(122:122,C42,123:123)+100</f>
        <v>100</v>
      </c>
      <c r="K42" s="569"/>
      <c r="L42" s="2901"/>
      <c r="M42" s="2895"/>
      <c r="N42" s="2895"/>
      <c r="O42" s="2895"/>
      <c r="P42" s="3490"/>
      <c r="Q42" s="1487" t="str">
        <f t="shared" si="11"/>
        <v>内部装修</v>
      </c>
      <c r="R42" s="714" t="s">
        <v>17</v>
      </c>
      <c r="S42" s="715">
        <f t="shared" si="12"/>
        <v>100</v>
      </c>
      <c r="T42" s="714" t="s">
        <v>17</v>
      </c>
      <c r="U42" s="715">
        <f t="shared" si="13"/>
        <v>100</v>
      </c>
      <c r="V42" s="714" t="s">
        <v>17</v>
      </c>
      <c r="W42" s="715">
        <f t="shared" si="14"/>
        <v>100</v>
      </c>
      <c r="X42" s="1490"/>
      <c r="Y42" s="3492"/>
      <c r="Z42" s="1491" t="str">
        <f t="shared" si="15"/>
        <v>内部装修</v>
      </c>
      <c r="AA42" s="1488">
        <f t="shared" si="3"/>
        <v>1</v>
      </c>
      <c r="AB42" s="1488">
        <f t="shared" si="4"/>
        <v>1</v>
      </c>
      <c r="AC42" s="1488">
        <f t="shared" si="5"/>
        <v>1</v>
      </c>
    </row>
    <row r="43" spans="1:29" ht="15">
      <c r="A43" s="431"/>
      <c r="B43" s="381" t="s">
        <v>2155</v>
      </c>
      <c r="C43" s="2043"/>
      <c r="D43" s="394">
        <v>100</v>
      </c>
      <c r="E43" s="2043"/>
      <c r="F43" s="420">
        <f>SUMIF(124:124,E43,125:125)-SUMIF(124:124,C43,125:125)+100</f>
        <v>100</v>
      </c>
      <c r="G43" s="2043"/>
      <c r="H43" s="394">
        <f>SUMIF(124:124,G43,125:125)-SUMIF(124:124,C43,125:125)+100</f>
        <v>100</v>
      </c>
      <c r="I43" s="2043"/>
      <c r="J43" s="394">
        <f>SUMIF(124:124,I43,125:125)-SUMIF(124:124,C43,125:125)+100</f>
        <v>100</v>
      </c>
      <c r="K43" s="569"/>
      <c r="L43" s="2901"/>
      <c r="M43" s="2895"/>
      <c r="N43" s="2895"/>
      <c r="O43" s="2895"/>
      <c r="P43" s="3490"/>
      <c r="Q43" s="1487" t="str">
        <f t="shared" si="11"/>
        <v>内部装修维护情况</v>
      </c>
      <c r="R43" s="714" t="s">
        <v>17</v>
      </c>
      <c r="S43" s="715">
        <f t="shared" si="12"/>
        <v>100</v>
      </c>
      <c r="T43" s="714" t="s">
        <v>17</v>
      </c>
      <c r="U43" s="715">
        <f t="shared" si="13"/>
        <v>100</v>
      </c>
      <c r="V43" s="714" t="s">
        <v>17</v>
      </c>
      <c r="W43" s="715">
        <f t="shared" si="14"/>
        <v>100</v>
      </c>
      <c r="X43" s="1490"/>
      <c r="Y43" s="3492"/>
      <c r="Z43" s="1491" t="str">
        <f t="shared" si="15"/>
        <v>内部装修维护情况</v>
      </c>
      <c r="AA43" s="1488">
        <f t="shared" si="3"/>
        <v>1</v>
      </c>
      <c r="AB43" s="1488">
        <f t="shared" si="4"/>
        <v>1</v>
      </c>
      <c r="AC43" s="1488">
        <f t="shared" si="5"/>
        <v>1</v>
      </c>
    </row>
    <row r="44" spans="1:29" s="113" customFormat="1" ht="15">
      <c r="A44" s="432"/>
      <c r="B44" s="1248">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896"/>
      <c r="M44" s="2897"/>
      <c r="N44" s="2897"/>
      <c r="O44" s="2897"/>
      <c r="P44" s="3490"/>
      <c r="Q44" s="1478">
        <f t="shared" si="11"/>
        <v>111</v>
      </c>
      <c r="R44" s="710" t="s">
        <v>17</v>
      </c>
      <c r="S44" s="711">
        <f t="shared" si="12"/>
        <v>100</v>
      </c>
      <c r="T44" s="710" t="s">
        <v>17</v>
      </c>
      <c r="U44" s="711">
        <f t="shared" si="13"/>
        <v>100</v>
      </c>
      <c r="V44" s="710" t="s">
        <v>17</v>
      </c>
      <c r="W44" s="711">
        <f t="shared" si="14"/>
        <v>100</v>
      </c>
      <c r="X44" s="712"/>
      <c r="Y44" s="3492"/>
      <c r="Z44" s="55">
        <f t="shared" si="15"/>
        <v>111</v>
      </c>
      <c r="AA44" s="713">
        <f t="shared" si="3"/>
        <v>1</v>
      </c>
      <c r="AB44" s="713">
        <f t="shared" si="4"/>
        <v>1</v>
      </c>
      <c r="AC44" s="713">
        <f t="shared" si="5"/>
        <v>1</v>
      </c>
    </row>
    <row r="45" spans="1:29" ht="15">
      <c r="A45" s="431"/>
      <c r="B45" s="1248">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01"/>
      <c r="M45" s="2895"/>
      <c r="N45" s="2895"/>
      <c r="O45" s="2895"/>
      <c r="P45" s="3490"/>
      <c r="Q45" s="1487">
        <f t="shared" si="11"/>
        <v>111</v>
      </c>
      <c r="R45" s="714" t="s">
        <v>17</v>
      </c>
      <c r="S45" s="715">
        <f t="shared" si="12"/>
        <v>100</v>
      </c>
      <c r="T45" s="714" t="s">
        <v>17</v>
      </c>
      <c r="U45" s="715">
        <f t="shared" si="13"/>
        <v>100</v>
      </c>
      <c r="V45" s="714" t="s">
        <v>17</v>
      </c>
      <c r="W45" s="715">
        <f t="shared" si="14"/>
        <v>100</v>
      </c>
      <c r="X45" s="1490"/>
      <c r="Y45" s="3492"/>
      <c r="Z45" s="1491">
        <f t="shared" si="15"/>
        <v>111</v>
      </c>
      <c r="AA45" s="1488">
        <f t="shared" si="3"/>
        <v>1</v>
      </c>
      <c r="AB45" s="1488">
        <f t="shared" si="4"/>
        <v>1</v>
      </c>
      <c r="AC45" s="1488">
        <f t="shared" si="5"/>
        <v>1</v>
      </c>
    </row>
    <row r="46" spans="1:29" ht="15.75" thickBot="1">
      <c r="A46" s="437"/>
      <c r="B46" s="2032">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01"/>
      <c r="M46" s="2895"/>
      <c r="N46" s="2895"/>
      <c r="O46" s="2895"/>
      <c r="P46" s="3491"/>
      <c r="Q46" s="1487">
        <f t="shared" si="11"/>
        <v>111</v>
      </c>
      <c r="R46" s="714" t="s">
        <v>17</v>
      </c>
      <c r="S46" s="715">
        <f t="shared" si="12"/>
        <v>100</v>
      </c>
      <c r="T46" s="714" t="s">
        <v>17</v>
      </c>
      <c r="U46" s="715">
        <f t="shared" si="13"/>
        <v>100</v>
      </c>
      <c r="V46" s="714" t="s">
        <v>17</v>
      </c>
      <c r="W46" s="715">
        <f t="shared" si="14"/>
        <v>100</v>
      </c>
      <c r="X46" s="1490"/>
      <c r="Y46" s="3493"/>
      <c r="Z46" s="1491">
        <f t="shared" si="15"/>
        <v>111</v>
      </c>
      <c r="AA46" s="1488">
        <f t="shared" si="3"/>
        <v>1</v>
      </c>
      <c r="AB46" s="1488">
        <f t="shared" si="4"/>
        <v>1</v>
      </c>
      <c r="AC46" s="1488">
        <f t="shared" si="5"/>
        <v>1</v>
      </c>
    </row>
    <row r="47" spans="1:29" ht="15">
      <c r="A47" s="438" t="s">
        <v>2156</v>
      </c>
      <c r="B47" s="439"/>
      <c r="C47" s="1269" t="s">
        <v>1</v>
      </c>
      <c r="D47" s="1270"/>
      <c r="E47" s="1271"/>
      <c r="F47" s="1272"/>
      <c r="G47" s="1273"/>
      <c r="H47" s="1274"/>
      <c r="I47" s="1271"/>
      <c r="J47" s="1274"/>
      <c r="K47" s="723"/>
      <c r="L47" s="2903"/>
      <c r="M47" s="2904"/>
      <c r="N47" s="2895"/>
      <c r="O47" s="2904"/>
      <c r="P47" s="3485" t="str">
        <f>A47</f>
        <v>成交单价（元/平方米）</v>
      </c>
      <c r="Q47" s="3485"/>
      <c r="R47" s="3480">
        <f>E47</f>
        <v>0</v>
      </c>
      <c r="S47" s="3480"/>
      <c r="T47" s="3480">
        <f>G47</f>
        <v>0</v>
      </c>
      <c r="U47" s="3480"/>
      <c r="V47" s="3480">
        <f>I47</f>
        <v>0</v>
      </c>
      <c r="W47" s="3480"/>
      <c r="X47" s="699"/>
      <c r="Y47" s="721"/>
      <c r="Z47" s="699"/>
      <c r="AA47" s="699"/>
      <c r="AB47" s="699"/>
      <c r="AC47" s="699"/>
    </row>
    <row r="48" spans="1:29" ht="15.75" thickBot="1">
      <c r="A48" s="445" t="s">
        <v>2248</v>
      </c>
      <c r="B48" s="446"/>
      <c r="C48" s="1275" t="e">
        <f>R49</f>
        <v>#DIV/0!</v>
      </c>
      <c r="D48" s="2489" t="s">
        <v>2638</v>
      </c>
      <c r="E48" s="1276" t="e">
        <f>R48</f>
        <v>#DIV/0!</v>
      </c>
      <c r="F48" s="2490"/>
      <c r="G48" s="1275" t="e">
        <f>T48</f>
        <v>#DIV/0!</v>
      </c>
      <c r="H48" s="2490"/>
      <c r="I48" s="1276" t="e">
        <f>V48</f>
        <v>#DIV/0!</v>
      </c>
      <c r="J48" s="2490"/>
      <c r="K48" s="2492">
        <f>F48+H48+J48</f>
        <v>0</v>
      </c>
      <c r="L48" s="2903"/>
      <c r="M48" s="2904"/>
      <c r="N48" s="2895"/>
      <c r="O48" s="2904"/>
      <c r="P48" s="3485" t="str">
        <f>A48</f>
        <v>比较价值（元/平方米）</v>
      </c>
      <c r="Q48" s="3485"/>
      <c r="R48" s="3486" t="e">
        <f>IF(F1="售价",ROUND(PRODUCT(R47,AA7:AA46),0),ROUND(PRODUCT(R47,AA7:AA46),1))</f>
        <v>#DIV/0!</v>
      </c>
      <c r="S48" s="3486"/>
      <c r="T48" s="3486" t="e">
        <f>IF(F1="售价",ROUND(PRODUCT(T47,AB7:AB46),0),ROUND(PRODUCT(T47,AB7:AB46),1))</f>
        <v>#DIV/0!</v>
      </c>
      <c r="U48" s="3486"/>
      <c r="V48" s="3486" t="e">
        <f>IF(F1="售价",ROUND(PRODUCT(V47,AC7:AC46),0),ROUND(PRODUCT(V47,AC7:AC46),1))</f>
        <v>#DIV/0!</v>
      </c>
      <c r="W48" s="3486"/>
      <c r="X48" s="699"/>
      <c r="Y48" s="699"/>
      <c r="Z48" s="699"/>
      <c r="AA48" s="699"/>
      <c r="AB48" s="699"/>
      <c r="AC48" s="699"/>
    </row>
    <row r="49" spans="1:29" ht="15.75" thickBot="1">
      <c r="A49" s="449" t="s">
        <v>2249</v>
      </c>
      <c r="B49" s="450"/>
      <c r="C49" s="1278" t="e">
        <f>R49</f>
        <v>#DIV/0!</v>
      </c>
      <c r="D49" s="1278"/>
      <c r="E49" s="1278"/>
      <c r="F49" s="1278"/>
      <c r="G49" s="1278"/>
      <c r="H49" s="1278"/>
      <c r="I49" s="1278"/>
      <c r="J49" s="1278"/>
      <c r="K49" s="724"/>
      <c r="L49" s="2903"/>
      <c r="M49" s="2904"/>
      <c r="N49" s="2895"/>
      <c r="O49" s="2904"/>
      <c r="P49" s="3482" t="str">
        <f>A49</f>
        <v>估价对象XX用房的比较价值（楼面单价，元/平方米）</v>
      </c>
      <c r="Q49" s="3483"/>
      <c r="R49" s="3484" t="e">
        <f>IF(F1="售价",ROUND(IF(D48="简单平均",AVERAGE(R48:V48),R48*F48+T48*H48+V48*J48),0),ROUND(IF(D48="简单平均",AVERAGE(R48:V48),R48*F48+T48*H48+V48*J48),1))</f>
        <v>#DIV/0!</v>
      </c>
      <c r="S49" s="3484"/>
      <c r="T49" s="3484"/>
      <c r="U49" s="3484"/>
      <c r="V49" s="3484"/>
      <c r="W49" s="3484"/>
      <c r="X49" s="699"/>
      <c r="Y49" s="699"/>
      <c r="Z49" s="699"/>
      <c r="AA49" s="699"/>
      <c r="AB49" s="699"/>
      <c r="AC49" s="699"/>
    </row>
    <row r="50" spans="1:29">
      <c r="A50" s="2904"/>
      <c r="B50" s="2904"/>
      <c r="C50" s="2904"/>
      <c r="D50" s="2904"/>
      <c r="E50" s="2904"/>
      <c r="F50" s="2904"/>
      <c r="G50" s="2908"/>
      <c r="H50" s="2904"/>
      <c r="I50" s="2904"/>
      <c r="J50" s="2904"/>
      <c r="K50" s="2909"/>
      <c r="L50" s="2905"/>
      <c r="M50" s="2904"/>
      <c r="N50" s="2904"/>
      <c r="O50" s="2904"/>
      <c r="P50" s="2915"/>
      <c r="Q50" s="2904"/>
      <c r="R50" s="2904"/>
      <c r="S50" s="2904"/>
      <c r="T50" s="2904"/>
      <c r="U50" s="2904"/>
      <c r="V50" s="2904"/>
      <c r="W50" s="2904"/>
      <c r="X50" s="2904"/>
      <c r="Y50" s="2904"/>
      <c r="Z50" s="2904"/>
      <c r="AA50" s="2904"/>
      <c r="AB50" s="2904"/>
      <c r="AC50" s="2904"/>
    </row>
    <row r="51" spans="1:29">
      <c r="A51" s="2904"/>
      <c r="B51" s="2904"/>
      <c r="C51" s="2904"/>
      <c r="D51" s="2904"/>
      <c r="E51" s="2904"/>
      <c r="F51" s="2904"/>
      <c r="G51" s="2904"/>
      <c r="H51" s="2904"/>
      <c r="I51" s="2904"/>
      <c r="J51" s="2904"/>
      <c r="K51" s="2909"/>
      <c r="L51" s="2905"/>
      <c r="M51" s="2904"/>
      <c r="N51" s="2904"/>
      <c r="O51" s="2904"/>
      <c r="P51" s="2915"/>
      <c r="Q51" s="2904"/>
      <c r="R51" s="2904"/>
      <c r="S51" s="2904"/>
      <c r="T51" s="2904"/>
      <c r="U51" s="2904"/>
      <c r="V51" s="2904"/>
      <c r="W51" s="2904"/>
      <c r="X51" s="2904"/>
      <c r="Y51" s="2904"/>
      <c r="Z51" s="2904"/>
      <c r="AA51" s="2904"/>
      <c r="AB51" s="2904"/>
      <c r="AC51" s="2904"/>
    </row>
    <row r="52" spans="1:29" ht="13.5" customHeight="1">
      <c r="A52" s="2904"/>
      <c r="B52" s="2904"/>
      <c r="C52" s="454" t="s">
        <v>2250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9"/>
      <c r="L52" s="2905"/>
      <c r="M52" s="2904"/>
      <c r="N52" s="2904"/>
      <c r="O52" s="2904"/>
      <c r="P52" s="2915"/>
      <c r="Q52" s="2904"/>
      <c r="R52" s="2904"/>
      <c r="S52" s="2904"/>
      <c r="T52" s="2904"/>
      <c r="U52" s="2904"/>
      <c r="V52" s="2904"/>
      <c r="W52" s="2904"/>
      <c r="X52" s="2904"/>
      <c r="Y52" s="2904"/>
      <c r="Z52" s="2904"/>
      <c r="AA52" s="2904"/>
      <c r="AB52" s="2904"/>
      <c r="AC52" s="2904"/>
    </row>
    <row r="53" spans="1:29" ht="13.5" customHeight="1">
      <c r="A53" s="2904"/>
      <c r="B53" s="2904"/>
      <c r="C53" s="454" t="s">
        <v>2251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9"/>
      <c r="L53" s="2905"/>
      <c r="M53" s="2904"/>
      <c r="N53" s="2904"/>
      <c r="O53" s="2904"/>
      <c r="P53" s="2915"/>
      <c r="Q53" s="2904"/>
      <c r="R53" s="2904"/>
      <c r="S53" s="2904"/>
      <c r="T53" s="2904"/>
      <c r="U53" s="2904"/>
      <c r="V53" s="2904"/>
      <c r="W53" s="2904"/>
      <c r="X53" s="2904"/>
      <c r="Y53" s="2904"/>
      <c r="Z53" s="2904"/>
      <c r="AA53" s="2904"/>
      <c r="AB53" s="2904"/>
      <c r="AC53" s="2904"/>
    </row>
    <row r="54" spans="1:29" s="459" customFormat="1" ht="13.5" customHeight="1">
      <c r="A54" s="2907"/>
      <c r="B54" s="2907"/>
      <c r="C54" s="454" t="s">
        <v>2252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12"/>
      <c r="L54" s="2906"/>
      <c r="M54" s="2907"/>
      <c r="N54" s="2907"/>
      <c r="O54" s="2907"/>
      <c r="P54" s="2916"/>
      <c r="Q54" s="2907"/>
      <c r="R54" s="2907"/>
      <c r="S54" s="2907"/>
      <c r="T54" s="2907"/>
      <c r="U54" s="2907"/>
      <c r="V54" s="2907"/>
      <c r="W54" s="2907"/>
      <c r="X54" s="2907"/>
      <c r="Y54" s="2907"/>
      <c r="Z54" s="2907"/>
      <c r="AA54" s="2907"/>
      <c r="AB54" s="2907"/>
      <c r="AC54" s="2907"/>
    </row>
    <row r="55" spans="1:29" s="459" customFormat="1">
      <c r="A55" s="2907"/>
      <c r="B55" s="2910"/>
      <c r="C55" s="2911"/>
      <c r="D55" s="2907"/>
      <c r="E55" s="2907"/>
      <c r="F55" s="2907"/>
      <c r="G55" s="2907"/>
      <c r="H55" s="2907"/>
      <c r="I55" s="2907"/>
      <c r="J55" s="2907"/>
      <c r="K55" s="2912"/>
      <c r="L55" s="2906"/>
      <c r="M55" s="2907"/>
      <c r="N55" s="2907"/>
      <c r="O55" s="2907"/>
      <c r="P55" s="2916"/>
      <c r="Q55" s="2907"/>
      <c r="R55" s="2907"/>
      <c r="S55" s="2907"/>
      <c r="T55" s="2907"/>
      <c r="U55" s="2907"/>
      <c r="V55" s="2907"/>
      <c r="W55" s="2907"/>
      <c r="X55" s="2907"/>
      <c r="Y55" s="2907"/>
      <c r="Z55" s="2907"/>
      <c r="AA55" s="2907"/>
      <c r="AB55" s="2907"/>
      <c r="AC55" s="2907"/>
    </row>
    <row r="56" spans="1:29">
      <c r="A56" s="2904"/>
      <c r="B56" s="2910"/>
      <c r="C56" s="2911"/>
      <c r="D56" s="2904"/>
      <c r="E56" s="2904"/>
      <c r="F56" s="2904"/>
      <c r="G56" s="2904"/>
      <c r="H56" s="2904"/>
      <c r="I56" s="2904"/>
      <c r="J56" s="2904"/>
      <c r="K56" s="2909"/>
      <c r="L56" s="2905"/>
      <c r="M56" s="2904"/>
      <c r="N56" s="2904"/>
      <c r="O56" s="2904"/>
      <c r="P56" s="2915"/>
      <c r="Q56" s="2904"/>
      <c r="R56" s="2904"/>
      <c r="S56" s="2904"/>
      <c r="T56" s="2904"/>
      <c r="U56" s="2904"/>
      <c r="V56" s="2904"/>
      <c r="W56" s="2904"/>
      <c r="X56" s="2904"/>
      <c r="Y56" s="2904"/>
      <c r="Z56" s="2904"/>
      <c r="AA56" s="2904"/>
      <c r="AB56" s="2904"/>
      <c r="AC56" s="2904"/>
    </row>
    <row r="57" spans="1:29" ht="21.75" thickBot="1">
      <c r="A57" s="703" t="s">
        <v>2253</v>
      </c>
      <c r="B57" s="699"/>
      <c r="C57" s="704"/>
      <c r="D57" s="704"/>
      <c r="E57" s="704"/>
      <c r="F57" s="705"/>
      <c r="G57" s="705"/>
      <c r="H57" s="704"/>
      <c r="I57" s="704"/>
      <c r="J57" s="704"/>
      <c r="K57" s="706"/>
      <c r="L57" s="1054"/>
      <c r="M57" s="1052"/>
      <c r="N57" s="1052"/>
      <c r="O57" s="1052"/>
      <c r="P57" s="2917"/>
      <c r="Q57" s="2918"/>
      <c r="R57" s="2904"/>
      <c r="S57" s="2904"/>
      <c r="T57" s="2904"/>
      <c r="U57" s="2904"/>
      <c r="V57" s="2904"/>
      <c r="W57" s="2904"/>
      <c r="X57" s="2904"/>
      <c r="Y57" s="2904"/>
      <c r="Z57" s="2904"/>
      <c r="AA57" s="2904"/>
      <c r="AB57" s="2904"/>
      <c r="AC57" s="2904"/>
    </row>
    <row r="58" spans="1:29" s="465" customFormat="1" ht="15">
      <c r="A58" s="462" t="s">
        <v>2127</v>
      </c>
      <c r="B58" s="463"/>
      <c r="C58" s="1299" t="str">
        <f>YEAR(C7)&amp;"-"&amp;MONTH(C7)</f>
        <v>2022-11</v>
      </c>
      <c r="D58" s="1300">
        <f>EDATE(C58,-1)</f>
        <v>44835</v>
      </c>
      <c r="E58" s="1300">
        <f t="shared" ref="E58:N58" si="16">EDATE(D58,-1)</f>
        <v>44805</v>
      </c>
      <c r="F58" s="1300">
        <f t="shared" si="16"/>
        <v>44774</v>
      </c>
      <c r="G58" s="1300">
        <f t="shared" si="16"/>
        <v>44743</v>
      </c>
      <c r="H58" s="1300">
        <f t="shared" si="16"/>
        <v>44713</v>
      </c>
      <c r="I58" s="1300">
        <f t="shared" si="16"/>
        <v>44682</v>
      </c>
      <c r="J58" s="1300">
        <f t="shared" si="16"/>
        <v>44652</v>
      </c>
      <c r="K58" s="1300">
        <f t="shared" si="16"/>
        <v>44621</v>
      </c>
      <c r="L58" s="1300">
        <f t="shared" si="16"/>
        <v>44593</v>
      </c>
      <c r="M58" s="1300">
        <f t="shared" si="16"/>
        <v>44562</v>
      </c>
      <c r="N58" s="1300">
        <f t="shared" si="16"/>
        <v>44531</v>
      </c>
      <c r="O58" s="1300">
        <f>EDATE(N58,-1)</f>
        <v>44501</v>
      </c>
      <c r="P58" s="2919"/>
      <c r="Q58" s="2920"/>
      <c r="R58" s="2920"/>
      <c r="S58" s="2920"/>
      <c r="T58" s="2920"/>
      <c r="U58" s="2920"/>
      <c r="V58" s="2920"/>
      <c r="W58" s="2920"/>
      <c r="X58" s="2920"/>
      <c r="Y58" s="2920"/>
      <c r="Z58" s="2920"/>
      <c r="AA58" s="2920"/>
      <c r="AB58" s="2920"/>
      <c r="AC58" s="2920"/>
    </row>
    <row r="59" spans="1:29" s="113" customFormat="1" ht="15">
      <c r="A59" s="466"/>
      <c r="B59" s="467"/>
      <c r="C59" s="1298">
        <v>100</v>
      </c>
      <c r="D59" s="469"/>
      <c r="E59" s="469"/>
      <c r="F59" s="469"/>
      <c r="G59" s="469"/>
      <c r="H59" s="469"/>
      <c r="I59" s="469"/>
      <c r="J59" s="469"/>
      <c r="K59" s="469"/>
      <c r="L59" s="469"/>
      <c r="M59" s="470"/>
      <c r="N59" s="469"/>
      <c r="O59" s="470"/>
      <c r="P59" s="2921"/>
      <c r="Q59" s="2838"/>
      <c r="R59" s="2838"/>
      <c r="S59" s="2838"/>
      <c r="T59" s="2838"/>
      <c r="U59" s="2838"/>
      <c r="V59" s="2838"/>
      <c r="W59" s="2838"/>
      <c r="X59" s="2838"/>
      <c r="Y59" s="2838"/>
      <c r="Z59" s="2838"/>
      <c r="AA59" s="2838"/>
      <c r="AB59" s="2838"/>
      <c r="AC59" s="2838"/>
    </row>
    <row r="60" spans="1:29" s="113" customFormat="1" ht="15.75" thickBot="1">
      <c r="A60" s="472" t="s">
        <v>2164</v>
      </c>
      <c r="B60" s="473"/>
      <c r="C60" s="474"/>
      <c r="D60" s="475"/>
      <c r="E60" s="475"/>
      <c r="F60" s="475"/>
      <c r="G60" s="475"/>
      <c r="H60" s="475"/>
      <c r="I60" s="475"/>
      <c r="J60" s="475"/>
      <c r="K60" s="475"/>
      <c r="L60" s="475"/>
      <c r="M60" s="476"/>
      <c r="N60" s="475"/>
      <c r="O60" s="476"/>
      <c r="P60" s="2921"/>
      <c r="Q60" s="2918"/>
      <c r="R60" s="2838"/>
      <c r="S60" s="2838"/>
      <c r="T60" s="2838"/>
      <c r="U60" s="2838"/>
      <c r="V60" s="2838"/>
      <c r="W60" s="2838"/>
      <c r="X60" s="2838"/>
      <c r="Y60" s="2838"/>
      <c r="Z60" s="2838"/>
      <c r="AA60" s="2838"/>
      <c r="AB60" s="2838"/>
      <c r="AC60" s="2838"/>
    </row>
    <row r="61" spans="1:29" s="113" customFormat="1" ht="15">
      <c r="A61" s="478" t="s">
        <v>2129</v>
      </c>
      <c r="B61" s="467"/>
      <c r="C61" s="479" t="s">
        <v>2231</v>
      </c>
      <c r="D61" s="480"/>
      <c r="E61" s="480"/>
      <c r="F61" s="480"/>
      <c r="G61" s="480"/>
      <c r="H61" s="480"/>
      <c r="I61" s="480"/>
      <c r="J61" s="480"/>
      <c r="K61" s="480"/>
      <c r="L61" s="481"/>
      <c r="M61" s="482"/>
      <c r="N61" s="2931"/>
      <c r="O61" s="2931"/>
      <c r="P61" s="2922"/>
      <c r="Q61" s="2918"/>
      <c r="R61" s="2838"/>
      <c r="S61" s="2838"/>
      <c r="T61" s="2838"/>
      <c r="U61" s="2838"/>
      <c r="V61" s="2838"/>
      <c r="W61" s="2838"/>
      <c r="X61" s="2838"/>
      <c r="Y61" s="2838"/>
      <c r="Z61" s="2838"/>
      <c r="AA61" s="2838"/>
      <c r="AB61" s="2838"/>
      <c r="AC61" s="2838"/>
    </row>
    <row r="62" spans="1:29" s="113" customFormat="1" ht="15.75" thickBot="1">
      <c r="A62" s="478"/>
      <c r="B62" s="467"/>
      <c r="C62" s="468">
        <v>100</v>
      </c>
      <c r="D62" s="469"/>
      <c r="E62" s="469"/>
      <c r="F62" s="469"/>
      <c r="G62" s="469"/>
      <c r="H62" s="469"/>
      <c r="I62" s="469"/>
      <c r="J62" s="469"/>
      <c r="K62" s="469"/>
      <c r="L62" s="469"/>
      <c r="M62" s="471"/>
      <c r="N62" s="2931"/>
      <c r="O62" s="2931"/>
      <c r="P62" s="2921"/>
      <c r="Q62" s="2918"/>
      <c r="R62" s="2838"/>
      <c r="S62" s="2838"/>
      <c r="T62" s="2838"/>
      <c r="U62" s="2838"/>
      <c r="V62" s="2838"/>
      <c r="W62" s="2838"/>
      <c r="X62" s="2838"/>
      <c r="Y62" s="2838"/>
      <c r="Z62" s="2838"/>
      <c r="AA62" s="2838"/>
      <c r="AB62" s="2838"/>
      <c r="AC62" s="2838"/>
    </row>
    <row r="63" spans="1:29">
      <c r="A63" s="484" t="s">
        <v>2167</v>
      </c>
      <c r="B63" s="485" t="s">
        <v>2133</v>
      </c>
      <c r="C63" s="486">
        <f>C9</f>
        <v>0</v>
      </c>
      <c r="D63" s="487"/>
      <c r="E63" s="487"/>
      <c r="F63" s="487"/>
      <c r="G63" s="487"/>
      <c r="H63" s="487"/>
      <c r="I63" s="487"/>
      <c r="J63" s="487"/>
      <c r="K63" s="488"/>
      <c r="L63" s="489"/>
      <c r="M63" s="490"/>
      <c r="N63" s="2932"/>
      <c r="O63" s="2932"/>
      <c r="P63" s="2923"/>
      <c r="Q63" s="2918"/>
      <c r="R63" s="2904"/>
      <c r="S63" s="2904"/>
      <c r="T63" s="2904"/>
      <c r="U63" s="2904"/>
      <c r="V63" s="2904"/>
      <c r="W63" s="2904"/>
      <c r="X63" s="2904"/>
      <c r="Y63" s="2904"/>
      <c r="Z63" s="2904"/>
      <c r="AA63" s="2904"/>
      <c r="AB63" s="2904"/>
      <c r="AC63" s="2904"/>
    </row>
    <row r="64" spans="1:29" ht="15.75" thickBot="1">
      <c r="A64" s="491"/>
      <c r="B64" s="492"/>
      <c r="C64" s="493">
        <v>100</v>
      </c>
      <c r="D64" s="493"/>
      <c r="E64" s="493"/>
      <c r="F64" s="493"/>
      <c r="G64" s="493"/>
      <c r="H64" s="493"/>
      <c r="I64" s="493"/>
      <c r="J64" s="493"/>
      <c r="K64" s="493"/>
      <c r="L64" s="493"/>
      <c r="M64" s="494"/>
      <c r="N64" s="2933"/>
      <c r="O64" s="2933"/>
      <c r="P64" s="2923"/>
      <c r="Q64" s="2918"/>
      <c r="R64" s="2904"/>
      <c r="S64" s="2904"/>
      <c r="T64" s="2904"/>
      <c r="U64" s="2904"/>
      <c r="V64" s="2904"/>
      <c r="W64" s="2904"/>
      <c r="X64" s="2904"/>
      <c r="Y64" s="2904"/>
      <c r="Z64" s="2904"/>
      <c r="AA64" s="2904"/>
      <c r="AB64" s="2904"/>
      <c r="AC64" s="2904"/>
    </row>
    <row r="65" spans="1:29" ht="27.75" thickTop="1">
      <c r="A65" s="491"/>
      <c r="B65" s="495" t="s">
        <v>2136</v>
      </c>
      <c r="C65" s="496" t="s">
        <v>2168</v>
      </c>
      <c r="D65" s="496" t="s">
        <v>2169</v>
      </c>
      <c r="E65" s="496" t="s">
        <v>2170</v>
      </c>
      <c r="F65" s="496" t="s">
        <v>2171</v>
      </c>
      <c r="G65" s="496" t="s">
        <v>2172</v>
      </c>
      <c r="H65" s="496" t="s">
        <v>2173</v>
      </c>
      <c r="I65" s="496" t="s">
        <v>2174</v>
      </c>
      <c r="J65" s="496"/>
      <c r="K65" s="497"/>
      <c r="L65" s="498"/>
      <c r="M65" s="499"/>
      <c r="N65" s="2932"/>
      <c r="O65" s="2932"/>
      <c r="P65" s="2923"/>
      <c r="Q65" s="2918"/>
      <c r="R65" s="2904"/>
      <c r="S65" s="2904"/>
      <c r="T65" s="2904"/>
      <c r="U65" s="2904"/>
      <c r="V65" s="2904"/>
      <c r="W65" s="2904"/>
      <c r="X65" s="2904"/>
      <c r="Y65" s="2904"/>
      <c r="Z65" s="2904"/>
      <c r="AA65" s="2904"/>
      <c r="AB65" s="2904"/>
      <c r="AC65" s="290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33"/>
      <c r="O66" s="2933"/>
      <c r="P66" s="2923"/>
      <c r="Q66" s="2918"/>
      <c r="R66" s="2904"/>
      <c r="S66" s="2904"/>
      <c r="T66" s="2904"/>
      <c r="U66" s="2904"/>
      <c r="V66" s="2904"/>
      <c r="W66" s="2904"/>
      <c r="X66" s="2904"/>
      <c r="Y66" s="2904"/>
      <c r="Z66" s="2904"/>
      <c r="AA66" s="2904"/>
      <c r="AB66" s="2904"/>
      <c r="AC66" s="2904"/>
    </row>
    <row r="67" spans="1:29" ht="15.75" thickTop="1">
      <c r="A67" s="491"/>
      <c r="B67" s="503" t="s">
        <v>2137</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33"/>
      <c r="O67" s="2933"/>
      <c r="P67" s="2923"/>
      <c r="Q67" s="2918"/>
      <c r="R67" s="2904"/>
      <c r="S67" s="2904"/>
      <c r="T67" s="2904"/>
      <c r="U67" s="2904"/>
      <c r="V67" s="2904"/>
      <c r="W67" s="2904"/>
      <c r="X67" s="2904"/>
      <c r="Y67" s="2904"/>
      <c r="Z67" s="2904"/>
      <c r="AA67" s="2904"/>
      <c r="AB67" s="2904"/>
      <c r="AC67" s="2904"/>
    </row>
    <row r="68" spans="1:29" ht="15">
      <c r="A68" s="491"/>
      <c r="B68" s="505"/>
      <c r="C68" s="506"/>
      <c r="D68" s="506"/>
      <c r="E68" s="506"/>
      <c r="F68" s="506"/>
      <c r="G68" s="506"/>
      <c r="H68" s="506"/>
      <c r="I68" s="506"/>
      <c r="J68" s="506"/>
      <c r="K68" s="507"/>
      <c r="L68" s="508"/>
      <c r="M68" s="509"/>
      <c r="N68" s="2932"/>
      <c r="O68" s="2932"/>
      <c r="P68" s="2923"/>
      <c r="Q68" s="2918"/>
      <c r="R68" s="2904"/>
      <c r="S68" s="2904"/>
      <c r="T68" s="2904"/>
      <c r="U68" s="2904"/>
      <c r="V68" s="2904"/>
      <c r="W68" s="2904"/>
      <c r="X68" s="2904"/>
      <c r="Y68" s="2904"/>
      <c r="Z68" s="2904"/>
      <c r="AA68" s="2904"/>
      <c r="AB68" s="2904"/>
      <c r="AC68" s="290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33"/>
      <c r="O69" s="2933"/>
      <c r="P69" s="2923"/>
      <c r="Q69" s="2918"/>
      <c r="R69" s="2904"/>
      <c r="S69" s="2904"/>
      <c r="T69" s="2904"/>
      <c r="U69" s="2904"/>
      <c r="V69" s="2904"/>
      <c r="W69" s="2904"/>
      <c r="X69" s="2904"/>
      <c r="Y69" s="2904"/>
      <c r="Z69" s="2904"/>
      <c r="AA69" s="2904"/>
      <c r="AB69" s="2904"/>
      <c r="AC69" s="2904"/>
    </row>
    <row r="70" spans="1:29" s="430" customFormat="1" ht="15.75" thickTop="1">
      <c r="A70" s="510"/>
      <c r="B70" s="495">
        <f>B12</f>
        <v>111</v>
      </c>
      <c r="C70" s="511"/>
      <c r="D70" s="511"/>
      <c r="E70" s="511"/>
      <c r="F70" s="511"/>
      <c r="G70" s="511"/>
      <c r="H70" s="512"/>
      <c r="I70" s="512"/>
      <c r="J70" s="512"/>
      <c r="K70" s="512"/>
      <c r="L70" s="513"/>
      <c r="M70" s="514"/>
      <c r="N70" s="2934"/>
      <c r="O70" s="2934"/>
      <c r="P70" s="2924"/>
      <c r="Q70" s="2925"/>
      <c r="R70" s="2926"/>
      <c r="S70" s="2926"/>
      <c r="T70" s="2926"/>
      <c r="U70" s="2926"/>
      <c r="V70" s="2926"/>
      <c r="W70" s="2926"/>
      <c r="X70" s="2926"/>
      <c r="Y70" s="2926"/>
      <c r="Z70" s="2926"/>
      <c r="AA70" s="2926"/>
      <c r="AB70" s="2926"/>
      <c r="AC70" s="2926"/>
    </row>
    <row r="71" spans="1:29" s="430" customFormat="1" ht="15.75" thickBot="1">
      <c r="A71" s="510"/>
      <c r="B71" s="500"/>
      <c r="C71" s="517"/>
      <c r="D71" s="493"/>
      <c r="E71" s="493"/>
      <c r="F71" s="493"/>
      <c r="G71" s="493"/>
      <c r="H71" s="493"/>
      <c r="I71" s="493"/>
      <c r="J71" s="493"/>
      <c r="K71" s="493"/>
      <c r="L71" s="493"/>
      <c r="M71" s="494"/>
      <c r="N71" s="2933"/>
      <c r="O71" s="2933"/>
      <c r="P71" s="2924"/>
      <c r="Q71" s="2925"/>
      <c r="R71" s="2926"/>
      <c r="S71" s="2926"/>
      <c r="T71" s="2926"/>
      <c r="U71" s="2926"/>
      <c r="V71" s="2926"/>
      <c r="W71" s="2926"/>
      <c r="X71" s="2926"/>
      <c r="Y71" s="2926"/>
      <c r="Z71" s="2926"/>
      <c r="AA71" s="2926"/>
      <c r="AB71" s="2926"/>
      <c r="AC71" s="2926"/>
    </row>
    <row r="72" spans="1:29" s="430" customFormat="1" ht="15.75" thickTop="1">
      <c r="A72" s="510"/>
      <c r="B72" s="495">
        <f>B13</f>
        <v>111</v>
      </c>
      <c r="C72" s="511"/>
      <c r="D72" s="511"/>
      <c r="E72" s="511"/>
      <c r="F72" s="511"/>
      <c r="G72" s="511"/>
      <c r="H72" s="512"/>
      <c r="I72" s="512"/>
      <c r="J72" s="512"/>
      <c r="K72" s="512"/>
      <c r="L72" s="513"/>
      <c r="M72" s="514"/>
      <c r="N72" s="2934"/>
      <c r="O72" s="2934"/>
      <c r="P72" s="2927"/>
      <c r="Q72" s="2928"/>
      <c r="R72" s="2926"/>
      <c r="S72" s="2926"/>
      <c r="T72" s="2926"/>
      <c r="U72" s="2926"/>
      <c r="V72" s="2926"/>
      <c r="W72" s="2926"/>
      <c r="X72" s="2926"/>
      <c r="Y72" s="2926"/>
      <c r="Z72" s="2926"/>
      <c r="AA72" s="2926"/>
      <c r="AB72" s="2926"/>
      <c r="AC72" s="2926"/>
    </row>
    <row r="73" spans="1:29" s="430" customFormat="1" ht="15.75" thickBot="1">
      <c r="A73" s="510"/>
      <c r="B73" s="500"/>
      <c r="C73" s="517"/>
      <c r="D73" s="493"/>
      <c r="E73" s="493"/>
      <c r="F73" s="493"/>
      <c r="G73" s="517"/>
      <c r="H73" s="519"/>
      <c r="I73" s="519"/>
      <c r="J73" s="519"/>
      <c r="K73" s="519"/>
      <c r="L73" s="519"/>
      <c r="M73" s="520"/>
      <c r="N73" s="2934"/>
      <c r="O73" s="2934"/>
      <c r="P73" s="2924"/>
      <c r="Q73" s="2925"/>
      <c r="R73" s="2926"/>
      <c r="S73" s="2926"/>
      <c r="T73" s="2926"/>
      <c r="U73" s="2926"/>
      <c r="V73" s="2926"/>
      <c r="W73" s="2926"/>
      <c r="X73" s="2926"/>
      <c r="Y73" s="2926"/>
      <c r="Z73" s="2926"/>
      <c r="AA73" s="2926"/>
      <c r="AB73" s="2926"/>
      <c r="AC73" s="2926"/>
    </row>
    <row r="74" spans="1:29" s="430" customFormat="1" ht="15.75" thickTop="1">
      <c r="A74" s="510"/>
      <c r="B74" s="503">
        <f>B14</f>
        <v>111</v>
      </c>
      <c r="C74" s="511"/>
      <c r="D74" s="511"/>
      <c r="E74" s="511"/>
      <c r="F74" s="511"/>
      <c r="G74" s="480"/>
      <c r="H74" s="521"/>
      <c r="I74" s="521"/>
      <c r="J74" s="521"/>
      <c r="K74" s="521"/>
      <c r="L74" s="522"/>
      <c r="M74" s="523"/>
      <c r="N74" s="2934"/>
      <c r="O74" s="2934"/>
      <c r="P74" s="2929"/>
      <c r="Q74" s="2925"/>
      <c r="R74" s="2926"/>
      <c r="S74" s="2926"/>
      <c r="T74" s="2926"/>
      <c r="U74" s="2926"/>
      <c r="V74" s="2926"/>
      <c r="W74" s="2926"/>
      <c r="X74" s="2926"/>
      <c r="Y74" s="2926"/>
      <c r="Z74" s="2926"/>
      <c r="AA74" s="2926"/>
      <c r="AB74" s="2926"/>
      <c r="AC74" s="2926"/>
    </row>
    <row r="75" spans="1:29" s="430" customFormat="1" ht="15.75" thickBot="1">
      <c r="A75" s="525"/>
      <c r="B75" s="526"/>
      <c r="C75" s="527"/>
      <c r="D75" s="527"/>
      <c r="E75" s="527"/>
      <c r="F75" s="527"/>
      <c r="G75" s="527"/>
      <c r="H75" s="528"/>
      <c r="I75" s="528"/>
      <c r="J75" s="528"/>
      <c r="K75" s="528"/>
      <c r="L75" s="528"/>
      <c r="M75" s="529"/>
      <c r="N75" s="2934"/>
      <c r="O75" s="2934"/>
      <c r="P75" s="2924"/>
      <c r="Q75" s="2925"/>
      <c r="R75" s="2926"/>
      <c r="S75" s="2926"/>
      <c r="T75" s="2926"/>
      <c r="U75" s="2926"/>
      <c r="V75" s="2926"/>
      <c r="W75" s="2926"/>
      <c r="X75" s="2926"/>
      <c r="Y75" s="2926"/>
      <c r="Z75" s="2926"/>
      <c r="AA75" s="2926"/>
      <c r="AB75" s="2926"/>
      <c r="AC75" s="2926"/>
    </row>
    <row r="76" spans="1:29">
      <c r="A76" s="484" t="s">
        <v>2138</v>
      </c>
      <c r="B76" s="485" t="s">
        <v>2175</v>
      </c>
      <c r="C76" s="530" t="s">
        <v>2176</v>
      </c>
      <c r="D76" s="530" t="s">
        <v>2177</v>
      </c>
      <c r="E76" s="530" t="s">
        <v>2178</v>
      </c>
      <c r="F76" s="530" t="s">
        <v>2179</v>
      </c>
      <c r="G76" s="530" t="s">
        <v>2180</v>
      </c>
      <c r="H76" s="486"/>
      <c r="I76" s="486"/>
      <c r="J76" s="486"/>
      <c r="K76" s="531"/>
      <c r="L76" s="532"/>
      <c r="M76" s="533"/>
      <c r="N76" s="2932"/>
      <c r="O76" s="2932"/>
      <c r="P76" s="2930"/>
      <c r="Q76" s="2918"/>
      <c r="R76" s="2904"/>
      <c r="S76" s="2904"/>
      <c r="T76" s="2904"/>
      <c r="U76" s="2904"/>
      <c r="V76" s="2904"/>
      <c r="W76" s="2904"/>
      <c r="X76" s="2904"/>
      <c r="Y76" s="2904"/>
      <c r="Z76" s="2904"/>
      <c r="AA76" s="2904"/>
      <c r="AB76" s="2904"/>
      <c r="AC76" s="290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33"/>
      <c r="O77" s="2933"/>
      <c r="P77" s="2923"/>
      <c r="Q77" s="2918"/>
      <c r="R77" s="2904"/>
      <c r="S77" s="2904"/>
      <c r="T77" s="2904"/>
      <c r="U77" s="2904"/>
      <c r="V77" s="2904"/>
      <c r="W77" s="2904"/>
      <c r="X77" s="2904"/>
      <c r="Y77" s="2904"/>
      <c r="Z77" s="2904"/>
      <c r="AA77" s="2904"/>
      <c r="AB77" s="2904"/>
      <c r="AC77" s="2904"/>
    </row>
    <row r="78" spans="1:29" ht="15.75" thickTop="1">
      <c r="A78" s="491"/>
      <c r="B78" s="495" t="s">
        <v>2181</v>
      </c>
      <c r="C78" s="535" t="s">
        <v>2176</v>
      </c>
      <c r="D78" s="535" t="s">
        <v>2177</v>
      </c>
      <c r="E78" s="535" t="s">
        <v>2178</v>
      </c>
      <c r="F78" s="535" t="s">
        <v>2179</v>
      </c>
      <c r="G78" s="535" t="s">
        <v>2180</v>
      </c>
      <c r="H78" s="496"/>
      <c r="I78" s="496"/>
      <c r="J78" s="496"/>
      <c r="K78" s="497"/>
      <c r="L78" s="498"/>
      <c r="M78" s="499"/>
      <c r="N78" s="2932"/>
      <c r="O78" s="2932"/>
      <c r="P78" s="2923"/>
      <c r="Q78" s="2918"/>
      <c r="R78" s="2904"/>
      <c r="S78" s="2904"/>
      <c r="T78" s="2904"/>
      <c r="U78" s="2904"/>
      <c r="V78" s="2904"/>
      <c r="W78" s="2904"/>
      <c r="X78" s="2904"/>
      <c r="Y78" s="2904"/>
      <c r="Z78" s="2904"/>
      <c r="AA78" s="2904"/>
      <c r="AB78" s="2904"/>
      <c r="AC78" s="290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33"/>
      <c r="O79" s="2933"/>
      <c r="P79" s="2923"/>
      <c r="Q79" s="2918"/>
      <c r="R79" s="2904"/>
      <c r="S79" s="2904"/>
      <c r="T79" s="2904"/>
      <c r="U79" s="2904"/>
      <c r="V79" s="2904"/>
      <c r="W79" s="2904"/>
      <c r="X79" s="2904"/>
      <c r="Y79" s="2904"/>
      <c r="Z79" s="2904"/>
      <c r="AA79" s="2904"/>
      <c r="AB79" s="2904"/>
      <c r="AC79" s="2904"/>
    </row>
    <row r="80" spans="1:29" ht="15.75" thickTop="1">
      <c r="A80" s="491"/>
      <c r="B80" s="495" t="s">
        <v>2182</v>
      </c>
      <c r="C80" s="535" t="s">
        <v>2176</v>
      </c>
      <c r="D80" s="535" t="s">
        <v>2177</v>
      </c>
      <c r="E80" s="535" t="s">
        <v>2178</v>
      </c>
      <c r="F80" s="535" t="s">
        <v>2179</v>
      </c>
      <c r="G80" s="535" t="s">
        <v>2180</v>
      </c>
      <c r="H80" s="496"/>
      <c r="I80" s="496"/>
      <c r="J80" s="496"/>
      <c r="K80" s="497"/>
      <c r="L80" s="498"/>
      <c r="M80" s="499"/>
      <c r="N80" s="2932"/>
      <c r="O80" s="2932"/>
      <c r="P80" s="2923"/>
      <c r="Q80" s="2918"/>
      <c r="R80" s="2904"/>
      <c r="S80" s="2904"/>
      <c r="T80" s="2904"/>
      <c r="U80" s="2904"/>
      <c r="V80" s="2904"/>
      <c r="W80" s="2904"/>
      <c r="X80" s="2904"/>
      <c r="Y80" s="2904"/>
      <c r="Z80" s="2904"/>
      <c r="AA80" s="2904"/>
      <c r="AB80" s="2904"/>
      <c r="AC80" s="290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33"/>
      <c r="O81" s="2933"/>
      <c r="P81" s="2923"/>
      <c r="Q81" s="2918"/>
      <c r="R81" s="2904"/>
      <c r="S81" s="2904"/>
      <c r="T81" s="2904"/>
      <c r="U81" s="2904"/>
      <c r="V81" s="2904"/>
      <c r="W81" s="2904"/>
      <c r="X81" s="2904"/>
      <c r="Y81" s="2904"/>
      <c r="Z81" s="2904"/>
      <c r="AA81" s="2904"/>
      <c r="AB81" s="2904"/>
      <c r="AC81" s="2904"/>
    </row>
    <row r="82" spans="1:29" ht="15.75" thickTop="1">
      <c r="A82" s="491"/>
      <c r="B82" s="503" t="s">
        <v>2234</v>
      </c>
      <c r="C82" s="616" t="s">
        <v>2254</v>
      </c>
      <c r="D82" s="616" t="s">
        <v>2255</v>
      </c>
      <c r="E82" s="616" t="s">
        <v>2256</v>
      </c>
      <c r="F82" s="616" t="s">
        <v>2257</v>
      </c>
      <c r="G82" s="616" t="s">
        <v>2258</v>
      </c>
      <c r="H82" s="496"/>
      <c r="I82" s="496"/>
      <c r="J82" s="496"/>
      <c r="K82" s="496"/>
      <c r="L82" s="496"/>
      <c r="M82" s="1244"/>
      <c r="N82" s="2933"/>
      <c r="O82" s="2933"/>
      <c r="P82" s="2923"/>
      <c r="Q82" s="2918"/>
      <c r="R82" s="2904"/>
      <c r="S82" s="2904"/>
      <c r="T82" s="2904"/>
      <c r="U82" s="2904"/>
      <c r="V82" s="2904"/>
      <c r="W82" s="2904"/>
      <c r="X82" s="2904"/>
      <c r="Y82" s="2904"/>
      <c r="Z82" s="2904"/>
      <c r="AA82" s="2904"/>
      <c r="AB82" s="2904"/>
      <c r="AC82" s="290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33"/>
      <c r="O83" s="2933"/>
      <c r="P83" s="2923"/>
      <c r="Q83" s="2918"/>
      <c r="R83" s="2904"/>
      <c r="S83" s="2904"/>
      <c r="T83" s="2904"/>
      <c r="U83" s="2904"/>
      <c r="V83" s="2904"/>
      <c r="W83" s="2904"/>
      <c r="X83" s="2904"/>
      <c r="Y83" s="2904"/>
      <c r="Z83" s="2904"/>
      <c r="AA83" s="2904"/>
      <c r="AB83" s="2904"/>
      <c r="AC83" s="2904"/>
    </row>
    <row r="84" spans="1:29" ht="15.75" thickTop="1">
      <c r="A84" s="491"/>
      <c r="B84" s="495" t="s">
        <v>2188</v>
      </c>
      <c r="C84" s="535" t="s">
        <v>2176</v>
      </c>
      <c r="D84" s="535" t="s">
        <v>2177</v>
      </c>
      <c r="E84" s="535" t="s">
        <v>2178</v>
      </c>
      <c r="F84" s="535" t="s">
        <v>2179</v>
      </c>
      <c r="G84" s="535" t="s">
        <v>2180</v>
      </c>
      <c r="H84" s="496"/>
      <c r="I84" s="496"/>
      <c r="J84" s="496"/>
      <c r="K84" s="497"/>
      <c r="L84" s="498"/>
      <c r="M84" s="499"/>
      <c r="N84" s="2932"/>
      <c r="O84" s="2932"/>
      <c r="P84" s="2923"/>
      <c r="Q84" s="2918"/>
      <c r="R84" s="2904"/>
      <c r="S84" s="2904"/>
      <c r="T84" s="2904"/>
      <c r="U84" s="2904"/>
      <c r="V84" s="2904"/>
      <c r="W84" s="2904"/>
      <c r="X84" s="2904"/>
      <c r="Y84" s="2904"/>
      <c r="Z84" s="2904"/>
      <c r="AA84" s="2904"/>
      <c r="AB84" s="2904"/>
      <c r="AC84" s="290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33"/>
      <c r="O85" s="2933"/>
      <c r="P85" s="2923"/>
      <c r="Q85" s="2918"/>
      <c r="R85" s="2904"/>
      <c r="S85" s="2904"/>
      <c r="T85" s="2904"/>
      <c r="U85" s="2904"/>
      <c r="V85" s="2904"/>
      <c r="W85" s="2904"/>
      <c r="X85" s="2904"/>
      <c r="Y85" s="2904"/>
      <c r="Z85" s="2904"/>
      <c r="AA85" s="2904"/>
      <c r="AB85" s="2904"/>
      <c r="AC85" s="2904"/>
    </row>
    <row r="86" spans="1:29" s="113" customFormat="1" ht="15.75" thickTop="1">
      <c r="A86" s="536"/>
      <c r="B86" s="495" t="s">
        <v>2259</v>
      </c>
      <c r="C86" s="511"/>
      <c r="D86" s="511"/>
      <c r="E86" s="511"/>
      <c r="F86" s="511"/>
      <c r="G86" s="511"/>
      <c r="H86" s="511"/>
      <c r="I86" s="511"/>
      <c r="J86" s="511"/>
      <c r="K86" s="511"/>
      <c r="L86" s="537"/>
      <c r="M86" s="538"/>
      <c r="N86" s="2931"/>
      <c r="O86" s="2931"/>
      <c r="P86" s="2923"/>
      <c r="Q86" s="2918"/>
      <c r="R86" s="2838"/>
      <c r="S86" s="2838"/>
      <c r="T86" s="2838"/>
      <c r="U86" s="2838"/>
      <c r="V86" s="2838"/>
      <c r="W86" s="2838"/>
      <c r="X86" s="2838"/>
      <c r="Y86" s="2838"/>
      <c r="Z86" s="2838"/>
      <c r="AA86" s="2838"/>
      <c r="AB86" s="2838"/>
      <c r="AC86" s="283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33"/>
      <c r="O87" s="2933"/>
      <c r="P87" s="2923"/>
      <c r="Q87" s="2918"/>
      <c r="R87" s="2838"/>
      <c r="S87" s="2838"/>
      <c r="T87" s="2838"/>
      <c r="U87" s="2838"/>
      <c r="V87" s="2838"/>
      <c r="W87" s="2838"/>
      <c r="X87" s="2838"/>
      <c r="Y87" s="2838"/>
      <c r="Z87" s="2838"/>
      <c r="AA87" s="2838"/>
      <c r="AB87" s="2838"/>
      <c r="AC87" s="2838"/>
    </row>
    <row r="88" spans="1:29" s="113" customFormat="1" ht="15.75" thickTop="1">
      <c r="A88" s="536"/>
      <c r="B88" s="495" t="str">
        <f>B26</f>
        <v>平面位置/可视性</v>
      </c>
      <c r="C88" s="511"/>
      <c r="D88" s="511"/>
      <c r="E88" s="511"/>
      <c r="F88" s="2064"/>
      <c r="G88" s="511"/>
      <c r="H88" s="511"/>
      <c r="I88" s="511"/>
      <c r="J88" s="511"/>
      <c r="K88" s="511"/>
      <c r="L88" s="511"/>
      <c r="M88" s="538"/>
      <c r="N88" s="2931"/>
      <c r="O88" s="2931"/>
      <c r="P88" s="2923"/>
      <c r="Q88" s="2918"/>
      <c r="R88" s="2838"/>
      <c r="S88" s="2838"/>
      <c r="T88" s="2838"/>
      <c r="U88" s="2838"/>
      <c r="V88" s="2838"/>
      <c r="W88" s="2838"/>
      <c r="X88" s="2838"/>
      <c r="Y88" s="2838"/>
      <c r="Z88" s="2838"/>
      <c r="AA88" s="2838"/>
      <c r="AB88" s="2838"/>
      <c r="AC88" s="2838"/>
    </row>
    <row r="89" spans="1:29" s="113" customFormat="1" ht="15.75" thickBot="1">
      <c r="A89" s="536"/>
      <c r="B89" s="500"/>
      <c r="C89" s="517"/>
      <c r="D89" s="493"/>
      <c r="E89" s="493"/>
      <c r="F89" s="493"/>
      <c r="G89" s="493"/>
      <c r="H89" s="493"/>
      <c r="I89" s="493"/>
      <c r="J89" s="493"/>
      <c r="K89" s="493"/>
      <c r="L89" s="493"/>
      <c r="M89" s="493"/>
      <c r="N89" s="2933"/>
      <c r="O89" s="2933"/>
      <c r="P89" s="2923"/>
      <c r="Q89" s="2918"/>
      <c r="R89" s="2838"/>
      <c r="S89" s="2838"/>
      <c r="T89" s="2838"/>
      <c r="U89" s="2838"/>
      <c r="V89" s="2838"/>
      <c r="W89" s="2838"/>
      <c r="X89" s="2838"/>
      <c r="Y89" s="2838"/>
      <c r="Z89" s="2838"/>
      <c r="AA89" s="2838"/>
      <c r="AB89" s="2838"/>
      <c r="AC89" s="2838"/>
    </row>
    <row r="90" spans="1:29" s="430" customFormat="1" ht="15.75" thickTop="1">
      <c r="A90" s="510"/>
      <c r="B90" s="495" t="str">
        <f>B27</f>
        <v>人流量</v>
      </c>
      <c r="C90" s="511"/>
      <c r="D90" s="511"/>
      <c r="E90" s="511"/>
      <c r="F90" s="511"/>
      <c r="G90" s="511"/>
      <c r="H90" s="512"/>
      <c r="I90" s="512"/>
      <c r="J90" s="512"/>
      <c r="K90" s="512"/>
      <c r="L90" s="513"/>
      <c r="M90" s="514"/>
      <c r="N90" s="2934"/>
      <c r="O90" s="2934"/>
      <c r="P90" s="2924"/>
      <c r="Q90" s="2925"/>
      <c r="R90" s="2926"/>
      <c r="S90" s="2926"/>
      <c r="T90" s="2926"/>
      <c r="U90" s="2926"/>
      <c r="V90" s="2926"/>
      <c r="W90" s="2926"/>
      <c r="X90" s="2926"/>
      <c r="Y90" s="2926"/>
      <c r="Z90" s="2926"/>
      <c r="AA90" s="2926"/>
      <c r="AB90" s="2926"/>
      <c r="AC90" s="292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34"/>
      <c r="O91" s="2934"/>
      <c r="P91" s="2924"/>
      <c r="Q91" s="2925"/>
      <c r="R91" s="2926"/>
      <c r="S91" s="2926"/>
      <c r="T91" s="2926"/>
      <c r="U91" s="2926"/>
      <c r="V91" s="2926"/>
      <c r="W91" s="2926"/>
      <c r="X91" s="2926"/>
      <c r="Y91" s="2926"/>
      <c r="Z91" s="2926"/>
      <c r="AA91" s="2926"/>
      <c r="AB91" s="2926"/>
      <c r="AC91" s="2926"/>
    </row>
    <row r="92" spans="1:29" ht="15.75" thickTop="1">
      <c r="A92" s="491"/>
      <c r="B92" s="495" t="str">
        <f>B28</f>
        <v>楼层</v>
      </c>
      <c r="C92" s="511"/>
      <c r="D92" s="511"/>
      <c r="E92" s="511"/>
      <c r="F92" s="511"/>
      <c r="G92" s="511"/>
      <c r="H92" s="511"/>
      <c r="I92" s="511"/>
      <c r="J92" s="511"/>
      <c r="K92" s="511"/>
      <c r="L92" s="537"/>
      <c r="M92" s="538"/>
      <c r="N92" s="2932"/>
      <c r="O92" s="2932"/>
      <c r="P92" s="2923"/>
      <c r="Q92" s="2918"/>
      <c r="R92" s="2904"/>
      <c r="S92" s="2904"/>
      <c r="T92" s="2904"/>
      <c r="U92" s="2904"/>
      <c r="V92" s="2904"/>
      <c r="W92" s="2904"/>
      <c r="X92" s="2904"/>
      <c r="Y92" s="2904"/>
      <c r="Z92" s="2904"/>
      <c r="AA92" s="2904"/>
      <c r="AB92" s="2904"/>
      <c r="AC92" s="2904"/>
    </row>
    <row r="93" spans="1:29" ht="15.75" thickBot="1">
      <c r="A93" s="491"/>
      <c r="B93" s="500"/>
      <c r="C93" s="493"/>
      <c r="D93" s="493"/>
      <c r="E93" s="493"/>
      <c r="F93" s="493"/>
      <c r="G93" s="493"/>
      <c r="H93" s="493"/>
      <c r="I93" s="493"/>
      <c r="J93" s="493"/>
      <c r="K93" s="493"/>
      <c r="L93" s="493"/>
      <c r="M93" s="494"/>
      <c r="N93" s="2933"/>
      <c r="O93" s="2933"/>
      <c r="P93" s="2923"/>
      <c r="Q93" s="2918"/>
      <c r="R93" s="2904"/>
      <c r="S93" s="2904"/>
      <c r="T93" s="2904"/>
      <c r="U93" s="2904"/>
      <c r="V93" s="2904"/>
      <c r="W93" s="2904"/>
      <c r="X93" s="2904"/>
      <c r="Y93" s="2904"/>
      <c r="Z93" s="2904"/>
      <c r="AA93" s="2904"/>
      <c r="AB93" s="2904"/>
      <c r="AC93" s="2904"/>
    </row>
    <row r="94" spans="1:29" ht="15.75" thickTop="1">
      <c r="A94" s="491"/>
      <c r="B94" s="495">
        <f>B29</f>
        <v>111</v>
      </c>
      <c r="C94" s="511"/>
      <c r="D94" s="511"/>
      <c r="E94" s="511"/>
      <c r="F94" s="511"/>
      <c r="G94" s="540"/>
      <c r="H94" s="540"/>
      <c r="I94" s="540"/>
      <c r="J94" s="540"/>
      <c r="K94" s="541"/>
      <c r="L94" s="542"/>
      <c r="M94" s="543"/>
      <c r="N94" s="2932"/>
      <c r="O94" s="2932"/>
      <c r="P94" s="2923"/>
      <c r="Q94" s="2918"/>
      <c r="R94" s="2904"/>
      <c r="S94" s="2904"/>
      <c r="T94" s="2904"/>
      <c r="U94" s="2904"/>
      <c r="V94" s="2904"/>
      <c r="W94" s="2904"/>
      <c r="X94" s="2904"/>
      <c r="Y94" s="2904"/>
      <c r="Z94" s="2904"/>
      <c r="AA94" s="2904"/>
      <c r="AB94" s="2904"/>
      <c r="AC94" s="2904"/>
    </row>
    <row r="95" spans="1:29" ht="15.75" thickBot="1">
      <c r="A95" s="491"/>
      <c r="B95" s="500"/>
      <c r="C95" s="517"/>
      <c r="D95" s="493"/>
      <c r="E95" s="493"/>
      <c r="F95" s="493"/>
      <c r="G95" s="493"/>
      <c r="H95" s="493"/>
      <c r="I95" s="493"/>
      <c r="J95" s="493"/>
      <c r="K95" s="493"/>
      <c r="L95" s="493"/>
      <c r="M95" s="494"/>
      <c r="N95" s="2933"/>
      <c r="O95" s="2933"/>
      <c r="P95" s="2923"/>
      <c r="Q95" s="2918"/>
      <c r="R95" s="2904"/>
      <c r="S95" s="2904"/>
      <c r="T95" s="2904"/>
      <c r="U95" s="2904"/>
      <c r="V95" s="2904"/>
      <c r="W95" s="2904"/>
      <c r="X95" s="2904"/>
      <c r="Y95" s="2904"/>
      <c r="Z95" s="2904"/>
      <c r="AA95" s="2904"/>
      <c r="AB95" s="2904"/>
      <c r="AC95" s="2904"/>
    </row>
    <row r="96" spans="1:29" ht="15.75" thickTop="1">
      <c r="A96" s="491"/>
      <c r="B96" s="495">
        <f>B30</f>
        <v>111</v>
      </c>
      <c r="C96" s="511"/>
      <c r="D96" s="511"/>
      <c r="E96" s="511"/>
      <c r="F96" s="511"/>
      <c r="G96" s="540"/>
      <c r="H96" s="540"/>
      <c r="I96" s="540"/>
      <c r="J96" s="540"/>
      <c r="K96" s="541"/>
      <c r="L96" s="542"/>
      <c r="M96" s="543"/>
      <c r="N96" s="2932"/>
      <c r="O96" s="2932"/>
      <c r="P96" s="2923"/>
      <c r="Q96" s="2918"/>
      <c r="R96" s="2904"/>
      <c r="S96" s="2904"/>
      <c r="T96" s="2904"/>
      <c r="U96" s="2904"/>
      <c r="V96" s="2904"/>
      <c r="W96" s="2904"/>
      <c r="X96" s="2904"/>
      <c r="Y96" s="2904"/>
      <c r="Z96" s="2904"/>
      <c r="AA96" s="2904"/>
      <c r="AB96" s="2904"/>
      <c r="AC96" s="2904"/>
    </row>
    <row r="97" spans="1:29" ht="15.75" thickBot="1">
      <c r="A97" s="491"/>
      <c r="B97" s="500"/>
      <c r="C97" s="517"/>
      <c r="D97" s="493"/>
      <c r="E97" s="493"/>
      <c r="F97" s="493"/>
      <c r="G97" s="493"/>
      <c r="H97" s="493"/>
      <c r="I97" s="493"/>
      <c r="J97" s="493"/>
      <c r="K97" s="493"/>
      <c r="L97" s="493"/>
      <c r="M97" s="494"/>
      <c r="N97" s="2933"/>
      <c r="O97" s="2933"/>
      <c r="P97" s="2923"/>
      <c r="Q97" s="2918"/>
      <c r="R97" s="2904"/>
      <c r="S97" s="2904"/>
      <c r="T97" s="2904"/>
      <c r="U97" s="2904"/>
      <c r="V97" s="2904"/>
      <c r="W97" s="2904"/>
      <c r="X97" s="2904"/>
      <c r="Y97" s="2904"/>
      <c r="Z97" s="2904"/>
      <c r="AA97" s="2904"/>
      <c r="AB97" s="2904"/>
      <c r="AC97" s="2904"/>
    </row>
    <row r="98" spans="1:29" ht="15.75" thickTop="1">
      <c r="A98" s="491"/>
      <c r="B98" s="503">
        <f>B31</f>
        <v>111</v>
      </c>
      <c r="C98" s="511"/>
      <c r="D98" s="511"/>
      <c r="E98" s="511"/>
      <c r="F98" s="511"/>
      <c r="G98" s="544"/>
      <c r="H98" s="544"/>
      <c r="I98" s="544"/>
      <c r="J98" s="544"/>
      <c r="K98" s="545"/>
      <c r="L98" s="546"/>
      <c r="M98" s="547"/>
      <c r="N98" s="2932"/>
      <c r="O98" s="2932"/>
      <c r="P98" s="2923"/>
      <c r="Q98" s="2918"/>
      <c r="R98" s="2904"/>
      <c r="S98" s="2904"/>
      <c r="T98" s="2904"/>
      <c r="U98" s="2904"/>
      <c r="V98" s="2904"/>
      <c r="W98" s="2904"/>
      <c r="X98" s="2904"/>
      <c r="Y98" s="2904"/>
      <c r="Z98" s="2904"/>
      <c r="AA98" s="2904"/>
      <c r="AB98" s="2904"/>
      <c r="AC98" s="2904"/>
    </row>
    <row r="99" spans="1:29" ht="15.75" thickBot="1">
      <c r="A99" s="2065"/>
      <c r="B99" s="526"/>
      <c r="C99" s="527"/>
      <c r="D99" s="527"/>
      <c r="E99" s="527"/>
      <c r="F99" s="527"/>
      <c r="G99" s="548"/>
      <c r="H99" s="548"/>
      <c r="I99" s="548"/>
      <c r="J99" s="548"/>
      <c r="K99" s="548"/>
      <c r="L99" s="548"/>
      <c r="M99" s="549"/>
      <c r="N99" s="2933"/>
      <c r="O99" s="2933"/>
      <c r="P99" s="2923"/>
      <c r="Q99" s="2918"/>
      <c r="R99" s="2904"/>
      <c r="S99" s="2904"/>
      <c r="T99" s="2904"/>
      <c r="U99" s="2904"/>
      <c r="V99" s="2904"/>
      <c r="W99" s="2904"/>
      <c r="X99" s="2904"/>
      <c r="Y99" s="2904"/>
      <c r="Z99" s="2904"/>
      <c r="AA99" s="2904"/>
      <c r="AB99" s="2904"/>
      <c r="AC99" s="2904"/>
    </row>
    <row r="100" spans="1:29">
      <c r="A100" s="484" t="s">
        <v>2142</v>
      </c>
      <c r="B100" s="485" t="s">
        <v>2260</v>
      </c>
      <c r="C100" s="487"/>
      <c r="D100" s="487"/>
      <c r="E100" s="487"/>
      <c r="F100" s="487"/>
      <c r="G100" s="487"/>
      <c r="H100" s="487"/>
      <c r="I100" s="487"/>
      <c r="J100" s="487"/>
      <c r="K100" s="488"/>
      <c r="L100" s="489"/>
      <c r="M100" s="490"/>
      <c r="N100" s="2932"/>
      <c r="O100" s="2932"/>
      <c r="P100" s="2923"/>
      <c r="Q100" s="2918"/>
      <c r="R100" s="2904"/>
      <c r="S100" s="2904"/>
      <c r="T100" s="2904"/>
      <c r="U100" s="2904"/>
      <c r="V100" s="2904"/>
      <c r="W100" s="2904"/>
      <c r="X100" s="2904"/>
      <c r="Y100" s="2904"/>
      <c r="Z100" s="2904"/>
      <c r="AA100" s="2904"/>
      <c r="AB100" s="2904"/>
      <c r="AC100" s="290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33"/>
      <c r="O101" s="2933"/>
      <c r="P101" s="2923"/>
      <c r="Q101" s="2918"/>
      <c r="R101" s="2904"/>
      <c r="S101" s="2904"/>
      <c r="T101" s="2904"/>
      <c r="U101" s="2904"/>
      <c r="V101" s="2904"/>
      <c r="W101" s="2904"/>
      <c r="X101" s="2904"/>
      <c r="Y101" s="2904"/>
      <c r="Z101" s="2904"/>
      <c r="AA101" s="2904"/>
      <c r="AB101" s="2904"/>
      <c r="AC101" s="2904"/>
    </row>
    <row r="102" spans="1:29" ht="15.75" thickTop="1">
      <c r="A102" s="491"/>
      <c r="B102" s="495" t="s">
        <v>2192</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31"/>
      <c r="O102" s="2931"/>
      <c r="P102" s="2923"/>
      <c r="Q102" s="2918"/>
      <c r="R102" s="2904"/>
      <c r="S102" s="2904"/>
      <c r="T102" s="2904"/>
      <c r="U102" s="2904"/>
      <c r="V102" s="2904"/>
      <c r="W102" s="2904"/>
      <c r="X102" s="2904"/>
      <c r="Y102" s="2904"/>
      <c r="Z102" s="2904"/>
      <c r="AA102" s="2904"/>
      <c r="AB102" s="2904"/>
      <c r="AC102" s="2904"/>
    </row>
    <row r="103" spans="1:29" s="430" customFormat="1">
      <c r="A103" s="550"/>
      <c r="B103" s="551"/>
      <c r="C103" s="552"/>
      <c r="D103" s="552"/>
      <c r="E103" s="552"/>
      <c r="F103" s="552"/>
      <c r="G103" s="552"/>
      <c r="H103" s="552"/>
      <c r="I103" s="552"/>
      <c r="J103" s="553"/>
      <c r="K103" s="553"/>
      <c r="L103" s="554"/>
      <c r="M103" s="555"/>
      <c r="N103" s="2934"/>
      <c r="O103" s="2934"/>
      <c r="P103" s="2924"/>
      <c r="Q103" s="2925"/>
      <c r="R103" s="2926"/>
      <c r="S103" s="2926"/>
      <c r="T103" s="2926"/>
      <c r="U103" s="2926"/>
      <c r="V103" s="2926"/>
      <c r="W103" s="2926"/>
      <c r="X103" s="2926"/>
      <c r="Y103" s="2926"/>
      <c r="Z103" s="2926"/>
      <c r="AA103" s="2926"/>
      <c r="AB103" s="2926"/>
      <c r="AC103" s="2926"/>
    </row>
    <row r="104" spans="1:29" s="430" customFormat="1" ht="15.75" thickBot="1">
      <c r="A104" s="510"/>
      <c r="B104" s="500"/>
      <c r="C104" s="517"/>
      <c r="D104" s="493"/>
      <c r="E104" s="493"/>
      <c r="F104" s="493"/>
      <c r="G104" s="493"/>
      <c r="H104" s="493"/>
      <c r="I104" s="493"/>
      <c r="J104" s="493"/>
      <c r="K104" s="493"/>
      <c r="L104" s="493"/>
      <c r="M104" s="494"/>
      <c r="N104" s="2933"/>
      <c r="O104" s="2933"/>
      <c r="P104" s="2924"/>
      <c r="Q104" s="2925"/>
      <c r="R104" s="2926"/>
      <c r="S104" s="2926"/>
      <c r="T104" s="2926"/>
      <c r="U104" s="2926"/>
      <c r="V104" s="2926"/>
      <c r="W104" s="2926"/>
      <c r="X104" s="2926"/>
      <c r="Y104" s="2926"/>
      <c r="Z104" s="2926"/>
      <c r="AA104" s="2926"/>
      <c r="AB104" s="2926"/>
      <c r="AC104" s="2926"/>
    </row>
    <row r="105" spans="1:29" ht="15" thickTop="1">
      <c r="A105" s="556"/>
      <c r="B105" s="495" t="s">
        <v>2193</v>
      </c>
      <c r="C105" s="511"/>
      <c r="D105" s="511"/>
      <c r="E105" s="540"/>
      <c r="F105" s="540"/>
      <c r="G105" s="540"/>
      <c r="H105" s="540"/>
      <c r="I105" s="540"/>
      <c r="J105" s="540"/>
      <c r="K105" s="541"/>
      <c r="L105" s="542"/>
      <c r="M105" s="543"/>
      <c r="N105" s="2932"/>
      <c r="O105" s="2932"/>
      <c r="P105" s="2923"/>
      <c r="Q105" s="2918"/>
      <c r="R105" s="2904"/>
      <c r="S105" s="2904"/>
      <c r="T105" s="2904"/>
      <c r="U105" s="2904"/>
      <c r="V105" s="2904"/>
      <c r="W105" s="2904"/>
      <c r="X105" s="2904"/>
      <c r="Y105" s="2904"/>
      <c r="Z105" s="2904"/>
      <c r="AA105" s="2904"/>
      <c r="AB105" s="2904"/>
      <c r="AC105" s="290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33"/>
      <c r="O106" s="2933"/>
      <c r="P106" s="2923"/>
      <c r="Q106" s="2918"/>
      <c r="R106" s="2904"/>
      <c r="S106" s="2904"/>
      <c r="T106" s="2904"/>
      <c r="U106" s="2904"/>
      <c r="V106" s="2904"/>
      <c r="W106" s="2904"/>
      <c r="X106" s="2904"/>
      <c r="Y106" s="2904"/>
      <c r="Z106" s="2904"/>
      <c r="AA106" s="2904"/>
      <c r="AB106" s="2904"/>
      <c r="AC106" s="2904"/>
    </row>
    <row r="107" spans="1:29" ht="15" thickTop="1">
      <c r="A107" s="556"/>
      <c r="B107" s="495" t="s">
        <v>2195</v>
      </c>
      <c r="C107" s="511"/>
      <c r="D107" s="511"/>
      <c r="E107" s="511"/>
      <c r="F107" s="540"/>
      <c r="G107" s="540"/>
      <c r="H107" s="540"/>
      <c r="I107" s="540"/>
      <c r="J107" s="540"/>
      <c r="K107" s="541"/>
      <c r="L107" s="542"/>
      <c r="M107" s="543"/>
      <c r="N107" s="2932"/>
      <c r="O107" s="2932"/>
      <c r="P107" s="2923"/>
      <c r="Q107" s="2918"/>
      <c r="R107" s="2904"/>
      <c r="S107" s="2904"/>
      <c r="T107" s="2904"/>
      <c r="U107" s="2904"/>
      <c r="V107" s="2904"/>
      <c r="W107" s="2904"/>
      <c r="X107" s="2904"/>
      <c r="Y107" s="2904"/>
      <c r="Z107" s="2904"/>
      <c r="AA107" s="2904"/>
      <c r="AB107" s="2904"/>
      <c r="AC107" s="290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33"/>
      <c r="O108" s="2933"/>
      <c r="P108" s="2923"/>
      <c r="Q108" s="2918"/>
      <c r="R108" s="2904"/>
      <c r="S108" s="2904"/>
      <c r="T108" s="2904"/>
      <c r="U108" s="2904"/>
      <c r="V108" s="2904"/>
      <c r="W108" s="2904"/>
      <c r="X108" s="2904"/>
      <c r="Y108" s="2904"/>
      <c r="Z108" s="2904"/>
      <c r="AA108" s="2904"/>
      <c r="AB108" s="2904"/>
      <c r="AC108" s="2904"/>
    </row>
    <row r="109" spans="1:29" ht="15" thickTop="1">
      <c r="A109" s="556"/>
      <c r="B109" s="495" t="s">
        <v>1634</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32"/>
      <c r="O109" s="2932"/>
      <c r="P109" s="2923"/>
      <c r="Q109" s="2918"/>
      <c r="R109" s="2904"/>
      <c r="S109" s="2904"/>
      <c r="T109" s="2904"/>
      <c r="U109" s="2904"/>
      <c r="V109" s="2904"/>
      <c r="W109" s="2904"/>
      <c r="X109" s="2904"/>
      <c r="Y109" s="2904"/>
      <c r="Z109" s="2904"/>
      <c r="AA109" s="2904"/>
      <c r="AB109" s="2904"/>
      <c r="AC109" s="2904"/>
    </row>
    <row r="110" spans="1:29">
      <c r="A110" s="556"/>
      <c r="B110" s="503"/>
      <c r="C110" s="560">
        <v>0.5</v>
      </c>
      <c r="D110" s="560">
        <v>0.6</v>
      </c>
      <c r="E110" s="560">
        <v>0.7</v>
      </c>
      <c r="F110" s="560">
        <v>0.8</v>
      </c>
      <c r="G110" s="560">
        <v>0.9</v>
      </c>
      <c r="H110" s="560">
        <v>1.0001</v>
      </c>
      <c r="I110" s="579"/>
      <c r="J110" s="579"/>
      <c r="K110" s="580"/>
      <c r="L110" s="581"/>
      <c r="M110" s="582"/>
      <c r="N110" s="2932"/>
      <c r="O110" s="2932"/>
      <c r="P110" s="2923"/>
      <c r="Q110" s="2918"/>
      <c r="R110" s="2904"/>
      <c r="S110" s="2904"/>
      <c r="T110" s="2904"/>
      <c r="U110" s="2904"/>
      <c r="V110" s="2904"/>
      <c r="W110" s="2904"/>
      <c r="X110" s="2904"/>
      <c r="Y110" s="2904"/>
      <c r="Z110" s="2904"/>
      <c r="AA110" s="2904"/>
      <c r="AB110" s="2904"/>
      <c r="AC110" s="290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33"/>
      <c r="O111" s="2933"/>
      <c r="P111" s="2923"/>
      <c r="Q111" s="2918"/>
      <c r="R111" s="2904"/>
      <c r="S111" s="2904"/>
      <c r="T111" s="2904"/>
      <c r="U111" s="2904"/>
      <c r="V111" s="2904"/>
      <c r="W111" s="2904"/>
      <c r="X111" s="2904"/>
      <c r="Y111" s="2904"/>
      <c r="Z111" s="2904"/>
      <c r="AA111" s="2904"/>
      <c r="AB111" s="2904"/>
      <c r="AC111" s="2904"/>
    </row>
    <row r="112" spans="1:29" s="430" customFormat="1" ht="15" thickTop="1">
      <c r="A112" s="550"/>
      <c r="B112" s="495" t="s">
        <v>2197</v>
      </c>
      <c r="C112" s="511"/>
      <c r="D112" s="511"/>
      <c r="E112" s="511"/>
      <c r="F112" s="511"/>
      <c r="G112" s="511"/>
      <c r="H112" s="540"/>
      <c r="I112" s="540"/>
      <c r="J112" s="540"/>
      <c r="K112" s="541"/>
      <c r="L112" s="542"/>
      <c r="M112" s="543"/>
      <c r="N112" s="2934"/>
      <c r="O112" s="2934"/>
      <c r="P112" s="2924"/>
      <c r="Q112" s="2925"/>
      <c r="R112" s="2926"/>
      <c r="S112" s="2926"/>
      <c r="T112" s="2926"/>
      <c r="U112" s="2926"/>
      <c r="V112" s="2926"/>
      <c r="W112" s="2926"/>
      <c r="X112" s="2926"/>
      <c r="Y112" s="2926"/>
      <c r="Z112" s="2926"/>
      <c r="AA112" s="2926"/>
      <c r="AB112" s="2926"/>
      <c r="AC112" s="292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34"/>
      <c r="O113" s="2934"/>
      <c r="P113" s="2924"/>
      <c r="Q113" s="2925"/>
      <c r="R113" s="2926"/>
      <c r="S113" s="2926"/>
      <c r="T113" s="2926"/>
      <c r="U113" s="2926"/>
      <c r="V113" s="2926"/>
      <c r="W113" s="2926"/>
      <c r="X113" s="2926"/>
      <c r="Y113" s="2926"/>
      <c r="Z113" s="2926"/>
      <c r="AA113" s="2926"/>
      <c r="AB113" s="2926"/>
      <c r="AC113" s="2926"/>
    </row>
    <row r="114" spans="1:29" ht="15" thickTop="1">
      <c r="A114" s="556"/>
      <c r="B114" s="495" t="s">
        <v>2261</v>
      </c>
      <c r="C114" s="511"/>
      <c r="D114" s="511"/>
      <c r="E114" s="540"/>
      <c r="F114" s="540"/>
      <c r="G114" s="540"/>
      <c r="H114" s="540"/>
      <c r="I114" s="540"/>
      <c r="J114" s="540"/>
      <c r="K114" s="541"/>
      <c r="L114" s="542"/>
      <c r="M114" s="543"/>
      <c r="N114" s="2932"/>
      <c r="O114" s="2932"/>
      <c r="P114" s="2923"/>
      <c r="Q114" s="2918"/>
      <c r="R114" s="2904"/>
      <c r="S114" s="2904"/>
      <c r="T114" s="2904"/>
      <c r="U114" s="2904"/>
      <c r="V114" s="2904"/>
      <c r="W114" s="2904"/>
      <c r="X114" s="2904"/>
      <c r="Y114" s="2904"/>
      <c r="Z114" s="2904"/>
      <c r="AA114" s="2904"/>
      <c r="AB114" s="2904"/>
      <c r="AC114" s="290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3"/>
      <c r="O115" s="2933"/>
      <c r="P115" s="2923"/>
      <c r="Q115" s="2918"/>
      <c r="R115" s="2904"/>
      <c r="S115" s="2904"/>
      <c r="T115" s="2904"/>
      <c r="U115" s="2904"/>
      <c r="V115" s="2904"/>
      <c r="W115" s="2904"/>
      <c r="X115" s="2904"/>
      <c r="Y115" s="2904"/>
      <c r="Z115" s="2904"/>
      <c r="AA115" s="2904"/>
      <c r="AB115" s="2904"/>
      <c r="AC115" s="2904"/>
    </row>
    <row r="116" spans="1:29" ht="15" thickTop="1">
      <c r="A116" s="556"/>
      <c r="B116" s="495" t="s">
        <v>2262</v>
      </c>
      <c r="C116" s="511"/>
      <c r="D116" s="511"/>
      <c r="E116" s="511"/>
      <c r="F116" s="511"/>
      <c r="G116" s="511"/>
      <c r="H116" s="540"/>
      <c r="I116" s="540"/>
      <c r="J116" s="540"/>
      <c r="K116" s="541"/>
      <c r="L116" s="542"/>
      <c r="M116" s="543"/>
      <c r="N116" s="2932"/>
      <c r="O116" s="2932"/>
      <c r="P116" s="2923"/>
      <c r="Q116" s="2918"/>
      <c r="R116" s="2904"/>
      <c r="S116" s="2904"/>
      <c r="T116" s="2904"/>
      <c r="U116" s="2904"/>
      <c r="V116" s="2904"/>
      <c r="W116" s="2904"/>
      <c r="X116" s="2904"/>
      <c r="Y116" s="2904"/>
      <c r="Z116" s="2904"/>
      <c r="AA116" s="2904"/>
      <c r="AB116" s="2904"/>
      <c r="AC116" s="290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33"/>
      <c r="O117" s="2933"/>
      <c r="P117" s="2923"/>
      <c r="Q117" s="2918"/>
      <c r="R117" s="2904"/>
      <c r="S117" s="2904"/>
      <c r="T117" s="2904"/>
      <c r="U117" s="2904"/>
      <c r="V117" s="2904"/>
      <c r="W117" s="2904"/>
      <c r="X117" s="2904"/>
      <c r="Y117" s="2904"/>
      <c r="Z117" s="2904"/>
      <c r="AA117" s="2904"/>
      <c r="AB117" s="2904"/>
      <c r="AC117" s="2904"/>
    </row>
    <row r="118" spans="1:29" ht="15" thickTop="1">
      <c r="A118" s="556"/>
      <c r="B118" s="495" t="s">
        <v>2263</v>
      </c>
      <c r="C118" s="583"/>
      <c r="D118" s="583"/>
      <c r="E118" s="583"/>
      <c r="F118" s="583"/>
      <c r="G118" s="583"/>
      <c r="H118" s="512"/>
      <c r="I118" s="512"/>
      <c r="J118" s="512"/>
      <c r="K118" s="512"/>
      <c r="L118" s="513"/>
      <c r="M118" s="514"/>
      <c r="N118" s="2932"/>
      <c r="O118" s="2932"/>
      <c r="P118" s="2923"/>
      <c r="Q118" s="2918"/>
      <c r="R118" s="2904"/>
      <c r="S118" s="2904"/>
      <c r="T118" s="2904"/>
      <c r="U118" s="2904"/>
      <c r="V118" s="2904"/>
      <c r="W118" s="2904"/>
      <c r="X118" s="2904"/>
      <c r="Y118" s="2904"/>
      <c r="Z118" s="2904"/>
      <c r="AA118" s="2904"/>
      <c r="AB118" s="2904"/>
      <c r="AC118" s="2904"/>
    </row>
    <row r="119" spans="1:29" ht="15.75" thickBot="1">
      <c r="A119" s="491"/>
      <c r="B119" s="500"/>
      <c r="C119" s="517"/>
      <c r="D119" s="493"/>
      <c r="E119" s="493"/>
      <c r="F119" s="493"/>
      <c r="G119" s="493"/>
      <c r="H119" s="493"/>
      <c r="I119" s="493"/>
      <c r="J119" s="493"/>
      <c r="K119" s="493"/>
      <c r="L119" s="493"/>
      <c r="M119" s="494"/>
      <c r="N119" s="2933"/>
      <c r="O119" s="2933"/>
      <c r="P119" s="2923"/>
      <c r="Q119" s="2918"/>
      <c r="R119" s="2904"/>
      <c r="S119" s="2904"/>
      <c r="T119" s="2904"/>
      <c r="U119" s="2904"/>
      <c r="V119" s="2904"/>
      <c r="W119" s="2904"/>
      <c r="X119" s="2904"/>
      <c r="Y119" s="2904"/>
      <c r="Z119" s="2904"/>
      <c r="AA119" s="2904"/>
      <c r="AB119" s="2904"/>
      <c r="AC119" s="2904"/>
    </row>
    <row r="120" spans="1:29" s="430" customFormat="1" ht="15" thickTop="1">
      <c r="A120" s="550"/>
      <c r="B120" s="495" t="s">
        <v>2264</v>
      </c>
      <c r="C120" s="540"/>
      <c r="D120" s="540"/>
      <c r="E120" s="540"/>
      <c r="F120" s="540"/>
      <c r="G120" s="512"/>
      <c r="H120" s="512"/>
      <c r="I120" s="512"/>
      <c r="J120" s="512"/>
      <c r="K120" s="512"/>
      <c r="L120" s="513"/>
      <c r="M120" s="514"/>
      <c r="N120" s="2934"/>
      <c r="O120" s="2934"/>
      <c r="P120" s="2924"/>
      <c r="Q120" s="2925"/>
      <c r="R120" s="2926"/>
      <c r="S120" s="2926"/>
      <c r="T120" s="2926"/>
      <c r="U120" s="2926"/>
      <c r="V120" s="2926"/>
      <c r="W120" s="2926"/>
      <c r="X120" s="2926"/>
      <c r="Y120" s="2926"/>
      <c r="Z120" s="2926"/>
      <c r="AA120" s="2926"/>
      <c r="AB120" s="2926"/>
      <c r="AC120" s="292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34"/>
      <c r="O121" s="2934"/>
      <c r="P121" s="2924"/>
      <c r="Q121" s="2925"/>
      <c r="R121" s="2926"/>
      <c r="S121" s="2926"/>
      <c r="T121" s="2926"/>
      <c r="U121" s="2926"/>
      <c r="V121" s="2926"/>
      <c r="W121" s="2926"/>
      <c r="X121" s="2926"/>
      <c r="Y121" s="2926"/>
      <c r="Z121" s="2926"/>
      <c r="AA121" s="2926"/>
      <c r="AB121" s="2926"/>
      <c r="AC121" s="2926"/>
    </row>
    <row r="122" spans="1:29" ht="15" thickTop="1">
      <c r="A122" s="556"/>
      <c r="B122" s="495" t="s">
        <v>2199</v>
      </c>
      <c r="C122" s="511"/>
      <c r="D122" s="511"/>
      <c r="E122" s="511"/>
      <c r="F122" s="540"/>
      <c r="G122" s="540"/>
      <c r="H122" s="540"/>
      <c r="I122" s="540"/>
      <c r="J122" s="540"/>
      <c r="K122" s="541"/>
      <c r="L122" s="542"/>
      <c r="M122" s="543"/>
      <c r="N122" s="2932"/>
      <c r="O122" s="2932"/>
      <c r="P122" s="2923"/>
      <c r="Q122" s="2918"/>
      <c r="R122" s="2904"/>
      <c r="S122" s="2904"/>
      <c r="T122" s="2904"/>
      <c r="U122" s="2904"/>
      <c r="V122" s="2904"/>
      <c r="W122" s="2904"/>
      <c r="X122" s="2904"/>
      <c r="Y122" s="2904"/>
      <c r="Z122" s="2904"/>
      <c r="AA122" s="2904"/>
      <c r="AB122" s="2904"/>
      <c r="AC122" s="290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33"/>
      <c r="O123" s="2933"/>
      <c r="P123" s="2923"/>
      <c r="Q123" s="2918"/>
      <c r="R123" s="2904"/>
      <c r="S123" s="2904"/>
      <c r="T123" s="2904"/>
      <c r="U123" s="2904"/>
      <c r="V123" s="2904"/>
      <c r="W123" s="2904"/>
      <c r="X123" s="2904"/>
      <c r="Y123" s="2904"/>
      <c r="Z123" s="2904"/>
      <c r="AA123" s="2904"/>
      <c r="AB123" s="2904"/>
      <c r="AC123" s="2904"/>
    </row>
    <row r="124" spans="1:29" ht="15" thickTop="1">
      <c r="A124" s="556"/>
      <c r="B124" s="495" t="s">
        <v>2200</v>
      </c>
      <c r="C124" s="535" t="s">
        <v>2176</v>
      </c>
      <c r="D124" s="535" t="s">
        <v>2177</v>
      </c>
      <c r="E124" s="535" t="s">
        <v>2178</v>
      </c>
      <c r="F124" s="535" t="s">
        <v>2179</v>
      </c>
      <c r="G124" s="535" t="s">
        <v>2180</v>
      </c>
      <c r="H124" s="496"/>
      <c r="I124" s="496"/>
      <c r="J124" s="496"/>
      <c r="K124" s="497"/>
      <c r="L124" s="498"/>
      <c r="M124" s="499"/>
      <c r="N124" s="2932"/>
      <c r="O124" s="2932"/>
      <c r="P124" s="2924"/>
      <c r="Q124" s="2918"/>
      <c r="R124" s="2904"/>
      <c r="S124" s="2904"/>
      <c r="T124" s="2904"/>
      <c r="U124" s="2904"/>
      <c r="V124" s="2904"/>
      <c r="W124" s="2904"/>
      <c r="X124" s="2904"/>
      <c r="Y124" s="2904"/>
      <c r="Z124" s="2904"/>
      <c r="AA124" s="2904"/>
      <c r="AB124" s="2904"/>
      <c r="AC124" s="290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33"/>
      <c r="O125" s="2933"/>
      <c r="P125" s="2923"/>
      <c r="Q125" s="2918"/>
      <c r="R125" s="2904"/>
      <c r="S125" s="2904"/>
      <c r="T125" s="2904"/>
      <c r="U125" s="2904"/>
      <c r="V125" s="2904"/>
      <c r="W125" s="2904"/>
      <c r="X125" s="2904"/>
      <c r="Y125" s="2904"/>
      <c r="Z125" s="2904"/>
      <c r="AA125" s="2904"/>
      <c r="AB125" s="2904"/>
      <c r="AC125" s="2904"/>
    </row>
    <row r="126" spans="1:29" s="430" customFormat="1" ht="15" thickTop="1">
      <c r="A126" s="550"/>
      <c r="B126" s="495">
        <f>B44</f>
        <v>111</v>
      </c>
      <c r="C126" s="511"/>
      <c r="D126" s="511"/>
      <c r="E126" s="511"/>
      <c r="F126" s="511"/>
      <c r="G126" s="511"/>
      <c r="H126" s="512"/>
      <c r="I126" s="512"/>
      <c r="J126" s="512"/>
      <c r="K126" s="512"/>
      <c r="L126" s="513"/>
      <c r="M126" s="514"/>
      <c r="N126" s="2934"/>
      <c r="O126" s="2934"/>
      <c r="P126" s="2924"/>
      <c r="Q126" s="2925"/>
      <c r="R126" s="2926"/>
      <c r="S126" s="2926"/>
      <c r="T126" s="2926"/>
      <c r="U126" s="2926"/>
      <c r="V126" s="2926"/>
      <c r="W126" s="2926"/>
      <c r="X126" s="2926"/>
      <c r="Y126" s="2926"/>
      <c r="Z126" s="2926"/>
      <c r="AA126" s="2926"/>
      <c r="AB126" s="2926"/>
      <c r="AC126" s="2926"/>
    </row>
    <row r="127" spans="1:29" s="430" customFormat="1" ht="15.75" thickBot="1">
      <c r="A127" s="510"/>
      <c r="B127" s="500"/>
      <c r="C127" s="517"/>
      <c r="D127" s="493"/>
      <c r="E127" s="493"/>
      <c r="F127" s="493"/>
      <c r="G127" s="517"/>
      <c r="H127" s="519"/>
      <c r="I127" s="519"/>
      <c r="J127" s="519"/>
      <c r="K127" s="519"/>
      <c r="L127" s="519"/>
      <c r="M127" s="520"/>
      <c r="N127" s="2934"/>
      <c r="O127" s="2934"/>
      <c r="P127" s="2924"/>
      <c r="Q127" s="2925"/>
      <c r="R127" s="2926"/>
      <c r="S127" s="2926"/>
      <c r="T127" s="2926"/>
      <c r="U127" s="2926"/>
      <c r="V127" s="2926"/>
      <c r="W127" s="2926"/>
      <c r="X127" s="2926"/>
      <c r="Y127" s="2926"/>
      <c r="Z127" s="2926"/>
      <c r="AA127" s="2926"/>
      <c r="AB127" s="2926"/>
      <c r="AC127" s="2926"/>
    </row>
    <row r="128" spans="1:29" ht="15" thickTop="1">
      <c r="A128" s="556"/>
      <c r="B128" s="495">
        <f>B45</f>
        <v>111</v>
      </c>
      <c r="C128" s="511"/>
      <c r="D128" s="511"/>
      <c r="E128" s="511"/>
      <c r="F128" s="511"/>
      <c r="G128" s="540"/>
      <c r="H128" s="540"/>
      <c r="I128" s="540"/>
      <c r="J128" s="540"/>
      <c r="K128" s="541"/>
      <c r="L128" s="542"/>
      <c r="M128" s="543"/>
      <c r="N128" s="2932"/>
      <c r="O128" s="2932"/>
      <c r="P128" s="2923"/>
      <c r="Q128" s="2918"/>
      <c r="R128" s="2904"/>
      <c r="S128" s="2904"/>
      <c r="T128" s="2904"/>
      <c r="U128" s="2904"/>
      <c r="V128" s="2904"/>
      <c r="W128" s="2904"/>
      <c r="X128" s="2904"/>
      <c r="Y128" s="2904"/>
      <c r="Z128" s="2904"/>
      <c r="AA128" s="2904"/>
      <c r="AB128" s="2904"/>
      <c r="AC128" s="2904"/>
    </row>
    <row r="129" spans="1:29" ht="15.75" thickBot="1">
      <c r="A129" s="491"/>
      <c r="B129" s="500"/>
      <c r="C129" s="517"/>
      <c r="D129" s="493"/>
      <c r="E129" s="493"/>
      <c r="F129" s="493"/>
      <c r="G129" s="493"/>
      <c r="H129" s="493"/>
      <c r="I129" s="493"/>
      <c r="J129" s="493"/>
      <c r="K129" s="493"/>
      <c r="L129" s="493"/>
      <c r="M129" s="494"/>
      <c r="N129" s="2933"/>
      <c r="O129" s="2933"/>
      <c r="P129" s="2923"/>
      <c r="Q129" s="2918"/>
      <c r="R129" s="2904"/>
      <c r="S129" s="2904"/>
      <c r="T129" s="2904"/>
      <c r="U129" s="2904"/>
      <c r="V129" s="2904"/>
      <c r="W129" s="2904"/>
      <c r="X129" s="2904"/>
      <c r="Y129" s="2904"/>
      <c r="Z129" s="2904"/>
      <c r="AA129" s="2904"/>
      <c r="AB129" s="2904"/>
      <c r="AC129" s="2904"/>
    </row>
    <row r="130" spans="1:29" ht="15" thickTop="1">
      <c r="A130" s="556"/>
      <c r="B130" s="503">
        <f>B46</f>
        <v>111</v>
      </c>
      <c r="C130" s="511"/>
      <c r="D130" s="511"/>
      <c r="E130" s="511"/>
      <c r="F130" s="511"/>
      <c r="G130" s="544"/>
      <c r="H130" s="544"/>
      <c r="I130" s="544"/>
      <c r="J130" s="544"/>
      <c r="K130" s="480"/>
      <c r="L130" s="481"/>
      <c r="M130" s="547"/>
      <c r="N130" s="2932"/>
      <c r="O130" s="2932"/>
      <c r="P130" s="2923"/>
      <c r="Q130" s="2918"/>
      <c r="R130" s="2904"/>
      <c r="S130" s="2904"/>
      <c r="T130" s="2904"/>
      <c r="U130" s="2904"/>
      <c r="V130" s="2904"/>
      <c r="W130" s="2904"/>
      <c r="X130" s="2904"/>
      <c r="Y130" s="2904"/>
      <c r="Z130" s="2904"/>
      <c r="AA130" s="2904"/>
      <c r="AB130" s="2904"/>
      <c r="AC130" s="2904"/>
    </row>
    <row r="131" spans="1:29" ht="15.75" thickBot="1">
      <c r="A131" s="2065"/>
      <c r="B131" s="526"/>
      <c r="C131" s="527"/>
      <c r="D131" s="527"/>
      <c r="E131" s="527"/>
      <c r="F131" s="527"/>
      <c r="G131" s="548"/>
      <c r="H131" s="548"/>
      <c r="I131" s="548"/>
      <c r="J131" s="548"/>
      <c r="K131" s="548"/>
      <c r="L131" s="548"/>
      <c r="M131" s="549"/>
      <c r="N131" s="2933"/>
      <c r="O131" s="2933"/>
      <c r="P131" s="2923"/>
      <c r="Q131" s="2918"/>
      <c r="R131" s="2904"/>
      <c r="S131" s="2904"/>
      <c r="T131" s="2904"/>
      <c r="U131" s="2904"/>
      <c r="V131" s="2904"/>
      <c r="W131" s="2904"/>
      <c r="X131" s="2904"/>
      <c r="Y131" s="2904"/>
      <c r="Z131" s="2904"/>
      <c r="AA131" s="2904"/>
      <c r="AB131" s="2904"/>
      <c r="AC131" s="290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Q72" sqref="Q72"/>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94" t="s">
        <v>2265</v>
      </c>
      <c r="C1" s="1345" t="s">
        <v>2109</v>
      </c>
      <c r="D1" s="1346"/>
      <c r="E1" s="1355"/>
      <c r="F1" s="2016"/>
      <c r="G1" s="1356" t="s">
        <v>2222</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1906</v>
      </c>
      <c r="B2" s="1279" t="e">
        <f ca="1">IF(C2="——",ROUND(C50*D3/10000,0),ROUND(C50*D3/10000,0)-D2)</f>
        <v>#DIV/0!</v>
      </c>
      <c r="C2" s="2018"/>
      <c r="D2" s="1228" t="e">
        <f ca="1">SUMIF(INDIRECT("'"&amp;F2&amp;"'"&amp;"!A:A"),"承租人权益价值",INDIRECT("'"&amp;F2&amp;"'"&amp;"!c:c"))</f>
        <v>#REF!</v>
      </c>
      <c r="E2" s="2019" t="s">
        <v>1907</v>
      </c>
      <c r="F2" s="2020"/>
      <c r="G2" s="1020"/>
      <c r="H2" s="1020"/>
      <c r="I2" s="1020"/>
      <c r="J2" s="1020"/>
      <c r="K2" s="1020"/>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1908</v>
      </c>
      <c r="B3" s="566" t="e">
        <f ca="1">IF(C2="——",C50,ROUND(B2*10000/D3,0))</f>
        <v>#DIV/0!</v>
      </c>
      <c r="C3" s="360" t="s">
        <v>2223</v>
      </c>
      <c r="D3" s="359">
        <f>IF(D1="",'数据-汇总表'!E3,SUMIF('数据-汇总表'!$C19:$C33,D1,'数据-汇总表'!$E19:$E33))</f>
        <v>6531.86</v>
      </c>
      <c r="E3" s="2091"/>
      <c r="F3" s="1021"/>
      <c r="G3" s="1020"/>
      <c r="H3" s="1020"/>
      <c r="I3" s="1020"/>
      <c r="J3" s="1020"/>
      <c r="K3" s="1022"/>
      <c r="L3" s="2913"/>
      <c r="M3" s="2914"/>
      <c r="N3" s="2914"/>
      <c r="O3" s="2914"/>
      <c r="P3" s="708"/>
      <c r="Q3" s="708"/>
      <c r="R3" s="708"/>
      <c r="S3" s="708"/>
      <c r="T3" s="708"/>
      <c r="U3" s="708"/>
      <c r="V3" s="708"/>
      <c r="W3" s="708"/>
      <c r="X3" s="708"/>
      <c r="Y3" s="708"/>
      <c r="Z3" s="708"/>
      <c r="AA3" s="708"/>
      <c r="AB3" s="708"/>
      <c r="AC3" s="709"/>
    </row>
    <row r="4" spans="1:29" ht="15">
      <c r="A4" s="361" t="s">
        <v>2224</v>
      </c>
      <c r="B4" s="362"/>
      <c r="C4" s="3468" t="s">
        <v>2225</v>
      </c>
      <c r="D4" s="3469"/>
      <c r="E4" s="3470" t="s">
        <v>2226</v>
      </c>
      <c r="F4" s="3471"/>
      <c r="G4" s="3468" t="s">
        <v>2227</v>
      </c>
      <c r="H4" s="3469"/>
      <c r="I4" s="3468" t="s">
        <v>2228</v>
      </c>
      <c r="J4" s="3469"/>
      <c r="K4" s="567" t="s">
        <v>2229</v>
      </c>
      <c r="L4" s="2894"/>
      <c r="M4" s="2895"/>
      <c r="N4" s="2895"/>
      <c r="O4" s="2895"/>
      <c r="P4" s="3502" t="s">
        <v>2230</v>
      </c>
      <c r="Q4" s="3503"/>
      <c r="R4" s="3497" t="s">
        <v>2226</v>
      </c>
      <c r="S4" s="3498"/>
      <c r="T4" s="3497" t="s">
        <v>2227</v>
      </c>
      <c r="U4" s="3498"/>
      <c r="V4" s="3506" t="s">
        <v>2228</v>
      </c>
      <c r="W4" s="3506"/>
      <c r="X4" s="2095"/>
      <c r="Y4" s="3497" t="s">
        <v>2230</v>
      </c>
      <c r="Z4" s="3498"/>
      <c r="AA4" s="3496" t="s">
        <v>2226</v>
      </c>
      <c r="AB4" s="3496" t="s">
        <v>2227</v>
      </c>
      <c r="AC4" s="3499" t="s">
        <v>2228</v>
      </c>
    </row>
    <row r="5" spans="1:29" ht="15">
      <c r="A5" s="364"/>
      <c r="B5" s="365"/>
      <c r="C5" s="3461" t="s">
        <v>2121</v>
      </c>
      <c r="D5" s="3462"/>
      <c r="E5" s="3459" t="s">
        <v>2122</v>
      </c>
      <c r="F5" s="3460"/>
      <c r="G5" s="3461" t="s">
        <v>2123</v>
      </c>
      <c r="H5" s="3462"/>
      <c r="I5" s="3461" t="s">
        <v>2124</v>
      </c>
      <c r="J5" s="3462"/>
      <c r="K5" s="567"/>
      <c r="L5" s="2894"/>
      <c r="M5" s="2895"/>
      <c r="N5" s="2895"/>
      <c r="O5" s="2895"/>
      <c r="P5" s="3504"/>
      <c r="Q5" s="3475"/>
      <c r="R5" s="3457"/>
      <c r="S5" s="3458"/>
      <c r="T5" s="3457"/>
      <c r="U5" s="3458"/>
      <c r="V5" s="3480"/>
      <c r="W5" s="3480"/>
      <c r="X5" s="1490"/>
      <c r="Y5" s="3457"/>
      <c r="Z5" s="3458"/>
      <c r="AA5" s="3451"/>
      <c r="AB5" s="3451"/>
      <c r="AC5" s="3500"/>
    </row>
    <row r="6" spans="1:29" ht="15.75" thickBot="1">
      <c r="A6" s="366"/>
      <c r="B6" s="367"/>
      <c r="C6" s="3463" t="s">
        <v>2125</v>
      </c>
      <c r="D6" s="3464"/>
      <c r="E6" s="3465" t="s">
        <v>2125</v>
      </c>
      <c r="F6" s="3466"/>
      <c r="G6" s="3463" t="s">
        <v>2125</v>
      </c>
      <c r="H6" s="3464"/>
      <c r="I6" s="3463" t="s">
        <v>2125</v>
      </c>
      <c r="J6" s="3464"/>
      <c r="K6" s="567" t="s">
        <v>2126</v>
      </c>
      <c r="L6" s="2894"/>
      <c r="M6" s="2895"/>
      <c r="N6" s="2895"/>
      <c r="O6" s="2895"/>
      <c r="P6" s="3505"/>
      <c r="Q6" s="3477"/>
      <c r="R6" s="3457"/>
      <c r="S6" s="3458"/>
      <c r="T6" s="3478"/>
      <c r="U6" s="3479"/>
      <c r="V6" s="3480"/>
      <c r="W6" s="3480"/>
      <c r="X6" s="1490"/>
      <c r="Y6" s="3478"/>
      <c r="Z6" s="3479"/>
      <c r="AA6" s="3452"/>
      <c r="AB6" s="3452"/>
      <c r="AC6" s="3501"/>
    </row>
    <row r="7" spans="1:29" s="113" customFormat="1" ht="15.75" thickBot="1">
      <c r="A7" s="368" t="s">
        <v>2127</v>
      </c>
      <c r="B7" s="369"/>
      <c r="C7" s="370">
        <f>'数据-取费表'!B2</f>
        <v>44869</v>
      </c>
      <c r="D7" s="371">
        <v>100</v>
      </c>
      <c r="E7" s="372"/>
      <c r="F7" s="373">
        <f>SUMIF(59:59,YEAR(E7)&amp;"-"&amp;MONTH(E7),60:60)</f>
        <v>0</v>
      </c>
      <c r="G7" s="372"/>
      <c r="H7" s="371">
        <f>SUMIF(59:59,YEAR(G7)&amp;"-"&amp;MONTH(G7),60:60)</f>
        <v>0</v>
      </c>
      <c r="I7" s="372"/>
      <c r="J7" s="371">
        <f>SUMIF(59:59,YEAR(I7)&amp;"-"&amp;MONTH(I7),60:60)</f>
        <v>0</v>
      </c>
      <c r="K7" s="568"/>
      <c r="L7" s="2896"/>
      <c r="M7" s="2897"/>
      <c r="N7" s="2897"/>
      <c r="O7" s="2897"/>
      <c r="P7" s="3507" t="s">
        <v>2128</v>
      </c>
      <c r="Q7" s="3481"/>
      <c r="R7" s="710" t="s">
        <v>17</v>
      </c>
      <c r="S7" s="711">
        <f t="shared" ref="S7:S15" si="0">F7</f>
        <v>0</v>
      </c>
      <c r="T7" s="710" t="s">
        <v>17</v>
      </c>
      <c r="U7" s="711">
        <f t="shared" ref="U7:U15" si="1">H7</f>
        <v>0</v>
      </c>
      <c r="V7" s="710" t="s">
        <v>17</v>
      </c>
      <c r="W7" s="711">
        <f t="shared" ref="W7:W15" si="2">J7</f>
        <v>0</v>
      </c>
      <c r="X7" s="712"/>
      <c r="Y7" s="3453" t="s">
        <v>2128</v>
      </c>
      <c r="Z7" s="3454"/>
      <c r="AA7" s="713" t="e">
        <f>D7/F7</f>
        <v>#DIV/0!</v>
      </c>
      <c r="AB7" s="713" t="e">
        <f>D7/H7</f>
        <v>#DIV/0!</v>
      </c>
      <c r="AC7" s="2096" t="e">
        <f>D7/J7</f>
        <v>#DIV/0!</v>
      </c>
    </row>
    <row r="8" spans="1:29" s="113" customFormat="1" ht="15.75" thickBot="1">
      <c r="A8" s="368" t="s">
        <v>2129</v>
      </c>
      <c r="B8" s="369"/>
      <c r="C8" s="374" t="s">
        <v>2231</v>
      </c>
      <c r="D8" s="371">
        <v>100</v>
      </c>
      <c r="E8" s="374"/>
      <c r="F8" s="373">
        <f>SUMIF(62:62,E8,63:63)-SUMIF(62:62,C8,63:63)+100</f>
        <v>0</v>
      </c>
      <c r="G8" s="374"/>
      <c r="H8" s="371">
        <f>SUMIF(62:62,G8,63:63)-SUMIF(62:62,C8,63:63)+100</f>
        <v>0</v>
      </c>
      <c r="I8" s="374"/>
      <c r="J8" s="371">
        <f>SUMIF(62:62,I8,63:63)-SUMIF(62:62,C8,63:63)+100</f>
        <v>0</v>
      </c>
      <c r="K8" s="568"/>
      <c r="L8" s="2896"/>
      <c r="M8" s="2897"/>
      <c r="N8" s="2897"/>
      <c r="O8" s="2897"/>
      <c r="P8" s="3507" t="s">
        <v>2131</v>
      </c>
      <c r="Q8" s="3454"/>
      <c r="R8" s="710" t="s">
        <v>17</v>
      </c>
      <c r="S8" s="711">
        <f t="shared" si="0"/>
        <v>0</v>
      </c>
      <c r="T8" s="710" t="s">
        <v>17</v>
      </c>
      <c r="U8" s="711">
        <f t="shared" si="1"/>
        <v>0</v>
      </c>
      <c r="V8" s="710" t="s">
        <v>17</v>
      </c>
      <c r="W8" s="711">
        <f t="shared" si="2"/>
        <v>0</v>
      </c>
      <c r="X8" s="712"/>
      <c r="Y8" s="3453" t="s">
        <v>2131</v>
      </c>
      <c r="Z8" s="3454"/>
      <c r="AA8" s="713" t="e">
        <f t="shared" ref="AA8:AA47" si="3">D8/F8</f>
        <v>#DIV/0!</v>
      </c>
      <c r="AB8" s="713" t="e">
        <f t="shared" ref="AB8:AB47" si="4">D8/H8</f>
        <v>#DIV/0!</v>
      </c>
      <c r="AC8" s="2096" t="e">
        <f t="shared" ref="AC8:AC47" si="5">D8/J8</f>
        <v>#DIV/0!</v>
      </c>
    </row>
    <row r="9" spans="1:29" s="113" customFormat="1">
      <c r="A9" s="375" t="s">
        <v>2132</v>
      </c>
      <c r="B9" s="67" t="s">
        <v>2133</v>
      </c>
      <c r="C9" s="376"/>
      <c r="D9" s="131">
        <v>100</v>
      </c>
      <c r="E9" s="379"/>
      <c r="F9" s="131">
        <f>SUMIF(64:64,E9,65:65)-SUMIF(64:64,C9,65:65)+100</f>
        <v>100</v>
      </c>
      <c r="G9" s="377"/>
      <c r="H9" s="131">
        <f>SUMIF(64:64,G9,65:65)-SUMIF(64:64,C9,65:65)+100</f>
        <v>100</v>
      </c>
      <c r="I9" s="377"/>
      <c r="J9" s="131">
        <f>SUMIF(64:64,I9,65:65)-SUMIF(64:64,C9,65:65)+100</f>
        <v>100</v>
      </c>
      <c r="K9" s="568"/>
      <c r="L9" s="2896"/>
      <c r="M9" s="2897"/>
      <c r="N9" s="2897"/>
      <c r="O9" s="2897"/>
      <c r="P9" s="3467" t="s">
        <v>2134</v>
      </c>
      <c r="Q9" s="1478" t="str">
        <f t="shared" ref="Q9:Q15" si="6">B9</f>
        <v>用途</v>
      </c>
      <c r="R9" s="710" t="s">
        <v>17</v>
      </c>
      <c r="S9" s="711">
        <f t="shared" si="0"/>
        <v>100</v>
      </c>
      <c r="T9" s="710" t="s">
        <v>17</v>
      </c>
      <c r="U9" s="711">
        <f t="shared" si="1"/>
        <v>100</v>
      </c>
      <c r="V9" s="710" t="s">
        <v>17</v>
      </c>
      <c r="W9" s="711">
        <f t="shared" si="2"/>
        <v>100</v>
      </c>
      <c r="X9" s="712"/>
      <c r="Y9" s="3397" t="s">
        <v>2135</v>
      </c>
      <c r="Z9" s="55" t="str">
        <f t="shared" ref="Z9:Z15" si="7">Q9</f>
        <v>用途</v>
      </c>
      <c r="AA9" s="713">
        <f t="shared" si="3"/>
        <v>1</v>
      </c>
      <c r="AB9" s="713">
        <f t="shared" si="4"/>
        <v>1</v>
      </c>
      <c r="AC9" s="2096">
        <f t="shared" si="5"/>
        <v>1</v>
      </c>
    </row>
    <row r="10" spans="1:29" s="386" customFormat="1" ht="27">
      <c r="A10" s="380"/>
      <c r="B10" s="381" t="s">
        <v>2136</v>
      </c>
      <c r="C10" s="382"/>
      <c r="D10" s="132">
        <v>100</v>
      </c>
      <c r="E10" s="382"/>
      <c r="F10" s="132">
        <f>SUMIF(66:66,E10,67:67)-SUMIF(66:66,C10,67:67)+100</f>
        <v>100</v>
      </c>
      <c r="G10" s="383"/>
      <c r="H10" s="132">
        <f>SUMIF(66:66,G10,67:67)-SUMIF(66:66,C10,67:67)+100</f>
        <v>100</v>
      </c>
      <c r="I10" s="382"/>
      <c r="J10" s="132">
        <f>SUMIF(66:66,I10,67:67)-SUMIF(66:66,C10,67:67)+100</f>
        <v>100</v>
      </c>
      <c r="K10" s="569"/>
      <c r="L10" s="2898"/>
      <c r="M10" s="2899"/>
      <c r="N10" s="2899"/>
      <c r="O10" s="2899"/>
      <c r="P10" s="3467"/>
      <c r="Q10" s="1478" t="str">
        <f t="shared" si="6"/>
        <v>土地使用年限（年）</v>
      </c>
      <c r="R10" s="710" t="s">
        <v>17</v>
      </c>
      <c r="S10" s="711">
        <f t="shared" si="0"/>
        <v>100</v>
      </c>
      <c r="T10" s="710" t="s">
        <v>17</v>
      </c>
      <c r="U10" s="711">
        <f t="shared" si="1"/>
        <v>100</v>
      </c>
      <c r="V10" s="710" t="s">
        <v>17</v>
      </c>
      <c r="W10" s="711">
        <f t="shared" si="2"/>
        <v>100</v>
      </c>
      <c r="X10" s="712"/>
      <c r="Y10" s="3397"/>
      <c r="Z10" s="55" t="str">
        <f t="shared" si="7"/>
        <v>土地使用年限（年）</v>
      </c>
      <c r="AA10" s="713">
        <f t="shared" si="3"/>
        <v>1</v>
      </c>
      <c r="AB10" s="713">
        <f t="shared" si="4"/>
        <v>1</v>
      </c>
      <c r="AC10" s="2096">
        <f t="shared" si="5"/>
        <v>1</v>
      </c>
    </row>
    <row r="11" spans="1:29" ht="15">
      <c r="A11" s="387"/>
      <c r="B11" s="381" t="s">
        <v>2137</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00"/>
      <c r="M11" s="2895"/>
      <c r="N11" s="2895"/>
      <c r="O11" s="2895"/>
      <c r="P11" s="3467"/>
      <c r="Q11" s="1478" t="str">
        <f t="shared" si="6"/>
        <v>容积率</v>
      </c>
      <c r="R11" s="710" t="s">
        <v>17</v>
      </c>
      <c r="S11" s="711" t="e">
        <f t="shared" si="0"/>
        <v>#N/A</v>
      </c>
      <c r="T11" s="710" t="s">
        <v>17</v>
      </c>
      <c r="U11" s="711" t="e">
        <f t="shared" si="1"/>
        <v>#N/A</v>
      </c>
      <c r="V11" s="710" t="s">
        <v>17</v>
      </c>
      <c r="W11" s="711" t="e">
        <f t="shared" si="2"/>
        <v>#N/A</v>
      </c>
      <c r="X11" s="712"/>
      <c r="Y11" s="3397"/>
      <c r="Z11" s="55" t="str">
        <f t="shared" si="7"/>
        <v>容积率</v>
      </c>
      <c r="AA11" s="713" t="e">
        <f t="shared" si="3"/>
        <v>#N/A</v>
      </c>
      <c r="AB11" s="713" t="e">
        <f t="shared" si="4"/>
        <v>#N/A</v>
      </c>
      <c r="AC11" s="2096" t="e">
        <f t="shared" si="5"/>
        <v>#N/A</v>
      </c>
    </row>
    <row r="12" spans="1:29" s="113" customFormat="1" ht="15">
      <c r="A12" s="390"/>
      <c r="B12" s="2030">
        <v>111</v>
      </c>
      <c r="C12" s="391"/>
      <c r="D12" s="392">
        <v>100</v>
      </c>
      <c r="E12" s="391"/>
      <c r="F12" s="132">
        <f>SUMIF(71:71,E12,72:72)-SUMIF(71:71,C12,72:72)+100</f>
        <v>100</v>
      </c>
      <c r="G12" s="2097"/>
      <c r="H12" s="132">
        <f>SUMIF(71:71,G12,72:72)-SUMIF(71:71,C12,72:72)+100</f>
        <v>100</v>
      </c>
      <c r="I12" s="391"/>
      <c r="J12" s="132">
        <f>SUMIF(71:71,I12,72:72)-SUMIF(71:71,C12,72:72)+100</f>
        <v>100</v>
      </c>
      <c r="K12" s="570"/>
      <c r="L12" s="2896"/>
      <c r="M12" s="2897"/>
      <c r="N12" s="2897"/>
      <c r="O12" s="2897"/>
      <c r="P12" s="3467"/>
      <c r="Q12" s="1478">
        <f t="shared" si="6"/>
        <v>111</v>
      </c>
      <c r="R12" s="710" t="s">
        <v>17</v>
      </c>
      <c r="S12" s="711">
        <f t="shared" si="0"/>
        <v>100</v>
      </c>
      <c r="T12" s="710" t="s">
        <v>17</v>
      </c>
      <c r="U12" s="711">
        <f t="shared" si="1"/>
        <v>100</v>
      </c>
      <c r="V12" s="710" t="s">
        <v>17</v>
      </c>
      <c r="W12" s="711">
        <f t="shared" si="2"/>
        <v>100</v>
      </c>
      <c r="X12" s="712"/>
      <c r="Y12" s="3397"/>
      <c r="Z12" s="55">
        <f t="shared" si="7"/>
        <v>111</v>
      </c>
      <c r="AA12" s="713">
        <f>D12/F12</f>
        <v>1</v>
      </c>
      <c r="AB12" s="713">
        <f>D12/H12</f>
        <v>1</v>
      </c>
      <c r="AC12" s="2096">
        <f>D12/J12</f>
        <v>1</v>
      </c>
    </row>
    <row r="13" spans="1:29" ht="15">
      <c r="A13" s="387"/>
      <c r="B13" s="2030">
        <v>111</v>
      </c>
      <c r="C13" s="393"/>
      <c r="D13" s="394">
        <v>100</v>
      </c>
      <c r="E13" s="391"/>
      <c r="F13" s="132">
        <f>SUMIF(73:73,E13,74:74)-SUMIF(73:73,C13,74:74)+100</f>
        <v>100</v>
      </c>
      <c r="G13" s="2097"/>
      <c r="H13" s="394">
        <f>SUMIF(73:73,G13,74:74)-SUMIF(73:73,C13,74:74)+100</f>
        <v>100</v>
      </c>
      <c r="I13" s="391"/>
      <c r="J13" s="394">
        <f>SUMIF(73:73,I13,74:74)-SUMIF(73:73,C13,74:74)+100</f>
        <v>100</v>
      </c>
      <c r="K13" s="570"/>
      <c r="L13" s="2901"/>
      <c r="M13" s="2895"/>
      <c r="N13" s="2895"/>
      <c r="O13" s="2895"/>
      <c r="P13" s="3467"/>
      <c r="Q13" s="1478">
        <f t="shared" si="6"/>
        <v>111</v>
      </c>
      <c r="R13" s="710" t="s">
        <v>17</v>
      </c>
      <c r="S13" s="711">
        <f t="shared" si="0"/>
        <v>100</v>
      </c>
      <c r="T13" s="710" t="s">
        <v>17</v>
      </c>
      <c r="U13" s="711">
        <f t="shared" si="1"/>
        <v>100</v>
      </c>
      <c r="V13" s="710" t="s">
        <v>17</v>
      </c>
      <c r="W13" s="711">
        <f t="shared" si="2"/>
        <v>100</v>
      </c>
      <c r="X13" s="712"/>
      <c r="Y13" s="3397"/>
      <c r="Z13" s="55">
        <f t="shared" si="7"/>
        <v>111</v>
      </c>
      <c r="AA13" s="713">
        <f t="shared" si="3"/>
        <v>1</v>
      </c>
      <c r="AB13" s="713">
        <f t="shared" si="4"/>
        <v>1</v>
      </c>
      <c r="AC13" s="2096">
        <f t="shared" si="5"/>
        <v>1</v>
      </c>
    </row>
    <row r="14" spans="1:29" ht="15.75" thickBot="1">
      <c r="A14" s="395"/>
      <c r="B14" s="2032">
        <v>111</v>
      </c>
      <c r="C14" s="396"/>
      <c r="D14" s="397">
        <v>100</v>
      </c>
      <c r="E14" s="584"/>
      <c r="F14" s="397">
        <f>SUMIF(75:75,E14,76:76)-SUMIF(75:75,C14,76:76)+100</f>
        <v>100</v>
      </c>
      <c r="G14" s="2097"/>
      <c r="H14" s="397">
        <f>SUMIF(75:75,G14,76:76)-SUMIF(75:75,C14,76:76)+100</f>
        <v>100</v>
      </c>
      <c r="I14" s="391"/>
      <c r="J14" s="397">
        <f>SUMIF(75:75,I14,76:76)-SUMIF(75:75,C14,76:76)+100</f>
        <v>100</v>
      </c>
      <c r="K14" s="570"/>
      <c r="L14" s="2901"/>
      <c r="M14" s="2895"/>
      <c r="N14" s="2895"/>
      <c r="O14" s="2895"/>
      <c r="P14" s="3467"/>
      <c r="Q14" s="1478">
        <f t="shared" si="6"/>
        <v>111</v>
      </c>
      <c r="R14" s="710" t="s">
        <v>17</v>
      </c>
      <c r="S14" s="711">
        <f t="shared" si="0"/>
        <v>100</v>
      </c>
      <c r="T14" s="710" t="s">
        <v>17</v>
      </c>
      <c r="U14" s="711">
        <f t="shared" si="1"/>
        <v>100</v>
      </c>
      <c r="V14" s="710" t="s">
        <v>17</v>
      </c>
      <c r="W14" s="711">
        <f t="shared" si="2"/>
        <v>100</v>
      </c>
      <c r="X14" s="712"/>
      <c r="Y14" s="3397"/>
      <c r="Z14" s="55">
        <f t="shared" si="7"/>
        <v>111</v>
      </c>
      <c r="AA14" s="713">
        <f t="shared" si="3"/>
        <v>1</v>
      </c>
      <c r="AB14" s="713">
        <f t="shared" si="4"/>
        <v>1</v>
      </c>
      <c r="AC14" s="2096">
        <f t="shared" si="5"/>
        <v>1</v>
      </c>
    </row>
    <row r="15" spans="1:29" ht="71.25">
      <c r="A15" s="399" t="s">
        <v>2138</v>
      </c>
      <c r="B15" s="585" t="s">
        <v>2266</v>
      </c>
      <c r="C15" s="2098"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01"/>
      <c r="M15" s="2895"/>
      <c r="N15" s="2895"/>
      <c r="O15" s="2895"/>
      <c r="P15" s="3494" t="s">
        <v>2139</v>
      </c>
      <c r="Q15" s="1487" t="str">
        <f t="shared" si="6"/>
        <v>办公集聚程度</v>
      </c>
      <c r="R15" s="714" t="s">
        <v>17</v>
      </c>
      <c r="S15" s="715">
        <f t="shared" si="0"/>
        <v>100</v>
      </c>
      <c r="T15" s="714" t="s">
        <v>17</v>
      </c>
      <c r="U15" s="715">
        <f t="shared" si="1"/>
        <v>100</v>
      </c>
      <c r="V15" s="714" t="s">
        <v>17</v>
      </c>
      <c r="W15" s="715">
        <f t="shared" si="2"/>
        <v>100</v>
      </c>
      <c r="X15" s="1490"/>
      <c r="Y15" s="3487" t="s">
        <v>2139</v>
      </c>
      <c r="Z15" s="1491" t="str">
        <f t="shared" si="7"/>
        <v>办公集聚程度</v>
      </c>
      <c r="AA15" s="1488">
        <f t="shared" si="3"/>
        <v>1</v>
      </c>
      <c r="AB15" s="1488">
        <f t="shared" si="4"/>
        <v>1</v>
      </c>
      <c r="AC15" s="2099">
        <f t="shared" si="5"/>
        <v>1</v>
      </c>
    </row>
    <row r="16" spans="1:29" ht="15">
      <c r="A16" s="387"/>
      <c r="B16" s="586"/>
      <c r="C16" s="2041"/>
      <c r="D16" s="407"/>
      <c r="E16" s="406"/>
      <c r="F16" s="407"/>
      <c r="G16" s="2041"/>
      <c r="H16" s="409"/>
      <c r="I16" s="406"/>
      <c r="J16" s="407"/>
      <c r="K16" s="572"/>
      <c r="L16" s="2901"/>
      <c r="M16" s="2895"/>
      <c r="N16" s="2895"/>
      <c r="O16" s="2895"/>
      <c r="P16" s="3495"/>
      <c r="Q16" s="1487"/>
      <c r="R16" s="714"/>
      <c r="S16" s="715"/>
      <c r="T16" s="714"/>
      <c r="U16" s="715"/>
      <c r="V16" s="714"/>
      <c r="W16" s="715"/>
      <c r="X16" s="1490"/>
      <c r="Y16" s="3488"/>
      <c r="Z16" s="1491"/>
      <c r="AA16" s="1488">
        <v>1</v>
      </c>
      <c r="AB16" s="1488">
        <v>1</v>
      </c>
      <c r="AC16" s="2099">
        <v>1</v>
      </c>
    </row>
    <row r="17" spans="1:29" ht="71.25">
      <c r="A17" s="387"/>
      <c r="B17" s="587" t="s">
        <v>1703</v>
      </c>
      <c r="C17" s="2100"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01"/>
      <c r="M17" s="2895"/>
      <c r="N17" s="2895"/>
      <c r="O17" s="2895"/>
      <c r="P17" s="3495"/>
      <c r="Q17" s="1487" t="str">
        <f>B17</f>
        <v>交通便捷度</v>
      </c>
      <c r="R17" s="714" t="s">
        <v>17</v>
      </c>
      <c r="S17" s="715">
        <f>F17</f>
        <v>100</v>
      </c>
      <c r="T17" s="714" t="s">
        <v>17</v>
      </c>
      <c r="U17" s="715">
        <f>H17</f>
        <v>100</v>
      </c>
      <c r="V17" s="714" t="s">
        <v>17</v>
      </c>
      <c r="W17" s="715">
        <f>J17</f>
        <v>100</v>
      </c>
      <c r="X17" s="1490"/>
      <c r="Y17" s="3488"/>
      <c r="Z17" s="1491" t="str">
        <f>Q17</f>
        <v>交通便捷度</v>
      </c>
      <c r="AA17" s="1488">
        <f t="shared" si="3"/>
        <v>1</v>
      </c>
      <c r="AB17" s="1488">
        <f t="shared" si="4"/>
        <v>1</v>
      </c>
      <c r="AC17" s="2099">
        <f t="shared" si="5"/>
        <v>1</v>
      </c>
    </row>
    <row r="18" spans="1:29" ht="15">
      <c r="A18" s="387"/>
      <c r="B18" s="588"/>
      <c r="C18" s="2101"/>
      <c r="D18" s="409"/>
      <c r="E18" s="2039"/>
      <c r="F18" s="409"/>
      <c r="G18" s="2040"/>
      <c r="H18" s="407"/>
      <c r="I18" s="2040"/>
      <c r="J18" s="407"/>
      <c r="K18" s="572"/>
      <c r="L18" s="2901"/>
      <c r="M18" s="2895"/>
      <c r="N18" s="2895"/>
      <c r="O18" s="2895"/>
      <c r="P18" s="3495"/>
      <c r="Q18" s="1487"/>
      <c r="R18" s="714"/>
      <c r="S18" s="715"/>
      <c r="T18" s="714"/>
      <c r="U18" s="715"/>
      <c r="V18" s="714"/>
      <c r="W18" s="715"/>
      <c r="X18" s="1490"/>
      <c r="Y18" s="3488"/>
      <c r="Z18" s="1491"/>
      <c r="AA18" s="1488">
        <v>1</v>
      </c>
      <c r="AB18" s="1488">
        <v>1</v>
      </c>
      <c r="AC18" s="2099">
        <v>1</v>
      </c>
    </row>
    <row r="19" spans="1:29" ht="42.75">
      <c r="A19" s="387"/>
      <c r="B19" s="587" t="s">
        <v>2267</v>
      </c>
      <c r="C19" s="2100"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01"/>
      <c r="M19" s="2895"/>
      <c r="N19" s="2895"/>
      <c r="O19" s="2895"/>
      <c r="P19" s="3495"/>
      <c r="Q19" s="1487" t="str">
        <f>B19</f>
        <v>公共配套设施</v>
      </c>
      <c r="R19" s="714" t="s">
        <v>17</v>
      </c>
      <c r="S19" s="715">
        <f>F19</f>
        <v>100</v>
      </c>
      <c r="T19" s="714" t="s">
        <v>17</v>
      </c>
      <c r="U19" s="715">
        <f>H19</f>
        <v>100</v>
      </c>
      <c r="V19" s="714" t="s">
        <v>17</v>
      </c>
      <c r="W19" s="715">
        <f>J19</f>
        <v>100</v>
      </c>
      <c r="X19" s="1490"/>
      <c r="Y19" s="3488"/>
      <c r="Z19" s="1491" t="str">
        <f>Q19</f>
        <v>公共配套设施</v>
      </c>
      <c r="AA19" s="1488">
        <f t="shared" si="3"/>
        <v>1</v>
      </c>
      <c r="AB19" s="1488">
        <f t="shared" si="4"/>
        <v>1</v>
      </c>
      <c r="AC19" s="2099">
        <f t="shared" si="5"/>
        <v>1</v>
      </c>
    </row>
    <row r="20" spans="1:29" ht="15">
      <c r="A20" s="387"/>
      <c r="B20" s="588"/>
      <c r="C20" s="2041"/>
      <c r="D20" s="407"/>
      <c r="E20" s="2034"/>
      <c r="F20" s="407"/>
      <c r="G20" s="2035"/>
      <c r="H20" s="407"/>
      <c r="I20" s="2035"/>
      <c r="J20" s="407"/>
      <c r="K20" s="572"/>
      <c r="L20" s="2901"/>
      <c r="M20" s="2895"/>
      <c r="N20" s="2895"/>
      <c r="O20" s="2895"/>
      <c r="P20" s="3495"/>
      <c r="Q20" s="1487"/>
      <c r="R20" s="714"/>
      <c r="S20" s="715"/>
      <c r="T20" s="714"/>
      <c r="U20" s="715"/>
      <c r="V20" s="714"/>
      <c r="W20" s="715"/>
      <c r="X20" s="1490"/>
      <c r="Y20" s="3488"/>
      <c r="Z20" s="1491"/>
      <c r="AA20" s="1488">
        <v>1</v>
      </c>
      <c r="AB20" s="1488">
        <v>1</v>
      </c>
      <c r="AC20" s="2099">
        <v>1</v>
      </c>
    </row>
    <row r="21" spans="1:29" ht="28.5">
      <c r="A21" s="387"/>
      <c r="B21" s="589" t="s">
        <v>2268</v>
      </c>
      <c r="C21" s="2100"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01"/>
      <c r="M21" s="2895"/>
      <c r="N21" s="2895"/>
      <c r="O21" s="2895"/>
      <c r="P21" s="3495"/>
      <c r="Q21" s="1487" t="str">
        <f>B21</f>
        <v>基础设施水平</v>
      </c>
      <c r="R21" s="714" t="s">
        <v>17</v>
      </c>
      <c r="S21" s="715">
        <f>F21</f>
        <v>100</v>
      </c>
      <c r="T21" s="714" t="s">
        <v>17</v>
      </c>
      <c r="U21" s="715">
        <f>H21</f>
        <v>100</v>
      </c>
      <c r="V21" s="714" t="s">
        <v>17</v>
      </c>
      <c r="W21" s="715">
        <f>J21</f>
        <v>100</v>
      </c>
      <c r="X21" s="1490"/>
      <c r="Y21" s="3488"/>
      <c r="Z21" s="1491" t="str">
        <f>Q21</f>
        <v>基础设施水平</v>
      </c>
      <c r="AA21" s="1488">
        <f t="shared" ref="AA21" si="8">D21/F21</f>
        <v>1</v>
      </c>
      <c r="AB21" s="1488">
        <f t="shared" ref="AB21" si="9">D21/H21</f>
        <v>1</v>
      </c>
      <c r="AC21" s="2099">
        <f t="shared" ref="AC21" si="10">D21/J21</f>
        <v>1</v>
      </c>
    </row>
    <row r="22" spans="1:29" ht="15">
      <c r="A22" s="387"/>
      <c r="B22" s="589"/>
      <c r="C22" s="2101"/>
      <c r="D22" s="407"/>
      <c r="E22" s="406"/>
      <c r="F22" s="407"/>
      <c r="G22" s="2041"/>
      <c r="H22" s="407"/>
      <c r="I22" s="2041"/>
      <c r="J22" s="407"/>
      <c r="K22" s="1245"/>
      <c r="L22" s="2901"/>
      <c r="M22" s="2895"/>
      <c r="N22" s="2895"/>
      <c r="O22" s="2895"/>
      <c r="P22" s="3495"/>
      <c r="Q22" s="1487"/>
      <c r="R22" s="714"/>
      <c r="S22" s="715"/>
      <c r="T22" s="714"/>
      <c r="U22" s="715"/>
      <c r="V22" s="714"/>
      <c r="W22" s="715"/>
      <c r="X22" s="1490"/>
      <c r="Y22" s="3488"/>
      <c r="Z22" s="1491"/>
      <c r="AA22" s="1488">
        <v>1</v>
      </c>
      <c r="AB22" s="1488">
        <v>1</v>
      </c>
      <c r="AC22" s="2099">
        <v>1</v>
      </c>
    </row>
    <row r="23" spans="1:29" ht="42.75">
      <c r="A23" s="387"/>
      <c r="B23" s="587" t="s">
        <v>2269</v>
      </c>
      <c r="C23" s="2100"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01"/>
      <c r="M23" s="2895"/>
      <c r="N23" s="2895"/>
      <c r="O23" s="2895"/>
      <c r="P23" s="3495"/>
      <c r="Q23" s="1487" t="str">
        <f>B23</f>
        <v>环境质量</v>
      </c>
      <c r="R23" s="714" t="s">
        <v>17</v>
      </c>
      <c r="S23" s="715">
        <f>F23</f>
        <v>100</v>
      </c>
      <c r="T23" s="714" t="s">
        <v>17</v>
      </c>
      <c r="U23" s="715">
        <f>H23</f>
        <v>100</v>
      </c>
      <c r="V23" s="714" t="s">
        <v>17</v>
      </c>
      <c r="W23" s="715">
        <f>J23</f>
        <v>100</v>
      </c>
      <c r="X23" s="1490"/>
      <c r="Y23" s="3488"/>
      <c r="Z23" s="1491" t="str">
        <f>Q23</f>
        <v>环境质量</v>
      </c>
      <c r="AA23" s="1488">
        <f t="shared" si="3"/>
        <v>1</v>
      </c>
      <c r="AB23" s="1488">
        <f t="shared" si="4"/>
        <v>1</v>
      </c>
      <c r="AC23" s="2099">
        <f t="shared" si="5"/>
        <v>1</v>
      </c>
    </row>
    <row r="24" spans="1:29" ht="15">
      <c r="A24" s="387"/>
      <c r="B24" s="589"/>
      <c r="C24" s="2041"/>
      <c r="D24" s="407"/>
      <c r="E24" s="2034"/>
      <c r="F24" s="407"/>
      <c r="G24" s="2035"/>
      <c r="H24" s="407"/>
      <c r="I24" s="2035"/>
      <c r="J24" s="407"/>
      <c r="K24" s="572"/>
      <c r="L24" s="2901"/>
      <c r="M24" s="2895"/>
      <c r="N24" s="2895"/>
      <c r="O24" s="2895"/>
      <c r="P24" s="3495"/>
      <c r="Q24" s="1487"/>
      <c r="R24" s="714"/>
      <c r="S24" s="715"/>
      <c r="T24" s="714"/>
      <c r="U24" s="715"/>
      <c r="V24" s="714"/>
      <c r="W24" s="715"/>
      <c r="X24" s="1490"/>
      <c r="Y24" s="3488"/>
      <c r="Z24" s="1491"/>
      <c r="AA24" s="1488">
        <v>1</v>
      </c>
      <c r="AB24" s="1488">
        <v>1</v>
      </c>
      <c r="AC24" s="2099">
        <v>1</v>
      </c>
    </row>
    <row r="25" spans="1:29" ht="27">
      <c r="A25" s="364"/>
      <c r="B25" s="587" t="s">
        <v>2270</v>
      </c>
      <c r="C25" s="2045"/>
      <c r="D25" s="394">
        <v>100</v>
      </c>
      <c r="E25" s="393"/>
      <c r="F25" s="394">
        <f>SUMIF(87:87,E26,88:88)-SUMIF(87:87,C26,88:88)+100</f>
        <v>100</v>
      </c>
      <c r="G25" s="2045"/>
      <c r="H25" s="394">
        <f>SUMIF(87:87,G26,88:88)-SUMIF(87:87,C26,88:88)+100</f>
        <v>100</v>
      </c>
      <c r="I25" s="393"/>
      <c r="J25" s="394">
        <f>SUMIF(87:87,I26,88:88)-SUMIF(87:87,C26,88:88)+100</f>
        <v>100</v>
      </c>
      <c r="K25" s="571"/>
      <c r="L25" s="2901"/>
      <c r="M25" s="2895"/>
      <c r="N25" s="2895"/>
      <c r="O25" s="2895"/>
      <c r="P25" s="3495"/>
      <c r="Q25" s="1487" t="str">
        <f>B25</f>
        <v>毗邻道路的类型与等级</v>
      </c>
      <c r="R25" s="714" t="s">
        <v>17</v>
      </c>
      <c r="S25" s="715">
        <f>F25</f>
        <v>100</v>
      </c>
      <c r="T25" s="714" t="s">
        <v>17</v>
      </c>
      <c r="U25" s="715">
        <f>H25</f>
        <v>100</v>
      </c>
      <c r="V25" s="714" t="s">
        <v>17</v>
      </c>
      <c r="W25" s="715">
        <f>J25</f>
        <v>100</v>
      </c>
      <c r="X25" s="1490"/>
      <c r="Y25" s="3488"/>
      <c r="Z25" s="1491" t="str">
        <f>Q25</f>
        <v>毗邻道路的类型与等级</v>
      </c>
      <c r="AA25" s="1488">
        <f t="shared" si="3"/>
        <v>1</v>
      </c>
      <c r="AB25" s="1488">
        <f t="shared" si="4"/>
        <v>1</v>
      </c>
      <c r="AC25" s="2099">
        <f t="shared" si="5"/>
        <v>1</v>
      </c>
    </row>
    <row r="26" spans="1:29" ht="15">
      <c r="A26" s="364"/>
      <c r="B26" s="588"/>
      <c r="C26" s="590"/>
      <c r="D26" s="394"/>
      <c r="E26" s="573"/>
      <c r="F26" s="394"/>
      <c r="G26" s="590"/>
      <c r="H26" s="394"/>
      <c r="I26" s="573"/>
      <c r="J26" s="394"/>
      <c r="K26" s="572"/>
      <c r="L26" s="2901"/>
      <c r="M26" s="2895"/>
      <c r="N26" s="2895"/>
      <c r="O26" s="2895"/>
      <c r="P26" s="3495"/>
      <c r="Q26" s="1487"/>
      <c r="R26" s="714"/>
      <c r="S26" s="715"/>
      <c r="T26" s="714"/>
      <c r="U26" s="715"/>
      <c r="V26" s="714"/>
      <c r="W26" s="715"/>
      <c r="X26" s="1490"/>
      <c r="Y26" s="3488"/>
      <c r="Z26" s="1491"/>
      <c r="AA26" s="1488">
        <v>1</v>
      </c>
      <c r="AB26" s="1488">
        <v>1</v>
      </c>
      <c r="AC26" s="2099">
        <v>1</v>
      </c>
    </row>
    <row r="27" spans="1:29" ht="15">
      <c r="A27" s="387"/>
      <c r="B27" s="588" t="s">
        <v>2238</v>
      </c>
      <c r="C27" s="590"/>
      <c r="D27" s="394">
        <v>100</v>
      </c>
      <c r="E27" s="573"/>
      <c r="F27" s="394">
        <f>SUMIF(89:89,E27,90:90)-SUMIF(89:89,C27,90:90)+100</f>
        <v>100</v>
      </c>
      <c r="G27" s="590"/>
      <c r="H27" s="394">
        <f>SUMIF(89:89,G27,90:90)-SUMIF(89:89,C27,90:90)+100</f>
        <v>100</v>
      </c>
      <c r="I27" s="573"/>
      <c r="J27" s="394">
        <f>SUMIF(89:89,I27,90:90)-SUMIF(89:89,C27,90:90)+100</f>
        <v>100</v>
      </c>
      <c r="K27" s="569"/>
      <c r="L27" s="2901"/>
      <c r="M27" s="2895"/>
      <c r="N27" s="2895"/>
      <c r="O27" s="2895"/>
      <c r="P27" s="3495"/>
      <c r="Q27" s="1487" t="str">
        <f t="shared" ref="Q27:Q47" si="11">B27</f>
        <v>楼层</v>
      </c>
      <c r="R27" s="714" t="s">
        <v>17</v>
      </c>
      <c r="S27" s="715">
        <f>F27</f>
        <v>100</v>
      </c>
      <c r="T27" s="714" t="s">
        <v>17</v>
      </c>
      <c r="U27" s="715">
        <f>H27</f>
        <v>100</v>
      </c>
      <c r="V27" s="714" t="s">
        <v>17</v>
      </c>
      <c r="W27" s="715">
        <f>J27</f>
        <v>100</v>
      </c>
      <c r="X27" s="1490"/>
      <c r="Y27" s="3488"/>
      <c r="Z27" s="1491" t="str">
        <f>Q27</f>
        <v>楼层</v>
      </c>
      <c r="AA27" s="1488">
        <f t="shared" si="3"/>
        <v>1</v>
      </c>
      <c r="AB27" s="1488">
        <f t="shared" si="4"/>
        <v>1</v>
      </c>
      <c r="AC27" s="2099">
        <f t="shared" si="5"/>
        <v>1</v>
      </c>
    </row>
    <row r="28" spans="1:29" s="113" customFormat="1" ht="15">
      <c r="A28" s="390"/>
      <c r="B28" s="587" t="s">
        <v>2271</v>
      </c>
      <c r="C28" s="2102"/>
      <c r="D28" s="421">
        <v>100</v>
      </c>
      <c r="E28" s="2093"/>
      <c r="F28" s="421">
        <f>SUMIF(91:91,E28,92:92)-SUMIF(91:91,C28,92:92)+100</f>
        <v>100</v>
      </c>
      <c r="G28" s="2102"/>
      <c r="H28" s="421">
        <f>SUMIF(91:91,G28,92:92)-SUMIF(91:91,C28,92:92)+100</f>
        <v>100</v>
      </c>
      <c r="I28" s="2093"/>
      <c r="J28" s="421">
        <f>SUMIF(91:91,I28,92:92)-SUMIF(91:91,C28,92:92)+100</f>
        <v>100</v>
      </c>
      <c r="K28" s="569"/>
      <c r="L28" s="2896"/>
      <c r="M28" s="2897"/>
      <c r="N28" s="2897"/>
      <c r="O28" s="2897"/>
      <c r="P28" s="3495"/>
      <c r="Q28" s="1478" t="str">
        <f t="shared" si="11"/>
        <v>朝向</v>
      </c>
      <c r="R28" s="710" t="s">
        <v>17</v>
      </c>
      <c r="S28" s="711">
        <f>F28</f>
        <v>100</v>
      </c>
      <c r="T28" s="710" t="s">
        <v>17</v>
      </c>
      <c r="U28" s="711">
        <f>H28</f>
        <v>100</v>
      </c>
      <c r="V28" s="710" t="s">
        <v>17</v>
      </c>
      <c r="W28" s="711">
        <f>J28</f>
        <v>100</v>
      </c>
      <c r="X28" s="712"/>
      <c r="Y28" s="3488"/>
      <c r="Z28" s="55" t="str">
        <f>Q28</f>
        <v>朝向</v>
      </c>
      <c r="AA28" s="1488">
        <f>D28/F28</f>
        <v>1</v>
      </c>
      <c r="AB28" s="1488">
        <f>D28/H28</f>
        <v>1</v>
      </c>
      <c r="AC28" s="2099">
        <f>D28/J28</f>
        <v>1</v>
      </c>
    </row>
    <row r="29" spans="1:29" ht="15">
      <c r="A29" s="387"/>
      <c r="B29" s="2103">
        <v>111</v>
      </c>
      <c r="C29" s="2045"/>
      <c r="D29" s="394">
        <v>100</v>
      </c>
      <c r="E29" s="391"/>
      <c r="F29" s="394">
        <f>SUMIF(93:93,E29,94:94)-SUMIF(93:93,C29,94:94)+100</f>
        <v>100</v>
      </c>
      <c r="G29" s="2097"/>
      <c r="H29" s="394">
        <f>SUMIF(93:93,G29,94:94)-SUMIF(93:93,C29,94:94)+100</f>
        <v>100</v>
      </c>
      <c r="I29" s="391"/>
      <c r="J29" s="394">
        <f>SUMIF(93:93,I29,94:94)-SUMIF(93:93,C29,94:94)+100</f>
        <v>100</v>
      </c>
      <c r="K29" s="570"/>
      <c r="L29" s="2901"/>
      <c r="M29" s="2895"/>
      <c r="N29" s="2895"/>
      <c r="O29" s="2895"/>
      <c r="P29" s="3495"/>
      <c r="Q29" s="1487">
        <f t="shared" si="11"/>
        <v>111</v>
      </c>
      <c r="R29" s="714" t="s">
        <v>17</v>
      </c>
      <c r="S29" s="715">
        <f t="shared" ref="S29:S47" si="12">F29</f>
        <v>100</v>
      </c>
      <c r="T29" s="714" t="s">
        <v>17</v>
      </c>
      <c r="U29" s="715">
        <f t="shared" ref="U29:U47" si="13">H29</f>
        <v>100</v>
      </c>
      <c r="V29" s="714" t="s">
        <v>17</v>
      </c>
      <c r="W29" s="715">
        <f t="shared" ref="W29:W47" si="14">J29</f>
        <v>100</v>
      </c>
      <c r="X29" s="1490"/>
      <c r="Y29" s="3488"/>
      <c r="Z29" s="1491">
        <f t="shared" ref="Z29:Z47" si="15">Q29</f>
        <v>111</v>
      </c>
      <c r="AA29" s="1488">
        <f t="shared" si="3"/>
        <v>1</v>
      </c>
      <c r="AB29" s="1488">
        <f t="shared" si="4"/>
        <v>1</v>
      </c>
      <c r="AC29" s="2099">
        <f t="shared" si="5"/>
        <v>1</v>
      </c>
    </row>
    <row r="30" spans="1:29" ht="15">
      <c r="A30" s="387"/>
      <c r="B30" s="2103">
        <v>111</v>
      </c>
      <c r="C30" s="2045"/>
      <c r="D30" s="394">
        <v>100</v>
      </c>
      <c r="E30" s="391"/>
      <c r="F30" s="394">
        <f>SUMIF(95:95,E30,96:96)-SUMIF(95:95,C30,96:96)+100</f>
        <v>100</v>
      </c>
      <c r="G30" s="2097"/>
      <c r="H30" s="394">
        <f>SUMIF(95:95,G30,96:96)-SUMIF(95:95,C30,96:96)+100</f>
        <v>100</v>
      </c>
      <c r="I30" s="391"/>
      <c r="J30" s="394">
        <f>SUMIF(95:95,I30,96:96)-SUMIF(95:95,C30,96:96)+100</f>
        <v>100</v>
      </c>
      <c r="K30" s="570"/>
      <c r="L30" s="2901"/>
      <c r="M30" s="2895"/>
      <c r="N30" s="2895"/>
      <c r="O30" s="2895"/>
      <c r="P30" s="3495"/>
      <c r="Q30" s="1487">
        <f t="shared" si="11"/>
        <v>111</v>
      </c>
      <c r="R30" s="714" t="s">
        <v>17</v>
      </c>
      <c r="S30" s="715">
        <f t="shared" si="12"/>
        <v>100</v>
      </c>
      <c r="T30" s="714" t="s">
        <v>17</v>
      </c>
      <c r="U30" s="715">
        <f t="shared" si="13"/>
        <v>100</v>
      </c>
      <c r="V30" s="714" t="s">
        <v>17</v>
      </c>
      <c r="W30" s="715">
        <f t="shared" si="14"/>
        <v>100</v>
      </c>
      <c r="X30" s="1490"/>
      <c r="Y30" s="3488"/>
      <c r="Z30" s="1491">
        <f t="shared" si="15"/>
        <v>111</v>
      </c>
      <c r="AA30" s="1488">
        <f t="shared" si="3"/>
        <v>1</v>
      </c>
      <c r="AB30" s="1488">
        <f t="shared" si="4"/>
        <v>1</v>
      </c>
      <c r="AC30" s="2099">
        <f t="shared" si="5"/>
        <v>1</v>
      </c>
    </row>
    <row r="31" spans="1:29" ht="15">
      <c r="A31" s="387"/>
      <c r="B31" s="2103">
        <v>111</v>
      </c>
      <c r="C31" s="2045"/>
      <c r="D31" s="394">
        <v>100</v>
      </c>
      <c r="E31" s="391"/>
      <c r="F31" s="394">
        <f>SUMIF(97:97,E31,98:98)-SUMIF(97:97,C31,98:98)+100</f>
        <v>100</v>
      </c>
      <c r="G31" s="2097"/>
      <c r="H31" s="394">
        <f>SUMIF(97:97,G31,98:98)-SUMIF(97:97,C31,98:98)+100</f>
        <v>100</v>
      </c>
      <c r="I31" s="391"/>
      <c r="J31" s="394">
        <f>SUMIF(97:97,I31,98:98)-SUMIF(97:97,C31,98:98)+100</f>
        <v>100</v>
      </c>
      <c r="K31" s="570"/>
      <c r="L31" s="2901"/>
      <c r="M31" s="2895"/>
      <c r="N31" s="2895"/>
      <c r="O31" s="2895"/>
      <c r="P31" s="3495"/>
      <c r="Q31" s="1487">
        <f t="shared" si="11"/>
        <v>111</v>
      </c>
      <c r="R31" s="714" t="s">
        <v>17</v>
      </c>
      <c r="S31" s="715">
        <f t="shared" si="12"/>
        <v>100</v>
      </c>
      <c r="T31" s="714" t="s">
        <v>17</v>
      </c>
      <c r="U31" s="715">
        <f t="shared" si="13"/>
        <v>100</v>
      </c>
      <c r="V31" s="714" t="s">
        <v>17</v>
      </c>
      <c r="W31" s="715">
        <f t="shared" si="14"/>
        <v>100</v>
      </c>
      <c r="X31" s="1490"/>
      <c r="Y31" s="3488"/>
      <c r="Z31" s="1491">
        <f t="shared" si="15"/>
        <v>111</v>
      </c>
      <c r="AA31" s="1488">
        <f t="shared" si="3"/>
        <v>1</v>
      </c>
      <c r="AB31" s="1488">
        <f t="shared" si="4"/>
        <v>1</v>
      </c>
      <c r="AC31" s="2099">
        <f t="shared" si="5"/>
        <v>1</v>
      </c>
    </row>
    <row r="32" spans="1:29" ht="15.75" thickBot="1">
      <c r="A32" s="395"/>
      <c r="B32" s="591">
        <v>111</v>
      </c>
      <c r="C32" s="2046"/>
      <c r="D32" s="397">
        <v>100</v>
      </c>
      <c r="E32" s="584"/>
      <c r="F32" s="397">
        <f>SUMIF(99:99,E32,100:100)-SUMIF(99:99,C32,100:100)+100</f>
        <v>100</v>
      </c>
      <c r="G32" s="2097"/>
      <c r="H32" s="397">
        <f>SUMIF(99:99,G32,100:100)-SUMIF(99:99,C32,100:100)+100</f>
        <v>100</v>
      </c>
      <c r="I32" s="391"/>
      <c r="J32" s="397">
        <f>SUMIF(99:99,I32,100:100)-SUMIF(99:99,C32,100:100)+100</f>
        <v>100</v>
      </c>
      <c r="K32" s="570"/>
      <c r="L32" s="2901"/>
      <c r="M32" s="2895"/>
      <c r="N32" s="2895"/>
      <c r="O32" s="2895"/>
      <c r="P32" s="3495"/>
      <c r="Q32" s="1487">
        <f t="shared" si="11"/>
        <v>111</v>
      </c>
      <c r="R32" s="714" t="s">
        <v>17</v>
      </c>
      <c r="S32" s="715">
        <f t="shared" si="12"/>
        <v>100</v>
      </c>
      <c r="T32" s="714" t="s">
        <v>17</v>
      </c>
      <c r="U32" s="715">
        <f t="shared" si="13"/>
        <v>100</v>
      </c>
      <c r="V32" s="714" t="s">
        <v>17</v>
      </c>
      <c r="W32" s="715">
        <f t="shared" si="14"/>
        <v>100</v>
      </c>
      <c r="X32" s="1490"/>
      <c r="Y32" s="3488"/>
      <c r="Z32" s="1491">
        <f t="shared" si="15"/>
        <v>111</v>
      </c>
      <c r="AA32" s="1488">
        <f t="shared" si="3"/>
        <v>1</v>
      </c>
      <c r="AB32" s="1488">
        <f t="shared" si="4"/>
        <v>1</v>
      </c>
      <c r="AC32" s="2099">
        <f t="shared" si="5"/>
        <v>1</v>
      </c>
    </row>
    <row r="33" spans="1:29" ht="15">
      <c r="A33" s="399" t="s">
        <v>2142</v>
      </c>
      <c r="B33" s="67" t="s">
        <v>2272</v>
      </c>
      <c r="C33" s="2104"/>
      <c r="D33" s="426">
        <v>100</v>
      </c>
      <c r="E33" s="2104"/>
      <c r="F33" s="420">
        <f>SUMIF(101:101,E33,102:102)-SUMIF(101:101,C33,102:102)+100</f>
        <v>100</v>
      </c>
      <c r="G33" s="2104"/>
      <c r="H33" s="394">
        <f>SUMIF(101:101,G33,102:102)-SUMIF(101:101,C33,102:102)+100</f>
        <v>100</v>
      </c>
      <c r="I33" s="2104"/>
      <c r="J33" s="426">
        <f>SUMIF(101:101,I33,102:102)-SUMIF(101:101,C33,102:102)+100</f>
        <v>100</v>
      </c>
      <c r="K33" s="569"/>
      <c r="L33" s="2901"/>
      <c r="M33" s="2895"/>
      <c r="N33" s="2895"/>
      <c r="O33" s="2895"/>
      <c r="P33" s="3489" t="s">
        <v>2144</v>
      </c>
      <c r="Q33" s="1487" t="str">
        <f t="shared" si="11"/>
        <v>建筑类型</v>
      </c>
      <c r="R33" s="714" t="s">
        <v>17</v>
      </c>
      <c r="S33" s="715">
        <f t="shared" si="12"/>
        <v>100</v>
      </c>
      <c r="T33" s="714" t="s">
        <v>17</v>
      </c>
      <c r="U33" s="715">
        <f t="shared" si="13"/>
        <v>100</v>
      </c>
      <c r="V33" s="714" t="s">
        <v>17</v>
      </c>
      <c r="W33" s="715">
        <f t="shared" si="14"/>
        <v>100</v>
      </c>
      <c r="X33" s="1490"/>
      <c r="Y33" s="3492" t="s">
        <v>2144</v>
      </c>
      <c r="Z33" s="1491" t="str">
        <f t="shared" si="15"/>
        <v>建筑类型</v>
      </c>
      <c r="AA33" s="1488">
        <f t="shared" si="3"/>
        <v>1</v>
      </c>
      <c r="AB33" s="1488">
        <f t="shared" si="4"/>
        <v>1</v>
      </c>
      <c r="AC33" s="2099">
        <f t="shared" si="5"/>
        <v>1</v>
      </c>
    </row>
    <row r="34" spans="1:29" s="430" customFormat="1" ht="15">
      <c r="A34" s="427"/>
      <c r="B34" s="381" t="s">
        <v>2145</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00"/>
      <c r="M34" s="2902"/>
      <c r="N34" s="2902"/>
      <c r="O34" s="2902"/>
      <c r="P34" s="3490"/>
      <c r="Q34" s="716" t="str">
        <f t="shared" si="11"/>
        <v>项目建筑规模</v>
      </c>
      <c r="R34" s="717" t="s">
        <v>17</v>
      </c>
      <c r="S34" s="718" t="e">
        <f t="shared" si="12"/>
        <v>#N/A</v>
      </c>
      <c r="T34" s="717" t="s">
        <v>17</v>
      </c>
      <c r="U34" s="718" t="e">
        <f t="shared" si="13"/>
        <v>#N/A</v>
      </c>
      <c r="V34" s="717" t="s">
        <v>17</v>
      </c>
      <c r="W34" s="718" t="e">
        <f t="shared" si="14"/>
        <v>#N/A</v>
      </c>
      <c r="X34" s="719"/>
      <c r="Y34" s="3492"/>
      <c r="Z34" s="720" t="str">
        <f t="shared" si="15"/>
        <v>项目建筑规模</v>
      </c>
      <c r="AA34" s="1488" t="e">
        <f t="shared" si="3"/>
        <v>#N/A</v>
      </c>
      <c r="AB34" s="1488" t="e">
        <f t="shared" si="4"/>
        <v>#N/A</v>
      </c>
      <c r="AC34" s="2099" t="e">
        <f t="shared" si="5"/>
        <v>#N/A</v>
      </c>
    </row>
    <row r="35" spans="1:29" ht="15">
      <c r="A35" s="431"/>
      <c r="B35" s="381" t="s">
        <v>2146</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01"/>
      <c r="M35" s="2895"/>
      <c r="N35" s="2895"/>
      <c r="O35" s="2895"/>
      <c r="P35" s="3490"/>
      <c r="Q35" s="1487" t="str">
        <f t="shared" si="11"/>
        <v>建筑结构</v>
      </c>
      <c r="R35" s="714" t="s">
        <v>17</v>
      </c>
      <c r="S35" s="715">
        <f t="shared" si="12"/>
        <v>100</v>
      </c>
      <c r="T35" s="714" t="s">
        <v>17</v>
      </c>
      <c r="U35" s="715">
        <f t="shared" si="13"/>
        <v>100</v>
      </c>
      <c r="V35" s="714" t="s">
        <v>17</v>
      </c>
      <c r="W35" s="715">
        <f t="shared" si="14"/>
        <v>100</v>
      </c>
      <c r="X35" s="1490"/>
      <c r="Y35" s="3492"/>
      <c r="Z35" s="1491" t="str">
        <f t="shared" si="15"/>
        <v>建筑结构</v>
      </c>
      <c r="AA35" s="1488">
        <f t="shared" si="3"/>
        <v>1</v>
      </c>
      <c r="AB35" s="1488">
        <f t="shared" si="4"/>
        <v>1</v>
      </c>
      <c r="AC35" s="2099">
        <f t="shared" si="5"/>
        <v>1</v>
      </c>
    </row>
    <row r="36" spans="1:29" ht="15">
      <c r="A36" s="431"/>
      <c r="B36" s="381" t="s">
        <v>2240</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01"/>
      <c r="M36" s="2895"/>
      <c r="N36" s="2895"/>
      <c r="O36" s="2895"/>
      <c r="P36" s="3490"/>
      <c r="Q36" s="1487" t="str">
        <f t="shared" si="11"/>
        <v>公共部分装修</v>
      </c>
      <c r="R36" s="714" t="s">
        <v>17</v>
      </c>
      <c r="S36" s="715">
        <f t="shared" si="12"/>
        <v>100</v>
      </c>
      <c r="T36" s="714" t="s">
        <v>17</v>
      </c>
      <c r="U36" s="715">
        <f t="shared" si="13"/>
        <v>100</v>
      </c>
      <c r="V36" s="714" t="s">
        <v>17</v>
      </c>
      <c r="W36" s="715">
        <f t="shared" si="14"/>
        <v>100</v>
      </c>
      <c r="X36" s="1490"/>
      <c r="Y36" s="3492"/>
      <c r="Z36" s="1491" t="str">
        <f t="shared" si="15"/>
        <v>公共部分装修</v>
      </c>
      <c r="AA36" s="1488">
        <f t="shared" si="3"/>
        <v>1</v>
      </c>
      <c r="AB36" s="1488">
        <f t="shared" si="4"/>
        <v>1</v>
      </c>
      <c r="AC36" s="2099">
        <f t="shared" si="5"/>
        <v>1</v>
      </c>
    </row>
    <row r="37" spans="1:29" ht="15">
      <c r="A37" s="431"/>
      <c r="B37" s="381" t="s">
        <v>2241</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01"/>
      <c r="M37" s="2895"/>
      <c r="N37" s="2895"/>
      <c r="O37" s="2895"/>
      <c r="P37" s="3490"/>
      <c r="Q37" s="1487" t="str">
        <f t="shared" si="11"/>
        <v>成新度</v>
      </c>
      <c r="R37" s="714" t="s">
        <v>17</v>
      </c>
      <c r="S37" s="715" t="e">
        <f t="shared" si="12"/>
        <v>#N/A</v>
      </c>
      <c r="T37" s="714" t="s">
        <v>17</v>
      </c>
      <c r="U37" s="715" t="e">
        <f t="shared" si="13"/>
        <v>#N/A</v>
      </c>
      <c r="V37" s="714" t="s">
        <v>17</v>
      </c>
      <c r="W37" s="715" t="e">
        <f t="shared" si="14"/>
        <v>#N/A</v>
      </c>
      <c r="X37" s="1490"/>
      <c r="Y37" s="3492"/>
      <c r="Z37" s="1491" t="str">
        <f t="shared" si="15"/>
        <v>成新度</v>
      </c>
      <c r="AA37" s="1488" t="e">
        <f t="shared" si="3"/>
        <v>#N/A</v>
      </c>
      <c r="AB37" s="1488" t="e">
        <f t="shared" si="4"/>
        <v>#N/A</v>
      </c>
      <c r="AC37" s="2099" t="e">
        <f t="shared" si="5"/>
        <v>#N/A</v>
      </c>
    </row>
    <row r="38" spans="1:29" s="113" customFormat="1" ht="15">
      <c r="A38" s="432"/>
      <c r="B38" s="381" t="s">
        <v>2273</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896"/>
      <c r="M38" s="2897"/>
      <c r="N38" s="2897"/>
      <c r="O38" s="2897"/>
      <c r="P38" s="3490"/>
      <c r="Q38" s="1478" t="str">
        <f t="shared" si="11"/>
        <v>写字楼等级</v>
      </c>
      <c r="R38" s="710" t="s">
        <v>17</v>
      </c>
      <c r="S38" s="711">
        <f t="shared" si="12"/>
        <v>100</v>
      </c>
      <c r="T38" s="710" t="s">
        <v>17</v>
      </c>
      <c r="U38" s="711">
        <f t="shared" si="13"/>
        <v>100</v>
      </c>
      <c r="V38" s="710" t="s">
        <v>17</v>
      </c>
      <c r="W38" s="711">
        <f t="shared" si="14"/>
        <v>100</v>
      </c>
      <c r="X38" s="712"/>
      <c r="Y38" s="3492"/>
      <c r="Z38" s="55" t="str">
        <f t="shared" si="15"/>
        <v>写字楼等级</v>
      </c>
      <c r="AA38" s="713">
        <f t="shared" si="3"/>
        <v>1</v>
      </c>
      <c r="AB38" s="713">
        <f t="shared" si="4"/>
        <v>1</v>
      </c>
      <c r="AC38" s="2096">
        <f t="shared" si="5"/>
        <v>1</v>
      </c>
    </row>
    <row r="39" spans="1:29" ht="15">
      <c r="A39" s="431"/>
      <c r="B39" s="381" t="s">
        <v>2274</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01"/>
      <c r="M39" s="2895"/>
      <c r="N39" s="2895"/>
      <c r="O39" s="2895"/>
      <c r="P39" s="3490" t="s">
        <v>2144</v>
      </c>
      <c r="Q39" s="1487" t="str">
        <f t="shared" si="11"/>
        <v>物业管理</v>
      </c>
      <c r="R39" s="714" t="s">
        <v>17</v>
      </c>
      <c r="S39" s="715">
        <f t="shared" si="12"/>
        <v>100</v>
      </c>
      <c r="T39" s="714" t="s">
        <v>17</v>
      </c>
      <c r="U39" s="715">
        <f t="shared" si="13"/>
        <v>100</v>
      </c>
      <c r="V39" s="714" t="s">
        <v>17</v>
      </c>
      <c r="W39" s="715">
        <f t="shared" si="14"/>
        <v>100</v>
      </c>
      <c r="X39" s="1490"/>
      <c r="Y39" s="3492" t="s">
        <v>2144</v>
      </c>
      <c r="Z39" s="1491" t="str">
        <f t="shared" si="15"/>
        <v>物业管理</v>
      </c>
      <c r="AA39" s="1488">
        <f t="shared" si="3"/>
        <v>1</v>
      </c>
      <c r="AB39" s="1488">
        <f t="shared" si="4"/>
        <v>1</v>
      </c>
      <c r="AC39" s="2099">
        <f t="shared" si="5"/>
        <v>1</v>
      </c>
    </row>
    <row r="40" spans="1:29" ht="15">
      <c r="A40" s="431"/>
      <c r="B40" s="381" t="s">
        <v>2242</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01"/>
      <c r="M40" s="2895"/>
      <c r="N40" s="2895"/>
      <c r="O40" s="2895"/>
      <c r="P40" s="3490"/>
      <c r="Q40" s="1487" t="str">
        <f t="shared" si="11"/>
        <v>市政基础设施</v>
      </c>
      <c r="R40" s="714" t="s">
        <v>17</v>
      </c>
      <c r="S40" s="715">
        <f t="shared" si="12"/>
        <v>100</v>
      </c>
      <c r="T40" s="714" t="s">
        <v>17</v>
      </c>
      <c r="U40" s="715">
        <f t="shared" si="13"/>
        <v>100</v>
      </c>
      <c r="V40" s="714" t="s">
        <v>17</v>
      </c>
      <c r="W40" s="715">
        <f t="shared" si="14"/>
        <v>100</v>
      </c>
      <c r="X40" s="1490"/>
      <c r="Y40" s="3492"/>
      <c r="Z40" s="1491" t="str">
        <f t="shared" si="15"/>
        <v>市政基础设施</v>
      </c>
      <c r="AA40" s="1488">
        <f t="shared" si="3"/>
        <v>1</v>
      </c>
      <c r="AB40" s="1488">
        <f t="shared" si="4"/>
        <v>1</v>
      </c>
      <c r="AC40" s="2099">
        <f t="shared" si="5"/>
        <v>1</v>
      </c>
    </row>
    <row r="41" spans="1:29" ht="15">
      <c r="A41" s="431"/>
      <c r="B41" s="381" t="s">
        <v>2244</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01"/>
      <c r="M41" s="2895"/>
      <c r="N41" s="2895"/>
      <c r="O41" s="2895"/>
      <c r="P41" s="3490"/>
      <c r="Q41" s="1487" t="str">
        <f t="shared" si="11"/>
        <v>层高</v>
      </c>
      <c r="R41" s="714" t="s">
        <v>17</v>
      </c>
      <c r="S41" s="715">
        <f t="shared" si="12"/>
        <v>100</v>
      </c>
      <c r="T41" s="714" t="s">
        <v>17</v>
      </c>
      <c r="U41" s="715">
        <f t="shared" si="13"/>
        <v>100</v>
      </c>
      <c r="V41" s="714" t="s">
        <v>17</v>
      </c>
      <c r="W41" s="715">
        <f t="shared" si="14"/>
        <v>100</v>
      </c>
      <c r="X41" s="1490"/>
      <c r="Y41" s="3492"/>
      <c r="Z41" s="1491" t="str">
        <f t="shared" si="15"/>
        <v>层高</v>
      </c>
      <c r="AA41" s="1488">
        <f t="shared" si="3"/>
        <v>1</v>
      </c>
      <c r="AB41" s="1488">
        <f t="shared" si="4"/>
        <v>1</v>
      </c>
      <c r="AC41" s="2099">
        <f t="shared" si="5"/>
        <v>1</v>
      </c>
    </row>
    <row r="42" spans="1:29" s="430" customFormat="1" ht="15">
      <c r="A42" s="427"/>
      <c r="B42" s="1489" t="s">
        <v>2275</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00"/>
      <c r="M42" s="2902"/>
      <c r="N42" s="2902"/>
      <c r="O42" s="2902"/>
      <c r="P42" s="3490"/>
      <c r="Q42" s="716" t="str">
        <f t="shared" si="11"/>
        <v>单套建筑面积</v>
      </c>
      <c r="R42" s="717" t="s">
        <v>17</v>
      </c>
      <c r="S42" s="718">
        <f t="shared" si="12"/>
        <v>100</v>
      </c>
      <c r="T42" s="717" t="s">
        <v>17</v>
      </c>
      <c r="U42" s="718">
        <f t="shared" si="13"/>
        <v>100</v>
      </c>
      <c r="V42" s="717" t="s">
        <v>17</v>
      </c>
      <c r="W42" s="718">
        <f t="shared" si="14"/>
        <v>100</v>
      </c>
      <c r="X42" s="719"/>
      <c r="Y42" s="3492"/>
      <c r="Z42" s="720" t="str">
        <f t="shared" si="15"/>
        <v>单套建筑面积</v>
      </c>
      <c r="AA42" s="1488">
        <f t="shared" si="3"/>
        <v>1</v>
      </c>
      <c r="AB42" s="1488">
        <f t="shared" si="4"/>
        <v>1</v>
      </c>
      <c r="AC42" s="2099">
        <f t="shared" si="5"/>
        <v>1</v>
      </c>
    </row>
    <row r="43" spans="1:29" ht="15">
      <c r="A43" s="431"/>
      <c r="B43" s="381" t="s">
        <v>2247</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01"/>
      <c r="M43" s="2895"/>
      <c r="N43" s="2895"/>
      <c r="O43" s="2895"/>
      <c r="P43" s="3490"/>
      <c r="Q43" s="1487" t="str">
        <f t="shared" si="11"/>
        <v>内部装修</v>
      </c>
      <c r="R43" s="714" t="s">
        <v>17</v>
      </c>
      <c r="S43" s="715">
        <f t="shared" si="12"/>
        <v>100</v>
      </c>
      <c r="T43" s="714" t="s">
        <v>17</v>
      </c>
      <c r="U43" s="715">
        <f t="shared" si="13"/>
        <v>100</v>
      </c>
      <c r="V43" s="714" t="s">
        <v>17</v>
      </c>
      <c r="W43" s="715">
        <f t="shared" si="14"/>
        <v>100</v>
      </c>
      <c r="X43" s="1490"/>
      <c r="Y43" s="3492"/>
      <c r="Z43" s="1491" t="str">
        <f t="shared" si="15"/>
        <v>内部装修</v>
      </c>
      <c r="AA43" s="1488">
        <f t="shared" si="3"/>
        <v>1</v>
      </c>
      <c r="AB43" s="1488">
        <f t="shared" si="4"/>
        <v>1</v>
      </c>
      <c r="AC43" s="2099">
        <f t="shared" si="5"/>
        <v>1</v>
      </c>
    </row>
    <row r="44" spans="1:29" ht="15">
      <c r="A44" s="431"/>
      <c r="B44" s="381" t="s">
        <v>2155</v>
      </c>
      <c r="C44" s="419"/>
      <c r="D44" s="394">
        <v>100</v>
      </c>
      <c r="E44" s="2043"/>
      <c r="F44" s="420">
        <f>SUMIF(125:125,E44,126:126)-SUMIF(125:125,C44,126:126)+100</f>
        <v>100</v>
      </c>
      <c r="G44" s="2043"/>
      <c r="H44" s="394">
        <f>SUMIF(125:125,G44,126:126)-SUMIF(125:125,C44,126:126)+100</f>
        <v>100</v>
      </c>
      <c r="I44" s="2043"/>
      <c r="J44" s="394">
        <f>SUMIF(125:125,I44,126:126)-SUMIF(125:125,C44,126:126)+100</f>
        <v>100</v>
      </c>
      <c r="K44" s="569"/>
      <c r="L44" s="2901"/>
      <c r="M44" s="2895"/>
      <c r="N44" s="2895"/>
      <c r="O44" s="2895"/>
      <c r="P44" s="3490"/>
      <c r="Q44" s="1487" t="str">
        <f t="shared" si="11"/>
        <v>内部装修维护情况</v>
      </c>
      <c r="R44" s="714" t="s">
        <v>17</v>
      </c>
      <c r="S44" s="715">
        <f t="shared" si="12"/>
        <v>100</v>
      </c>
      <c r="T44" s="714" t="s">
        <v>17</v>
      </c>
      <c r="U44" s="715">
        <f t="shared" si="13"/>
        <v>100</v>
      </c>
      <c r="V44" s="714" t="s">
        <v>17</v>
      </c>
      <c r="W44" s="715">
        <f t="shared" si="14"/>
        <v>100</v>
      </c>
      <c r="X44" s="1490"/>
      <c r="Y44" s="3492"/>
      <c r="Z44" s="1491" t="str">
        <f t="shared" si="15"/>
        <v>内部装修维护情况</v>
      </c>
      <c r="AA44" s="1488">
        <f t="shared" si="3"/>
        <v>1</v>
      </c>
      <c r="AB44" s="1488">
        <f t="shared" si="4"/>
        <v>1</v>
      </c>
      <c r="AC44" s="2099">
        <f t="shared" si="5"/>
        <v>1</v>
      </c>
    </row>
    <row r="45" spans="1:29" s="113" customFormat="1" ht="15">
      <c r="A45" s="432"/>
      <c r="B45" s="1248">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96"/>
      <c r="M45" s="2897"/>
      <c r="N45" s="2897"/>
      <c r="O45" s="2897"/>
      <c r="P45" s="3490"/>
      <c r="Q45" s="1478">
        <f t="shared" si="11"/>
        <v>111</v>
      </c>
      <c r="R45" s="710" t="s">
        <v>17</v>
      </c>
      <c r="S45" s="711">
        <f t="shared" si="12"/>
        <v>100</v>
      </c>
      <c r="T45" s="710" t="s">
        <v>17</v>
      </c>
      <c r="U45" s="711">
        <f t="shared" si="13"/>
        <v>100</v>
      </c>
      <c r="V45" s="710" t="s">
        <v>17</v>
      </c>
      <c r="W45" s="711">
        <f t="shared" si="14"/>
        <v>100</v>
      </c>
      <c r="X45" s="712"/>
      <c r="Y45" s="3492"/>
      <c r="Z45" s="55">
        <f t="shared" si="15"/>
        <v>111</v>
      </c>
      <c r="AA45" s="713">
        <f t="shared" si="3"/>
        <v>1</v>
      </c>
      <c r="AB45" s="713">
        <f t="shared" si="4"/>
        <v>1</v>
      </c>
      <c r="AC45" s="2096">
        <f t="shared" si="5"/>
        <v>1</v>
      </c>
    </row>
    <row r="46" spans="1:29" ht="15">
      <c r="A46" s="431"/>
      <c r="B46" s="1248">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01"/>
      <c r="M46" s="2895"/>
      <c r="N46" s="2895"/>
      <c r="O46" s="2895"/>
      <c r="P46" s="3490"/>
      <c r="Q46" s="1487">
        <f t="shared" si="11"/>
        <v>111</v>
      </c>
      <c r="R46" s="714" t="s">
        <v>17</v>
      </c>
      <c r="S46" s="715">
        <f t="shared" si="12"/>
        <v>100</v>
      </c>
      <c r="T46" s="714" t="s">
        <v>17</v>
      </c>
      <c r="U46" s="715">
        <f t="shared" si="13"/>
        <v>100</v>
      </c>
      <c r="V46" s="714" t="s">
        <v>17</v>
      </c>
      <c r="W46" s="715">
        <f t="shared" si="14"/>
        <v>100</v>
      </c>
      <c r="X46" s="1490"/>
      <c r="Y46" s="3492"/>
      <c r="Z46" s="1491">
        <f t="shared" si="15"/>
        <v>111</v>
      </c>
      <c r="AA46" s="1488">
        <f t="shared" si="3"/>
        <v>1</v>
      </c>
      <c r="AB46" s="1488">
        <f t="shared" si="4"/>
        <v>1</v>
      </c>
      <c r="AC46" s="2099">
        <f t="shared" si="5"/>
        <v>1</v>
      </c>
    </row>
    <row r="47" spans="1:29" ht="15.75" thickBot="1">
      <c r="A47" s="437"/>
      <c r="B47" s="2032">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01"/>
      <c r="M47" s="2895"/>
      <c r="N47" s="2895"/>
      <c r="O47" s="2895"/>
      <c r="P47" s="3491"/>
      <c r="Q47" s="1487">
        <f t="shared" si="11"/>
        <v>111</v>
      </c>
      <c r="R47" s="714" t="s">
        <v>17</v>
      </c>
      <c r="S47" s="715">
        <f t="shared" si="12"/>
        <v>100</v>
      </c>
      <c r="T47" s="714" t="s">
        <v>17</v>
      </c>
      <c r="U47" s="715">
        <f t="shared" si="13"/>
        <v>100</v>
      </c>
      <c r="V47" s="714" t="s">
        <v>17</v>
      </c>
      <c r="W47" s="715">
        <f t="shared" si="14"/>
        <v>100</v>
      </c>
      <c r="X47" s="1490"/>
      <c r="Y47" s="3493"/>
      <c r="Z47" s="1491">
        <f t="shared" si="15"/>
        <v>111</v>
      </c>
      <c r="AA47" s="1488">
        <f t="shared" si="3"/>
        <v>1</v>
      </c>
      <c r="AB47" s="1488">
        <f t="shared" si="4"/>
        <v>1</v>
      </c>
      <c r="AC47" s="2099">
        <f t="shared" si="5"/>
        <v>1</v>
      </c>
    </row>
    <row r="48" spans="1:29" ht="15">
      <c r="A48" s="438" t="s">
        <v>2156</v>
      </c>
      <c r="B48" s="439"/>
      <c r="C48" s="1269" t="s">
        <v>1</v>
      </c>
      <c r="D48" s="1270"/>
      <c r="E48" s="1271"/>
      <c r="F48" s="1272"/>
      <c r="G48" s="1273"/>
      <c r="H48" s="1274"/>
      <c r="I48" s="1271"/>
      <c r="J48" s="444"/>
      <c r="K48" s="723"/>
      <c r="L48" s="2903"/>
      <c r="M48" s="2895"/>
      <c r="N48" s="2895"/>
      <c r="O48" s="2895"/>
      <c r="P48" s="3467" t="str">
        <f>A48</f>
        <v>成交单价（元/平方米）</v>
      </c>
      <c r="Q48" s="3485"/>
      <c r="R48" s="3486">
        <f>E48</f>
        <v>0</v>
      </c>
      <c r="S48" s="3486"/>
      <c r="T48" s="3486">
        <f>G48</f>
        <v>0</v>
      </c>
      <c r="U48" s="3486"/>
      <c r="V48" s="3486">
        <f>I48</f>
        <v>0</v>
      </c>
      <c r="W48" s="3486"/>
      <c r="X48" s="405"/>
      <c r="Y48" s="721"/>
      <c r="Z48" s="405"/>
      <c r="AA48" s="405"/>
      <c r="AB48" s="405"/>
      <c r="AC48" s="586"/>
    </row>
    <row r="49" spans="1:29" ht="15.75" thickBot="1">
      <c r="A49" s="445" t="s">
        <v>2248</v>
      </c>
      <c r="B49" s="446"/>
      <c r="C49" s="1275" t="e">
        <f>R50</f>
        <v>#DIV/0!</v>
      </c>
      <c r="D49" s="2489" t="s">
        <v>2638</v>
      </c>
      <c r="E49" s="1276" t="e">
        <f>R49</f>
        <v>#DIV/0!</v>
      </c>
      <c r="F49" s="2490"/>
      <c r="G49" s="1275" t="e">
        <f>T49</f>
        <v>#DIV/0!</v>
      </c>
      <c r="H49" s="2490"/>
      <c r="I49" s="1276" t="e">
        <f>V49</f>
        <v>#DIV/0!</v>
      </c>
      <c r="J49" s="2490"/>
      <c r="K49" s="2492">
        <f>F49+H49+J49</f>
        <v>0</v>
      </c>
      <c r="L49" s="2903"/>
      <c r="M49" s="2895"/>
      <c r="N49" s="2895"/>
      <c r="O49" s="2895"/>
      <c r="P49" s="3467" t="str">
        <f>A49</f>
        <v>比较价值（元/平方米）</v>
      </c>
      <c r="Q49" s="3485"/>
      <c r="R49" s="3486" t="e">
        <f>IF(F1="售价",ROUND(PRODUCT(R48,AA7:AA47),0),ROUND(PRODUCT(R48,AA7:AA47),1))</f>
        <v>#DIV/0!</v>
      </c>
      <c r="S49" s="3486"/>
      <c r="T49" s="3486" t="e">
        <f>IF(F1="售价",ROUND(PRODUCT(T48,AB7:AB47),0),ROUND(PRODUCT(T48,AB7:AB47),1))</f>
        <v>#DIV/0!</v>
      </c>
      <c r="U49" s="3486"/>
      <c r="V49" s="3486" t="e">
        <f>IF(F1="售价",ROUND(PRODUCT(V48,AC7:AC47),0),ROUND(PRODUCT(V48,AC7:AC47),1))</f>
        <v>#DIV/0!</v>
      </c>
      <c r="W49" s="3486"/>
      <c r="X49" s="405"/>
      <c r="Y49" s="405"/>
      <c r="Z49" s="405"/>
      <c r="AA49" s="405"/>
      <c r="AB49" s="405"/>
      <c r="AC49" s="586"/>
    </row>
    <row r="50" spans="1:29" ht="15.75" thickBot="1">
      <c r="A50" s="449" t="s">
        <v>2249</v>
      </c>
      <c r="B50" s="450"/>
      <c r="C50" s="1278" t="e">
        <f>R50</f>
        <v>#DIV/0!</v>
      </c>
      <c r="D50" s="1278"/>
      <c r="E50" s="1278"/>
      <c r="F50" s="1278"/>
      <c r="G50" s="1278"/>
      <c r="H50" s="1278"/>
      <c r="I50" s="1278"/>
      <c r="J50" s="451"/>
      <c r="K50" s="724"/>
      <c r="L50" s="2903"/>
      <c r="M50" s="2895"/>
      <c r="N50" s="2895"/>
      <c r="O50" s="2895"/>
      <c r="P50" s="3508" t="str">
        <f>A50</f>
        <v>估价对象XX用房的比较价值（楼面单价，元/平方米）</v>
      </c>
      <c r="Q50" s="3509"/>
      <c r="R50" s="3510" t="e">
        <f>IF(F1="售价",ROUND(IF(D49="简单平均",AVERAGE(R49:V49),R49*F49+T49*H49+V49*J49),0),ROUND(IF(D49="简单平均",AVERAGE(R49:V49),R49*F49+T49*H49+V49*J49),1))</f>
        <v>#DIV/0!</v>
      </c>
      <c r="S50" s="3510"/>
      <c r="T50" s="3510"/>
      <c r="U50" s="3510"/>
      <c r="V50" s="3510"/>
      <c r="W50" s="3510"/>
      <c r="X50" s="2083"/>
      <c r="Y50" s="2083"/>
      <c r="Z50" s="2083"/>
      <c r="AA50" s="2083"/>
      <c r="AB50" s="2083"/>
      <c r="AC50" s="2084"/>
    </row>
    <row r="51" spans="1:29">
      <c r="A51" s="2904"/>
      <c r="B51" s="2904"/>
      <c r="C51" s="2904"/>
      <c r="D51" s="2904"/>
      <c r="E51" s="2904"/>
      <c r="F51" s="2904"/>
      <c r="G51" s="2908"/>
      <c r="H51" s="2904"/>
      <c r="I51" s="2904"/>
      <c r="J51" s="2904"/>
      <c r="K51" s="2909"/>
      <c r="L51" s="2905"/>
      <c r="M51" s="2904"/>
      <c r="N51" s="2904"/>
      <c r="O51" s="2904"/>
      <c r="P51" s="2935"/>
      <c r="Q51" s="2904"/>
      <c r="R51" s="2904"/>
      <c r="S51" s="2904"/>
      <c r="T51" s="2904"/>
      <c r="U51" s="2904"/>
      <c r="V51" s="2904"/>
      <c r="W51" s="2904"/>
      <c r="X51" s="2904"/>
      <c r="Y51" s="2904"/>
      <c r="Z51" s="2904"/>
      <c r="AA51" s="2904"/>
      <c r="AB51" s="2904"/>
      <c r="AC51" s="2904"/>
    </row>
    <row r="52" spans="1:29">
      <c r="A52" s="2904"/>
      <c r="B52" s="2904"/>
      <c r="C52" s="2904"/>
      <c r="D52" s="2904"/>
      <c r="E52" s="2904"/>
      <c r="F52" s="2904"/>
      <c r="G52" s="2904"/>
      <c r="H52" s="2904"/>
      <c r="I52" s="2904"/>
      <c r="J52" s="2904"/>
      <c r="K52" s="2909"/>
      <c r="L52" s="2905"/>
      <c r="M52" s="2904"/>
      <c r="N52" s="2904"/>
      <c r="O52" s="2904"/>
      <c r="P52" s="2935"/>
      <c r="Q52" s="2904"/>
      <c r="R52" s="2904"/>
      <c r="S52" s="2904"/>
      <c r="T52" s="2904"/>
      <c r="U52" s="2904"/>
      <c r="V52" s="2904"/>
      <c r="W52" s="2904"/>
      <c r="X52" s="2904"/>
      <c r="Y52" s="2904"/>
      <c r="Z52" s="2904"/>
      <c r="AA52" s="2904"/>
      <c r="AB52" s="2904"/>
      <c r="AC52" s="2904"/>
    </row>
    <row r="53" spans="1:29" ht="13.5" customHeight="1">
      <c r="A53" s="2904"/>
      <c r="B53" s="2904"/>
      <c r="C53" s="454" t="s">
        <v>2250</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09"/>
      <c r="L53" s="2905"/>
      <c r="M53" s="2904"/>
      <c r="N53" s="2904"/>
      <c r="O53" s="2904"/>
      <c r="P53" s="2935"/>
      <c r="Q53" s="2904"/>
      <c r="R53" s="2904"/>
      <c r="S53" s="2904"/>
      <c r="T53" s="2904"/>
      <c r="U53" s="2904"/>
      <c r="V53" s="2904"/>
      <c r="W53" s="2904"/>
      <c r="X53" s="2904"/>
      <c r="Y53" s="2904"/>
      <c r="Z53" s="2904"/>
      <c r="AA53" s="2904"/>
      <c r="AB53" s="2904"/>
      <c r="AC53" s="2904"/>
    </row>
    <row r="54" spans="1:29" ht="13.5" customHeight="1">
      <c r="A54" s="2904"/>
      <c r="B54" s="2904"/>
      <c r="C54" s="454" t="s">
        <v>2251</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09"/>
      <c r="L54" s="2905"/>
      <c r="M54" s="2904"/>
      <c r="N54" s="2904"/>
      <c r="O54" s="2904"/>
      <c r="P54" s="2935"/>
      <c r="Q54" s="2904"/>
      <c r="R54" s="2904"/>
      <c r="S54" s="2904"/>
      <c r="T54" s="2904"/>
      <c r="U54" s="2904"/>
      <c r="V54" s="2904"/>
      <c r="W54" s="2904"/>
      <c r="X54" s="2904"/>
      <c r="Y54" s="2904"/>
      <c r="Z54" s="2904"/>
      <c r="AA54" s="2904"/>
      <c r="AB54" s="2904"/>
      <c r="AC54" s="2904"/>
    </row>
    <row r="55" spans="1:29" s="459" customFormat="1" ht="13.5" customHeight="1">
      <c r="A55" s="2907"/>
      <c r="B55" s="2907"/>
      <c r="C55" s="454" t="s">
        <v>2252</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12"/>
      <c r="L55" s="2906"/>
      <c r="M55" s="2907"/>
      <c r="N55" s="2907"/>
      <c r="O55" s="2907"/>
      <c r="P55" s="2936"/>
      <c r="Q55" s="2907"/>
      <c r="R55" s="2907"/>
      <c r="S55" s="2907"/>
      <c r="T55" s="2907"/>
      <c r="U55" s="2907"/>
      <c r="V55" s="2907"/>
      <c r="W55" s="2907"/>
      <c r="X55" s="2907"/>
      <c r="Y55" s="2907"/>
      <c r="Z55" s="2907"/>
      <c r="AA55" s="2907"/>
      <c r="AB55" s="2907"/>
      <c r="AC55" s="2907"/>
    </row>
    <row r="56" spans="1:29" s="459" customFormat="1">
      <c r="A56" s="2907"/>
      <c r="B56" s="2910"/>
      <c r="C56" s="2911"/>
      <c r="D56" s="2907"/>
      <c r="E56" s="2907"/>
      <c r="F56" s="2907"/>
      <c r="G56" s="2907"/>
      <c r="H56" s="2907"/>
      <c r="I56" s="2907"/>
      <c r="J56" s="2907"/>
      <c r="K56" s="2912"/>
      <c r="L56" s="2906"/>
      <c r="M56" s="2907"/>
      <c r="N56" s="2907"/>
      <c r="O56" s="2907"/>
      <c r="P56" s="2936"/>
      <c r="Q56" s="2907"/>
      <c r="R56" s="2907"/>
      <c r="S56" s="2907"/>
      <c r="T56" s="2907"/>
      <c r="U56" s="2907"/>
      <c r="V56" s="2907"/>
      <c r="W56" s="2907"/>
      <c r="X56" s="2907"/>
      <c r="Y56" s="2907"/>
      <c r="Z56" s="2907"/>
      <c r="AA56" s="2907"/>
      <c r="AB56" s="2907"/>
      <c r="AC56" s="2907"/>
    </row>
    <row r="57" spans="1:29">
      <c r="A57" s="2904"/>
      <c r="B57" s="2910"/>
      <c r="C57" s="2911"/>
      <c r="D57" s="2904"/>
      <c r="E57" s="2904"/>
      <c r="F57" s="2904"/>
      <c r="G57" s="2904"/>
      <c r="H57" s="2904"/>
      <c r="I57" s="2904"/>
      <c r="J57" s="2904"/>
      <c r="K57" s="2909"/>
      <c r="L57" s="2905"/>
      <c r="M57" s="2904"/>
      <c r="N57" s="2904"/>
      <c r="O57" s="2904"/>
      <c r="P57" s="2935"/>
      <c r="Q57" s="2904"/>
      <c r="R57" s="2904"/>
      <c r="S57" s="2904"/>
      <c r="T57" s="2904"/>
      <c r="U57" s="2904"/>
      <c r="V57" s="2904"/>
      <c r="W57" s="2904"/>
      <c r="X57" s="2904"/>
      <c r="Y57" s="2904"/>
      <c r="Z57" s="2904"/>
      <c r="AA57" s="2904"/>
      <c r="AB57" s="2904"/>
      <c r="AC57" s="2904"/>
    </row>
    <row r="58" spans="1:29" ht="21.75" thickBot="1">
      <c r="A58" s="703" t="s">
        <v>2253</v>
      </c>
      <c r="B58" s="699"/>
      <c r="C58" s="704"/>
      <c r="D58" s="704"/>
      <c r="E58" s="704"/>
      <c r="F58" s="705"/>
      <c r="G58" s="705"/>
      <c r="H58" s="704"/>
      <c r="I58" s="704"/>
      <c r="J58" s="704"/>
      <c r="K58" s="706"/>
      <c r="L58" s="1054"/>
      <c r="M58" s="1052"/>
      <c r="N58" s="2948"/>
      <c r="O58" s="2948"/>
      <c r="P58" s="2937"/>
      <c r="Q58" s="2918"/>
      <c r="R58" s="2904"/>
      <c r="S58" s="2904"/>
      <c r="T58" s="2904"/>
      <c r="U58" s="2904"/>
      <c r="V58" s="2904"/>
      <c r="W58" s="2904"/>
      <c r="X58" s="2904"/>
      <c r="Y58" s="2904"/>
      <c r="Z58" s="2904"/>
      <c r="AA58" s="2904"/>
      <c r="AB58" s="2904"/>
      <c r="AC58" s="2904"/>
    </row>
    <row r="59" spans="1:29" s="465" customFormat="1" ht="15">
      <c r="A59" s="462" t="s">
        <v>2127</v>
      </c>
      <c r="B59" s="463"/>
      <c r="C59" s="1299" t="str">
        <f>YEAR(C7)&amp;"-"&amp;MONTH(C7)</f>
        <v>2022-11</v>
      </c>
      <c r="D59" s="1300">
        <f>EDATE(C59,-1)</f>
        <v>44835</v>
      </c>
      <c r="E59" s="1300">
        <f>EDATE(D59,-1)</f>
        <v>44805</v>
      </c>
      <c r="F59" s="1300">
        <f t="shared" ref="F59:O59" si="16">EDATE(E59,-1)</f>
        <v>44774</v>
      </c>
      <c r="G59" s="1300">
        <f t="shared" si="16"/>
        <v>44743</v>
      </c>
      <c r="H59" s="1300">
        <f t="shared" si="16"/>
        <v>44713</v>
      </c>
      <c r="I59" s="1300">
        <f t="shared" si="16"/>
        <v>44682</v>
      </c>
      <c r="J59" s="1300">
        <f t="shared" si="16"/>
        <v>44652</v>
      </c>
      <c r="K59" s="1300">
        <f t="shared" si="16"/>
        <v>44621</v>
      </c>
      <c r="L59" s="1300">
        <f t="shared" si="16"/>
        <v>44593</v>
      </c>
      <c r="M59" s="1300">
        <f t="shared" si="16"/>
        <v>44562</v>
      </c>
      <c r="N59" s="1300">
        <f t="shared" si="16"/>
        <v>44531</v>
      </c>
      <c r="O59" s="1300">
        <f t="shared" si="16"/>
        <v>44501</v>
      </c>
      <c r="P59" s="2938"/>
      <c r="Q59" s="2920"/>
      <c r="R59" s="2920"/>
      <c r="S59" s="2920"/>
      <c r="T59" s="2920"/>
      <c r="U59" s="2920"/>
      <c r="V59" s="2920"/>
      <c r="W59" s="2920"/>
      <c r="X59" s="2920"/>
      <c r="Y59" s="2920"/>
      <c r="Z59" s="2920"/>
      <c r="AA59" s="2920"/>
      <c r="AB59" s="2920"/>
      <c r="AC59" s="2920"/>
    </row>
    <row r="60" spans="1:29" s="113" customFormat="1" ht="15">
      <c r="A60" s="466"/>
      <c r="B60" s="467"/>
      <c r="C60" s="1298">
        <v>100</v>
      </c>
      <c r="D60" s="469"/>
      <c r="E60" s="469"/>
      <c r="F60" s="469"/>
      <c r="G60" s="469"/>
      <c r="H60" s="469"/>
      <c r="I60" s="469"/>
      <c r="J60" s="469"/>
      <c r="K60" s="469"/>
      <c r="L60" s="469"/>
      <c r="M60" s="470"/>
      <c r="N60" s="469"/>
      <c r="O60" s="470"/>
      <c r="P60" s="2939"/>
      <c r="Q60" s="2838"/>
      <c r="R60" s="2838"/>
      <c r="S60" s="2838"/>
      <c r="T60" s="2838"/>
      <c r="U60" s="2838"/>
      <c r="V60" s="2838"/>
      <c r="W60" s="2838"/>
      <c r="X60" s="2838"/>
      <c r="Y60" s="2838"/>
      <c r="Z60" s="2838"/>
      <c r="AA60" s="2838"/>
      <c r="AB60" s="2838"/>
      <c r="AC60" s="2838"/>
    </row>
    <row r="61" spans="1:29" s="113" customFormat="1" ht="15.75" thickBot="1">
      <c r="A61" s="472" t="s">
        <v>2164</v>
      </c>
      <c r="B61" s="473"/>
      <c r="C61" s="474"/>
      <c r="D61" s="475"/>
      <c r="E61" s="475"/>
      <c r="F61" s="475"/>
      <c r="G61" s="475"/>
      <c r="H61" s="475"/>
      <c r="I61" s="475"/>
      <c r="J61" s="475"/>
      <c r="K61" s="475"/>
      <c r="L61" s="475"/>
      <c r="M61" s="476"/>
      <c r="N61" s="475"/>
      <c r="O61" s="476"/>
      <c r="P61" s="2939"/>
      <c r="Q61" s="2918"/>
      <c r="R61" s="2838"/>
      <c r="S61" s="2838"/>
      <c r="T61" s="2838"/>
      <c r="U61" s="2838"/>
      <c r="V61" s="2838"/>
      <c r="W61" s="2838"/>
      <c r="X61" s="2838"/>
      <c r="Y61" s="2838"/>
      <c r="Z61" s="2838"/>
      <c r="AA61" s="2838"/>
      <c r="AB61" s="2838"/>
      <c r="AC61" s="2838"/>
    </row>
    <row r="62" spans="1:29" s="113" customFormat="1" ht="15">
      <c r="A62" s="478" t="s">
        <v>2129</v>
      </c>
      <c r="B62" s="467"/>
      <c r="C62" s="479" t="s">
        <v>2231</v>
      </c>
      <c r="D62" s="480"/>
      <c r="E62" s="480"/>
      <c r="F62" s="480"/>
      <c r="G62" s="480"/>
      <c r="H62" s="480"/>
      <c r="I62" s="480"/>
      <c r="J62" s="480"/>
      <c r="K62" s="480"/>
      <c r="L62" s="481"/>
      <c r="M62" s="482"/>
      <c r="N62" s="2931"/>
      <c r="O62" s="2931"/>
      <c r="P62" s="2940"/>
      <c r="Q62" s="2918"/>
      <c r="R62" s="2838"/>
      <c r="S62" s="2838"/>
      <c r="T62" s="2838"/>
      <c r="U62" s="2838"/>
      <c r="V62" s="2838"/>
      <c r="W62" s="2838"/>
      <c r="X62" s="2838"/>
      <c r="Y62" s="2838"/>
      <c r="Z62" s="2838"/>
      <c r="AA62" s="2838"/>
      <c r="AB62" s="2838"/>
      <c r="AC62" s="2838"/>
    </row>
    <row r="63" spans="1:29" s="113" customFormat="1" ht="15.75" thickBot="1">
      <c r="A63" s="478"/>
      <c r="B63" s="467"/>
      <c r="C63" s="468">
        <v>100</v>
      </c>
      <c r="D63" s="469"/>
      <c r="E63" s="469"/>
      <c r="F63" s="469"/>
      <c r="G63" s="469"/>
      <c r="H63" s="469"/>
      <c r="I63" s="469"/>
      <c r="J63" s="469"/>
      <c r="K63" s="469"/>
      <c r="L63" s="469"/>
      <c r="M63" s="471"/>
      <c r="N63" s="2931"/>
      <c r="O63" s="2931"/>
      <c r="P63" s="2939"/>
      <c r="Q63" s="2918"/>
      <c r="R63" s="2838"/>
      <c r="S63" s="2838"/>
      <c r="T63" s="2838"/>
      <c r="U63" s="2838"/>
      <c r="V63" s="2838"/>
      <c r="W63" s="2838"/>
      <c r="X63" s="2838"/>
      <c r="Y63" s="2838"/>
      <c r="Z63" s="2838"/>
      <c r="AA63" s="2838"/>
      <c r="AB63" s="2838"/>
      <c r="AC63" s="2838"/>
    </row>
    <row r="64" spans="1:29">
      <c r="A64" s="484" t="s">
        <v>2167</v>
      </c>
      <c r="B64" s="485" t="s">
        <v>2133</v>
      </c>
      <c r="C64" s="486">
        <f>C9</f>
        <v>0</v>
      </c>
      <c r="D64" s="487"/>
      <c r="E64" s="487"/>
      <c r="F64" s="487"/>
      <c r="G64" s="487"/>
      <c r="H64" s="487"/>
      <c r="I64" s="487"/>
      <c r="J64" s="487"/>
      <c r="K64" s="488"/>
      <c r="L64" s="489"/>
      <c r="M64" s="490"/>
      <c r="N64" s="2932"/>
      <c r="O64" s="2932"/>
      <c r="P64" s="2941"/>
      <c r="Q64" s="2918"/>
      <c r="R64" s="2904"/>
      <c r="S64" s="2904"/>
      <c r="T64" s="2904"/>
      <c r="U64" s="2904"/>
      <c r="V64" s="2904"/>
      <c r="W64" s="2904"/>
      <c r="X64" s="2904"/>
      <c r="Y64" s="2904"/>
      <c r="Z64" s="2904"/>
      <c r="AA64" s="2904"/>
      <c r="AB64" s="2904"/>
      <c r="AC64" s="2904"/>
    </row>
    <row r="65" spans="1:29" ht="15.75" thickBot="1">
      <c r="A65" s="491"/>
      <c r="B65" s="492"/>
      <c r="C65" s="493">
        <v>100</v>
      </c>
      <c r="D65" s="493"/>
      <c r="E65" s="493"/>
      <c r="F65" s="493"/>
      <c r="G65" s="493"/>
      <c r="H65" s="493"/>
      <c r="I65" s="493"/>
      <c r="J65" s="493"/>
      <c r="K65" s="493"/>
      <c r="L65" s="493"/>
      <c r="M65" s="494"/>
      <c r="N65" s="2933"/>
      <c r="O65" s="2933"/>
      <c r="P65" s="2941"/>
      <c r="Q65" s="2918"/>
      <c r="R65" s="2904"/>
      <c r="S65" s="2904"/>
      <c r="T65" s="2904"/>
      <c r="U65" s="2904"/>
      <c r="V65" s="2904"/>
      <c r="W65" s="2904"/>
      <c r="X65" s="2904"/>
      <c r="Y65" s="2904"/>
      <c r="Z65" s="2904"/>
      <c r="AA65" s="2904"/>
      <c r="AB65" s="2904"/>
      <c r="AC65" s="2904"/>
    </row>
    <row r="66" spans="1:29" ht="27.75" thickTop="1">
      <c r="A66" s="491"/>
      <c r="B66" s="495" t="s">
        <v>2136</v>
      </c>
      <c r="C66" s="496" t="s">
        <v>2168</v>
      </c>
      <c r="D66" s="496" t="s">
        <v>2169</v>
      </c>
      <c r="E66" s="496" t="s">
        <v>2170</v>
      </c>
      <c r="F66" s="496" t="s">
        <v>2171</v>
      </c>
      <c r="G66" s="496" t="s">
        <v>2172</v>
      </c>
      <c r="H66" s="496" t="s">
        <v>2173</v>
      </c>
      <c r="I66" s="496" t="s">
        <v>2174</v>
      </c>
      <c r="J66" s="496"/>
      <c r="K66" s="497"/>
      <c r="L66" s="498"/>
      <c r="M66" s="499"/>
      <c r="N66" s="2932"/>
      <c r="O66" s="2932"/>
      <c r="P66" s="2941"/>
      <c r="Q66" s="2918"/>
      <c r="R66" s="2904"/>
      <c r="S66" s="2904"/>
      <c r="T66" s="2904"/>
      <c r="U66" s="2904"/>
      <c r="V66" s="2904"/>
      <c r="W66" s="2904"/>
      <c r="X66" s="2904"/>
      <c r="Y66" s="2904"/>
      <c r="Z66" s="2904"/>
      <c r="AA66" s="2904"/>
      <c r="AB66" s="2904"/>
      <c r="AC66" s="290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33"/>
      <c r="O67" s="2933"/>
      <c r="P67" s="2941"/>
      <c r="Q67" s="2918"/>
      <c r="R67" s="2904"/>
      <c r="S67" s="2904"/>
      <c r="T67" s="2904"/>
      <c r="U67" s="2904"/>
      <c r="V67" s="2904"/>
      <c r="W67" s="2904"/>
      <c r="X67" s="2904"/>
      <c r="Y67" s="2904"/>
      <c r="Z67" s="2904"/>
      <c r="AA67" s="2904"/>
      <c r="AB67" s="2904"/>
      <c r="AC67" s="2904"/>
    </row>
    <row r="68" spans="1:29" ht="15.75" thickTop="1">
      <c r="A68" s="491"/>
      <c r="B68" s="503" t="s">
        <v>2137</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33"/>
      <c r="O68" s="2933"/>
      <c r="P68" s="2941"/>
      <c r="Q68" s="2918"/>
      <c r="R68" s="2904"/>
      <c r="S68" s="2904"/>
      <c r="T68" s="2904"/>
      <c r="U68" s="2904"/>
      <c r="V68" s="2904"/>
      <c r="W68" s="2904"/>
      <c r="X68" s="2904"/>
      <c r="Y68" s="2904"/>
      <c r="Z68" s="2904"/>
      <c r="AA68" s="2904"/>
      <c r="AB68" s="2904"/>
      <c r="AC68" s="2904"/>
    </row>
    <row r="69" spans="1:29" ht="15">
      <c r="A69" s="491"/>
      <c r="B69" s="505"/>
      <c r="C69" s="506"/>
      <c r="D69" s="506"/>
      <c r="E69" s="506"/>
      <c r="F69" s="506"/>
      <c r="G69" s="506"/>
      <c r="H69" s="506"/>
      <c r="I69" s="506"/>
      <c r="J69" s="506"/>
      <c r="K69" s="507"/>
      <c r="L69" s="508"/>
      <c r="M69" s="509"/>
      <c r="N69" s="2932"/>
      <c r="O69" s="2932"/>
      <c r="P69" s="2941"/>
      <c r="Q69" s="2918"/>
      <c r="R69" s="2904"/>
      <c r="S69" s="2904"/>
      <c r="T69" s="2904"/>
      <c r="U69" s="2904"/>
      <c r="V69" s="2904"/>
      <c r="W69" s="2904"/>
      <c r="X69" s="2904"/>
      <c r="Y69" s="2904"/>
      <c r="Z69" s="2904"/>
      <c r="AA69" s="2904"/>
      <c r="AB69" s="2904"/>
      <c r="AC69" s="290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33"/>
      <c r="O70" s="2933"/>
      <c r="P70" s="2941"/>
      <c r="Q70" s="2918"/>
      <c r="R70" s="2904"/>
      <c r="S70" s="2904"/>
      <c r="T70" s="2904"/>
      <c r="U70" s="2904"/>
      <c r="V70" s="2904"/>
      <c r="W70" s="2904"/>
      <c r="X70" s="2904"/>
      <c r="Y70" s="2904"/>
      <c r="Z70" s="2904"/>
      <c r="AA70" s="2904"/>
      <c r="AB70" s="2904"/>
      <c r="AC70" s="2904"/>
    </row>
    <row r="71" spans="1:29" s="430" customFormat="1" ht="15.75" thickTop="1">
      <c r="A71" s="510"/>
      <c r="B71" s="495">
        <f>B12</f>
        <v>111</v>
      </c>
      <c r="C71" s="511"/>
      <c r="D71" s="511"/>
      <c r="E71" s="511"/>
      <c r="F71" s="511"/>
      <c r="G71" s="511"/>
      <c r="H71" s="512"/>
      <c r="I71" s="512"/>
      <c r="J71" s="512"/>
      <c r="K71" s="512"/>
      <c r="L71" s="513"/>
      <c r="M71" s="514"/>
      <c r="N71" s="2934"/>
      <c r="O71" s="2934"/>
      <c r="P71" s="2942"/>
      <c r="Q71" s="2925"/>
      <c r="R71" s="2926"/>
      <c r="S71" s="2926"/>
      <c r="T71" s="2926"/>
      <c r="U71" s="2926"/>
      <c r="V71" s="2926"/>
      <c r="W71" s="2926"/>
      <c r="X71" s="2926"/>
      <c r="Y71" s="2926"/>
      <c r="Z71" s="2926"/>
      <c r="AA71" s="2926"/>
      <c r="AB71" s="2926"/>
      <c r="AC71" s="2926"/>
    </row>
    <row r="72" spans="1:29" s="430" customFormat="1" ht="15.75" thickBot="1">
      <c r="A72" s="510"/>
      <c r="B72" s="500"/>
      <c r="C72" s="517"/>
      <c r="D72" s="493"/>
      <c r="E72" s="493"/>
      <c r="F72" s="493"/>
      <c r="G72" s="493"/>
      <c r="H72" s="493"/>
      <c r="I72" s="493"/>
      <c r="J72" s="493"/>
      <c r="K72" s="493"/>
      <c r="L72" s="493"/>
      <c r="M72" s="494"/>
      <c r="N72" s="2933"/>
      <c r="O72" s="2933"/>
      <c r="P72" s="2942"/>
      <c r="Q72" s="2925"/>
      <c r="R72" s="2926"/>
      <c r="S72" s="2926"/>
      <c r="T72" s="2926"/>
      <c r="U72" s="2926"/>
      <c r="V72" s="2926"/>
      <c r="W72" s="2926"/>
      <c r="X72" s="2926"/>
      <c r="Y72" s="2926"/>
      <c r="Z72" s="2926"/>
      <c r="AA72" s="2926"/>
      <c r="AB72" s="2926"/>
      <c r="AC72" s="2926"/>
    </row>
    <row r="73" spans="1:29" s="430" customFormat="1" ht="15.75" thickTop="1">
      <c r="A73" s="510"/>
      <c r="B73" s="495">
        <f>B13</f>
        <v>111</v>
      </c>
      <c r="C73" s="511"/>
      <c r="D73" s="511"/>
      <c r="E73" s="511"/>
      <c r="F73" s="511"/>
      <c r="G73" s="511"/>
      <c r="H73" s="512"/>
      <c r="I73" s="512"/>
      <c r="J73" s="512"/>
      <c r="K73" s="512"/>
      <c r="L73" s="513"/>
      <c r="M73" s="514"/>
      <c r="N73" s="2934"/>
      <c r="O73" s="2934"/>
      <c r="P73" s="2943"/>
      <c r="Q73" s="2928"/>
      <c r="R73" s="2926"/>
      <c r="S73" s="2926"/>
      <c r="T73" s="2926"/>
      <c r="U73" s="2926"/>
      <c r="V73" s="2926"/>
      <c r="W73" s="2926"/>
      <c r="X73" s="2926"/>
      <c r="Y73" s="2926"/>
      <c r="Z73" s="2926"/>
      <c r="AA73" s="2926"/>
      <c r="AB73" s="2926"/>
      <c r="AC73" s="2926"/>
    </row>
    <row r="74" spans="1:29" s="430" customFormat="1" ht="15.75" thickBot="1">
      <c r="A74" s="510"/>
      <c r="B74" s="500"/>
      <c r="C74" s="517"/>
      <c r="D74" s="517"/>
      <c r="E74" s="517"/>
      <c r="F74" s="517"/>
      <c r="G74" s="517"/>
      <c r="H74" s="519"/>
      <c r="I74" s="519"/>
      <c r="J74" s="519"/>
      <c r="K74" s="519"/>
      <c r="L74" s="519"/>
      <c r="M74" s="520"/>
      <c r="N74" s="2934"/>
      <c r="O74" s="2934"/>
      <c r="P74" s="2942"/>
      <c r="Q74" s="2925"/>
      <c r="R74" s="2926"/>
      <c r="S74" s="2926"/>
      <c r="T74" s="2926"/>
      <c r="U74" s="2926"/>
      <c r="V74" s="2926"/>
      <c r="W74" s="2926"/>
      <c r="X74" s="2926"/>
      <c r="Y74" s="2926"/>
      <c r="Z74" s="2926"/>
      <c r="AA74" s="2926"/>
      <c r="AB74" s="2926"/>
      <c r="AC74" s="2926"/>
    </row>
    <row r="75" spans="1:29" s="430" customFormat="1" ht="15.75" thickTop="1">
      <c r="A75" s="510"/>
      <c r="B75" s="503">
        <f>B14</f>
        <v>111</v>
      </c>
      <c r="C75" s="480"/>
      <c r="D75" s="480"/>
      <c r="E75" s="480"/>
      <c r="F75" s="480"/>
      <c r="G75" s="480"/>
      <c r="H75" s="521"/>
      <c r="I75" s="521"/>
      <c r="J75" s="521"/>
      <c r="K75" s="521"/>
      <c r="L75" s="522"/>
      <c r="M75" s="523"/>
      <c r="N75" s="2934"/>
      <c r="O75" s="2934"/>
      <c r="P75" s="2944"/>
      <c r="Q75" s="2925"/>
      <c r="R75" s="2926"/>
      <c r="S75" s="2926"/>
      <c r="T75" s="2926"/>
      <c r="U75" s="2926"/>
      <c r="V75" s="2926"/>
      <c r="W75" s="2926"/>
      <c r="X75" s="2926"/>
      <c r="Y75" s="2926"/>
      <c r="Z75" s="2926"/>
      <c r="AA75" s="2926"/>
      <c r="AB75" s="2926"/>
      <c r="AC75" s="2926"/>
    </row>
    <row r="76" spans="1:29" s="430" customFormat="1" ht="15.75" thickBot="1">
      <c r="A76" s="525"/>
      <c r="B76" s="526"/>
      <c r="C76" s="527"/>
      <c r="D76" s="527"/>
      <c r="E76" s="527"/>
      <c r="F76" s="527"/>
      <c r="G76" s="527"/>
      <c r="H76" s="528"/>
      <c r="I76" s="528"/>
      <c r="J76" s="528"/>
      <c r="K76" s="528"/>
      <c r="L76" s="528"/>
      <c r="M76" s="529"/>
      <c r="N76" s="2934"/>
      <c r="O76" s="2934"/>
      <c r="P76" s="2942"/>
      <c r="Q76" s="2925"/>
      <c r="R76" s="2926"/>
      <c r="S76" s="2926"/>
      <c r="T76" s="2926"/>
      <c r="U76" s="2926"/>
      <c r="V76" s="2926"/>
      <c r="W76" s="2926"/>
      <c r="X76" s="2926"/>
      <c r="Y76" s="2926"/>
      <c r="Z76" s="2926"/>
      <c r="AA76" s="2926"/>
      <c r="AB76" s="2926"/>
      <c r="AC76" s="2926"/>
    </row>
    <row r="77" spans="1:29">
      <c r="A77" s="484" t="s">
        <v>2138</v>
      </c>
      <c r="B77" s="485" t="s">
        <v>2276</v>
      </c>
      <c r="C77" s="530" t="s">
        <v>2176</v>
      </c>
      <c r="D77" s="530" t="s">
        <v>2177</v>
      </c>
      <c r="E77" s="530" t="s">
        <v>2178</v>
      </c>
      <c r="F77" s="530" t="s">
        <v>2179</v>
      </c>
      <c r="G77" s="530" t="s">
        <v>2180</v>
      </c>
      <c r="H77" s="486"/>
      <c r="I77" s="486"/>
      <c r="J77" s="486"/>
      <c r="K77" s="531"/>
      <c r="L77" s="532"/>
      <c r="M77" s="533"/>
      <c r="N77" s="2932"/>
      <c r="O77" s="2932"/>
      <c r="P77" s="2945"/>
      <c r="Q77" s="2918"/>
      <c r="R77" s="2904"/>
      <c r="S77" s="2904"/>
      <c r="T77" s="2904"/>
      <c r="U77" s="2904"/>
      <c r="V77" s="2904"/>
      <c r="W77" s="2904"/>
      <c r="X77" s="2904"/>
      <c r="Y77" s="2904"/>
      <c r="Z77" s="2904"/>
      <c r="AA77" s="2904"/>
      <c r="AB77" s="2904"/>
      <c r="AC77" s="290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33"/>
      <c r="O78" s="2933"/>
      <c r="P78" s="2941"/>
      <c r="Q78" s="2918"/>
      <c r="R78" s="2904"/>
      <c r="S78" s="2904"/>
      <c r="T78" s="2904"/>
      <c r="U78" s="2904"/>
      <c r="V78" s="2904"/>
      <c r="W78" s="2904"/>
      <c r="X78" s="2904"/>
      <c r="Y78" s="2904"/>
      <c r="Z78" s="2904"/>
      <c r="AA78" s="2904"/>
      <c r="AB78" s="2904"/>
      <c r="AC78" s="2904"/>
    </row>
    <row r="79" spans="1:29" ht="15.75" thickTop="1">
      <c r="A79" s="491"/>
      <c r="B79" s="495" t="s">
        <v>2181</v>
      </c>
      <c r="C79" s="535" t="s">
        <v>2176</v>
      </c>
      <c r="D79" s="535" t="s">
        <v>2177</v>
      </c>
      <c r="E79" s="535" t="s">
        <v>2178</v>
      </c>
      <c r="F79" s="535" t="s">
        <v>2179</v>
      </c>
      <c r="G79" s="535" t="s">
        <v>2180</v>
      </c>
      <c r="H79" s="496"/>
      <c r="I79" s="496"/>
      <c r="J79" s="496"/>
      <c r="K79" s="497"/>
      <c r="L79" s="498"/>
      <c r="M79" s="499"/>
      <c r="N79" s="2932"/>
      <c r="O79" s="2932"/>
      <c r="P79" s="2941"/>
      <c r="Q79" s="2918"/>
      <c r="R79" s="2904"/>
      <c r="S79" s="2904"/>
      <c r="T79" s="2904"/>
      <c r="U79" s="2904"/>
      <c r="V79" s="2904"/>
      <c r="W79" s="2904"/>
      <c r="X79" s="2904"/>
      <c r="Y79" s="2904"/>
      <c r="Z79" s="2904"/>
      <c r="AA79" s="2904"/>
      <c r="AB79" s="2904"/>
      <c r="AC79" s="290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33"/>
      <c r="O80" s="2933"/>
      <c r="P80" s="2941"/>
      <c r="Q80" s="2918"/>
      <c r="R80" s="2904"/>
      <c r="S80" s="2904"/>
      <c r="T80" s="2904"/>
      <c r="U80" s="2904"/>
      <c r="V80" s="2904"/>
      <c r="W80" s="2904"/>
      <c r="X80" s="2904"/>
      <c r="Y80" s="2904"/>
      <c r="Z80" s="2904"/>
      <c r="AA80" s="2904"/>
      <c r="AB80" s="2904"/>
      <c r="AC80" s="2904"/>
    </row>
    <row r="81" spans="1:29" ht="15.75" thickTop="1">
      <c r="A81" s="491"/>
      <c r="B81" s="495" t="s">
        <v>2182</v>
      </c>
      <c r="C81" s="535" t="s">
        <v>2176</v>
      </c>
      <c r="D81" s="535" t="s">
        <v>2177</v>
      </c>
      <c r="E81" s="535" t="s">
        <v>2178</v>
      </c>
      <c r="F81" s="535" t="s">
        <v>2179</v>
      </c>
      <c r="G81" s="535" t="s">
        <v>2180</v>
      </c>
      <c r="H81" s="496"/>
      <c r="I81" s="496"/>
      <c r="J81" s="496"/>
      <c r="K81" s="497"/>
      <c r="L81" s="498"/>
      <c r="M81" s="499"/>
      <c r="N81" s="2932"/>
      <c r="O81" s="2932"/>
      <c r="P81" s="2941"/>
      <c r="Q81" s="2918"/>
      <c r="R81" s="2904"/>
      <c r="S81" s="2904"/>
      <c r="T81" s="2904"/>
      <c r="U81" s="2904"/>
      <c r="V81" s="2904"/>
      <c r="W81" s="2904"/>
      <c r="X81" s="2904"/>
      <c r="Y81" s="2904"/>
      <c r="Z81" s="2904"/>
      <c r="AA81" s="2904"/>
      <c r="AB81" s="2904"/>
      <c r="AC81" s="290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33"/>
      <c r="O82" s="2933"/>
      <c r="P82" s="2941"/>
      <c r="Q82" s="2918"/>
      <c r="R82" s="2904"/>
      <c r="S82" s="2904"/>
      <c r="T82" s="2904"/>
      <c r="U82" s="2904"/>
      <c r="V82" s="2904"/>
      <c r="W82" s="2904"/>
      <c r="X82" s="2904"/>
      <c r="Y82" s="2904"/>
      <c r="Z82" s="2904"/>
      <c r="AA82" s="2904"/>
      <c r="AB82" s="2904"/>
      <c r="AC82" s="2904"/>
    </row>
    <row r="83" spans="1:29" ht="15.75" thickTop="1">
      <c r="A83" s="491"/>
      <c r="B83" s="503" t="s">
        <v>2268</v>
      </c>
      <c r="C83" s="616" t="s">
        <v>2254</v>
      </c>
      <c r="D83" s="616" t="s">
        <v>2255</v>
      </c>
      <c r="E83" s="616" t="s">
        <v>2256</v>
      </c>
      <c r="F83" s="616" t="s">
        <v>2257</v>
      </c>
      <c r="G83" s="616" t="s">
        <v>2258</v>
      </c>
      <c r="H83" s="496"/>
      <c r="I83" s="496"/>
      <c r="J83" s="496"/>
      <c r="K83" s="496"/>
      <c r="L83" s="496"/>
      <c r="M83" s="1244"/>
      <c r="N83" s="2933"/>
      <c r="O83" s="2933"/>
      <c r="P83" s="2941"/>
      <c r="Q83" s="2918"/>
      <c r="R83" s="2904"/>
      <c r="S83" s="2904"/>
      <c r="T83" s="2904"/>
      <c r="U83" s="2904"/>
      <c r="V83" s="2904"/>
      <c r="W83" s="2904"/>
      <c r="X83" s="2904"/>
      <c r="Y83" s="2904"/>
      <c r="Z83" s="2904"/>
      <c r="AA83" s="2904"/>
      <c r="AB83" s="2904"/>
      <c r="AC83" s="290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33"/>
      <c r="O84" s="2933"/>
      <c r="P84" s="2941"/>
      <c r="Q84" s="2918"/>
      <c r="R84" s="2904"/>
      <c r="S84" s="2904"/>
      <c r="T84" s="2904"/>
      <c r="U84" s="2904"/>
      <c r="V84" s="2904"/>
      <c r="W84" s="2904"/>
      <c r="X84" s="2904"/>
      <c r="Y84" s="2904"/>
      <c r="Z84" s="2904"/>
      <c r="AA84" s="2904"/>
      <c r="AB84" s="2904"/>
      <c r="AC84" s="2904"/>
    </row>
    <row r="85" spans="1:29" ht="15.75" thickTop="1">
      <c r="A85" s="491"/>
      <c r="B85" s="495" t="s">
        <v>2277</v>
      </c>
      <c r="C85" s="535" t="s">
        <v>2176</v>
      </c>
      <c r="D85" s="535" t="s">
        <v>2177</v>
      </c>
      <c r="E85" s="535" t="s">
        <v>2178</v>
      </c>
      <c r="F85" s="535" t="s">
        <v>2179</v>
      </c>
      <c r="G85" s="535" t="s">
        <v>2180</v>
      </c>
      <c r="H85" s="496"/>
      <c r="I85" s="496"/>
      <c r="J85" s="496"/>
      <c r="K85" s="497"/>
      <c r="L85" s="498"/>
      <c r="M85" s="499"/>
      <c r="N85" s="2932"/>
      <c r="O85" s="2932"/>
      <c r="P85" s="2941"/>
      <c r="Q85" s="2918"/>
      <c r="R85" s="2904"/>
      <c r="S85" s="2904"/>
      <c r="T85" s="2904"/>
      <c r="U85" s="2904"/>
      <c r="V85" s="2904"/>
      <c r="W85" s="2904"/>
      <c r="X85" s="2904"/>
      <c r="Y85" s="2904"/>
      <c r="Z85" s="2904"/>
      <c r="AA85" s="2904"/>
      <c r="AB85" s="2904"/>
      <c r="AC85" s="290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33"/>
      <c r="O86" s="2933"/>
      <c r="P86" s="2941"/>
      <c r="Q86" s="2918"/>
      <c r="R86" s="2904"/>
      <c r="S86" s="2904"/>
      <c r="T86" s="2904"/>
      <c r="U86" s="2904"/>
      <c r="V86" s="2904"/>
      <c r="W86" s="2904"/>
      <c r="X86" s="2904"/>
      <c r="Y86" s="2904"/>
      <c r="Z86" s="2904"/>
      <c r="AA86" s="2904"/>
      <c r="AB86" s="2904"/>
      <c r="AC86" s="2904"/>
    </row>
    <row r="87" spans="1:29" s="113" customFormat="1" ht="27.75" thickTop="1">
      <c r="A87" s="536"/>
      <c r="B87" s="495" t="s">
        <v>2278</v>
      </c>
      <c r="C87" s="511"/>
      <c r="D87" s="511"/>
      <c r="E87" s="511"/>
      <c r="F87" s="511"/>
      <c r="G87" s="511"/>
      <c r="H87" s="511"/>
      <c r="I87" s="511"/>
      <c r="J87" s="511"/>
      <c r="K87" s="511"/>
      <c r="L87" s="537"/>
      <c r="M87" s="538"/>
      <c r="N87" s="2931"/>
      <c r="O87" s="2931"/>
      <c r="P87" s="2941"/>
      <c r="Q87" s="2918"/>
      <c r="R87" s="2838"/>
      <c r="S87" s="2838"/>
      <c r="T87" s="2838"/>
      <c r="U87" s="2838"/>
      <c r="V87" s="2838"/>
      <c r="W87" s="2838"/>
      <c r="X87" s="2838"/>
      <c r="Y87" s="2838"/>
      <c r="Z87" s="2838"/>
      <c r="AA87" s="2838"/>
      <c r="AB87" s="2838"/>
      <c r="AC87" s="283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33"/>
      <c r="O88" s="2933"/>
      <c r="P88" s="2941"/>
      <c r="Q88" s="2918"/>
      <c r="R88" s="2838"/>
      <c r="S88" s="2838"/>
      <c r="T88" s="2838"/>
      <c r="U88" s="2838"/>
      <c r="V88" s="2838"/>
      <c r="W88" s="2838"/>
      <c r="X88" s="2838"/>
      <c r="Y88" s="2838"/>
      <c r="Z88" s="2838"/>
      <c r="AA88" s="2838"/>
      <c r="AB88" s="2838"/>
      <c r="AC88" s="2838"/>
    </row>
    <row r="89" spans="1:29" s="113" customFormat="1" ht="15.75" thickTop="1">
      <c r="A89" s="536"/>
      <c r="B89" s="495" t="str">
        <f>B27</f>
        <v>楼层</v>
      </c>
      <c r="C89" s="511"/>
      <c r="D89" s="511"/>
      <c r="E89" s="511"/>
      <c r="F89" s="2064"/>
      <c r="G89" s="511"/>
      <c r="H89" s="511"/>
      <c r="I89" s="511"/>
      <c r="J89" s="511"/>
      <c r="K89" s="511"/>
      <c r="L89" s="511"/>
      <c r="M89" s="538"/>
      <c r="N89" s="2931"/>
      <c r="O89" s="2931"/>
      <c r="P89" s="2941"/>
      <c r="Q89" s="2918"/>
      <c r="R89" s="2838"/>
      <c r="S89" s="2838"/>
      <c r="T89" s="2838"/>
      <c r="U89" s="2838"/>
      <c r="V89" s="2838"/>
      <c r="W89" s="2838"/>
      <c r="X89" s="2838"/>
      <c r="Y89" s="2838"/>
      <c r="Z89" s="2838"/>
      <c r="AA89" s="2838"/>
      <c r="AB89" s="2838"/>
      <c r="AC89" s="283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33"/>
      <c r="O90" s="2933"/>
      <c r="P90" s="2941"/>
      <c r="Q90" s="2918"/>
      <c r="R90" s="2838"/>
      <c r="S90" s="2838"/>
      <c r="T90" s="2838"/>
      <c r="U90" s="2838"/>
      <c r="V90" s="2838"/>
      <c r="W90" s="2838"/>
      <c r="X90" s="2838"/>
      <c r="Y90" s="2838"/>
      <c r="Z90" s="2838"/>
      <c r="AA90" s="2838"/>
      <c r="AB90" s="2838"/>
      <c r="AC90" s="2838"/>
    </row>
    <row r="91" spans="1:29" s="430" customFormat="1" ht="15.75" thickTop="1">
      <c r="A91" s="510"/>
      <c r="B91" s="495" t="str">
        <f>B28</f>
        <v>朝向</v>
      </c>
      <c r="C91" s="511"/>
      <c r="D91" s="511"/>
      <c r="E91" s="511"/>
      <c r="F91" s="511"/>
      <c r="G91" s="511"/>
      <c r="H91" s="512"/>
      <c r="I91" s="512"/>
      <c r="J91" s="512"/>
      <c r="K91" s="512"/>
      <c r="L91" s="513"/>
      <c r="M91" s="514"/>
      <c r="N91" s="2934"/>
      <c r="O91" s="2934"/>
      <c r="P91" s="2942"/>
      <c r="Q91" s="2925"/>
      <c r="R91" s="2926"/>
      <c r="S91" s="2926"/>
      <c r="T91" s="2926"/>
      <c r="U91" s="2926"/>
      <c r="V91" s="2926"/>
      <c r="W91" s="2926"/>
      <c r="X91" s="2926"/>
      <c r="Y91" s="2926"/>
      <c r="Z91" s="2926"/>
      <c r="AA91" s="2926"/>
      <c r="AB91" s="2926"/>
      <c r="AC91" s="292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34"/>
      <c r="O92" s="2934"/>
      <c r="P92" s="2942"/>
      <c r="Q92" s="2925"/>
      <c r="R92" s="2926"/>
      <c r="S92" s="2926"/>
      <c r="T92" s="2926"/>
      <c r="U92" s="2926"/>
      <c r="V92" s="2926"/>
      <c r="W92" s="2926"/>
      <c r="X92" s="2926"/>
      <c r="Y92" s="2926"/>
      <c r="Z92" s="2926"/>
      <c r="AA92" s="2926"/>
      <c r="AB92" s="2926"/>
      <c r="AC92" s="2926"/>
    </row>
    <row r="93" spans="1:29" ht="15.75" thickTop="1">
      <c r="A93" s="491"/>
      <c r="B93" s="495">
        <f>B29</f>
        <v>111</v>
      </c>
      <c r="C93" s="511"/>
      <c r="D93" s="511"/>
      <c r="E93" s="511"/>
      <c r="F93" s="511"/>
      <c r="G93" s="511"/>
      <c r="H93" s="511"/>
      <c r="I93" s="511"/>
      <c r="J93" s="511"/>
      <c r="K93" s="511"/>
      <c r="L93" s="537"/>
      <c r="M93" s="538"/>
      <c r="N93" s="2932"/>
      <c r="O93" s="2932"/>
      <c r="P93" s="2941"/>
      <c r="Q93" s="2918"/>
      <c r="R93" s="2904"/>
      <c r="S93" s="2904"/>
      <c r="T93" s="2904"/>
      <c r="U93" s="2904"/>
      <c r="V93" s="2904"/>
      <c r="W93" s="2904"/>
      <c r="X93" s="2904"/>
      <c r="Y93" s="2904"/>
      <c r="Z93" s="2904"/>
      <c r="AA93" s="2904"/>
      <c r="AB93" s="2904"/>
      <c r="AC93" s="2904"/>
    </row>
    <row r="94" spans="1:29" ht="15.75" thickBot="1">
      <c r="A94" s="491"/>
      <c r="B94" s="500"/>
      <c r="C94" s="517"/>
      <c r="D94" s="493"/>
      <c r="E94" s="493"/>
      <c r="F94" s="493"/>
      <c r="G94" s="493"/>
      <c r="H94" s="493"/>
      <c r="I94" s="493"/>
      <c r="J94" s="493"/>
      <c r="K94" s="493"/>
      <c r="L94" s="493"/>
      <c r="M94" s="494"/>
      <c r="N94" s="2933"/>
      <c r="O94" s="2933"/>
      <c r="P94" s="2941"/>
      <c r="Q94" s="2918"/>
      <c r="R94" s="2904"/>
      <c r="S94" s="2904"/>
      <c r="T94" s="2904"/>
      <c r="U94" s="2904"/>
      <c r="V94" s="2904"/>
      <c r="W94" s="2904"/>
      <c r="X94" s="2904"/>
      <c r="Y94" s="2904"/>
      <c r="Z94" s="2904"/>
      <c r="AA94" s="2904"/>
      <c r="AB94" s="2904"/>
      <c r="AC94" s="2904"/>
    </row>
    <row r="95" spans="1:29" ht="15.75" thickTop="1">
      <c r="A95" s="491"/>
      <c r="B95" s="495">
        <f>B30</f>
        <v>111</v>
      </c>
      <c r="C95" s="511"/>
      <c r="D95" s="511"/>
      <c r="E95" s="511"/>
      <c r="F95" s="511"/>
      <c r="G95" s="540"/>
      <c r="H95" s="540"/>
      <c r="I95" s="540"/>
      <c r="J95" s="540"/>
      <c r="K95" s="541"/>
      <c r="L95" s="542"/>
      <c r="M95" s="543"/>
      <c r="N95" s="2932"/>
      <c r="O95" s="2932"/>
      <c r="P95" s="2941"/>
      <c r="Q95" s="2918"/>
      <c r="R95" s="2904"/>
      <c r="S95" s="2904"/>
      <c r="T95" s="2904"/>
      <c r="U95" s="2904"/>
      <c r="V95" s="2904"/>
      <c r="W95" s="2904"/>
      <c r="X95" s="2904"/>
      <c r="Y95" s="2904"/>
      <c r="Z95" s="2904"/>
      <c r="AA95" s="2904"/>
      <c r="AB95" s="2904"/>
      <c r="AC95" s="2904"/>
    </row>
    <row r="96" spans="1:29" ht="15.75" thickBot="1">
      <c r="A96" s="491"/>
      <c r="B96" s="500"/>
      <c r="C96" s="517"/>
      <c r="D96" s="517"/>
      <c r="E96" s="517"/>
      <c r="F96" s="517"/>
      <c r="G96" s="493"/>
      <c r="H96" s="493"/>
      <c r="I96" s="493"/>
      <c r="J96" s="493"/>
      <c r="K96" s="493"/>
      <c r="L96" s="493"/>
      <c r="M96" s="494"/>
      <c r="N96" s="2933"/>
      <c r="O96" s="2933"/>
      <c r="P96" s="2941"/>
      <c r="Q96" s="2918"/>
      <c r="R96" s="2904"/>
      <c r="S96" s="2904"/>
      <c r="T96" s="2904"/>
      <c r="U96" s="2904"/>
      <c r="V96" s="2904"/>
      <c r="W96" s="2904"/>
      <c r="X96" s="2904"/>
      <c r="Y96" s="2904"/>
      <c r="Z96" s="2904"/>
      <c r="AA96" s="2904"/>
      <c r="AB96" s="2904"/>
      <c r="AC96" s="2904"/>
    </row>
    <row r="97" spans="1:29" ht="15.75" thickTop="1">
      <c r="A97" s="491"/>
      <c r="B97" s="495">
        <f>B31</f>
        <v>111</v>
      </c>
      <c r="C97" s="511"/>
      <c r="D97" s="511"/>
      <c r="E97" s="511"/>
      <c r="F97" s="511"/>
      <c r="G97" s="540"/>
      <c r="H97" s="540"/>
      <c r="I97" s="540"/>
      <c r="J97" s="540"/>
      <c r="K97" s="541"/>
      <c r="L97" s="542"/>
      <c r="M97" s="543"/>
      <c r="N97" s="2932"/>
      <c r="O97" s="2932"/>
      <c r="P97" s="2941"/>
      <c r="Q97" s="2918"/>
      <c r="R97" s="2904"/>
      <c r="S97" s="2904"/>
      <c r="T97" s="2904"/>
      <c r="U97" s="2904"/>
      <c r="V97" s="2904"/>
      <c r="W97" s="2904"/>
      <c r="X97" s="2904"/>
      <c r="Y97" s="2904"/>
      <c r="Z97" s="2904"/>
      <c r="AA97" s="2904"/>
      <c r="AB97" s="2904"/>
      <c r="AC97" s="2904"/>
    </row>
    <row r="98" spans="1:29" ht="15.75" thickBot="1">
      <c r="A98" s="491"/>
      <c r="B98" s="500"/>
      <c r="C98" s="517"/>
      <c r="D98" s="493"/>
      <c r="E98" s="493"/>
      <c r="F98" s="493"/>
      <c r="G98" s="493"/>
      <c r="H98" s="493"/>
      <c r="I98" s="493"/>
      <c r="J98" s="493"/>
      <c r="K98" s="493"/>
      <c r="L98" s="493"/>
      <c r="M98" s="494"/>
      <c r="N98" s="2933"/>
      <c r="O98" s="2933"/>
      <c r="P98" s="2941"/>
      <c r="Q98" s="2918"/>
      <c r="R98" s="2904"/>
      <c r="S98" s="2904"/>
      <c r="T98" s="2904"/>
      <c r="U98" s="2904"/>
      <c r="V98" s="2904"/>
      <c r="W98" s="2904"/>
      <c r="X98" s="2904"/>
      <c r="Y98" s="2904"/>
      <c r="Z98" s="2904"/>
      <c r="AA98" s="2904"/>
      <c r="AB98" s="2904"/>
      <c r="AC98" s="2904"/>
    </row>
    <row r="99" spans="1:29" ht="15.75" thickTop="1">
      <c r="A99" s="491"/>
      <c r="B99" s="503">
        <f>B32</f>
        <v>111</v>
      </c>
      <c r="C99" s="480"/>
      <c r="D99" s="480"/>
      <c r="E99" s="480"/>
      <c r="F99" s="480"/>
      <c r="G99" s="544"/>
      <c r="H99" s="544"/>
      <c r="I99" s="544"/>
      <c r="J99" s="544"/>
      <c r="K99" s="545"/>
      <c r="L99" s="546"/>
      <c r="M99" s="547"/>
      <c r="N99" s="2932"/>
      <c r="O99" s="2932"/>
      <c r="P99" s="2941"/>
      <c r="Q99" s="2918"/>
      <c r="R99" s="2904"/>
      <c r="S99" s="2904"/>
      <c r="T99" s="2904"/>
      <c r="U99" s="2904"/>
      <c r="V99" s="2904"/>
      <c r="W99" s="2904"/>
      <c r="X99" s="2904"/>
      <c r="Y99" s="2904"/>
      <c r="Z99" s="2904"/>
      <c r="AA99" s="2904"/>
      <c r="AB99" s="2904"/>
      <c r="AC99" s="2904"/>
    </row>
    <row r="100" spans="1:29" ht="15.75" thickBot="1">
      <c r="A100" s="2065"/>
      <c r="B100" s="526"/>
      <c r="C100" s="527"/>
      <c r="D100" s="527"/>
      <c r="E100" s="527"/>
      <c r="F100" s="527"/>
      <c r="G100" s="548"/>
      <c r="H100" s="548"/>
      <c r="I100" s="548"/>
      <c r="J100" s="548"/>
      <c r="K100" s="548"/>
      <c r="L100" s="548"/>
      <c r="M100" s="549"/>
      <c r="N100" s="2933"/>
      <c r="O100" s="2933"/>
      <c r="P100" s="2941"/>
      <c r="Q100" s="2918"/>
      <c r="R100" s="2904"/>
      <c r="S100" s="2904"/>
      <c r="T100" s="2904"/>
      <c r="U100" s="2904"/>
      <c r="V100" s="2904"/>
      <c r="W100" s="2904"/>
      <c r="X100" s="2904"/>
      <c r="Y100" s="2904"/>
      <c r="Z100" s="2904"/>
      <c r="AA100" s="2904"/>
      <c r="AB100" s="2904"/>
      <c r="AC100" s="2904"/>
    </row>
    <row r="101" spans="1:29">
      <c r="A101" s="484" t="s">
        <v>2142</v>
      </c>
      <c r="B101" s="485" t="s">
        <v>2191</v>
      </c>
      <c r="C101" s="487"/>
      <c r="D101" s="487"/>
      <c r="E101" s="487"/>
      <c r="F101" s="487"/>
      <c r="G101" s="487"/>
      <c r="H101" s="487"/>
      <c r="I101" s="487"/>
      <c r="J101" s="487"/>
      <c r="K101" s="488"/>
      <c r="L101" s="489"/>
      <c r="M101" s="490"/>
      <c r="N101" s="2932"/>
      <c r="O101" s="2932"/>
      <c r="P101" s="2941"/>
      <c r="Q101" s="2918"/>
      <c r="R101" s="2904"/>
      <c r="S101" s="2904"/>
      <c r="T101" s="2904"/>
      <c r="U101" s="2904"/>
      <c r="V101" s="2904"/>
      <c r="W101" s="2904"/>
      <c r="X101" s="2904"/>
      <c r="Y101" s="2904"/>
      <c r="Z101" s="2904"/>
      <c r="AA101" s="2904"/>
      <c r="AB101" s="2904"/>
      <c r="AC101" s="290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33"/>
      <c r="O102" s="2933"/>
      <c r="P102" s="2941"/>
      <c r="Q102" s="2918"/>
      <c r="R102" s="2904"/>
      <c r="S102" s="2904"/>
      <c r="T102" s="2904"/>
      <c r="U102" s="2904"/>
      <c r="V102" s="2904"/>
      <c r="W102" s="2904"/>
      <c r="X102" s="2904"/>
      <c r="Y102" s="2904"/>
      <c r="Z102" s="2904"/>
      <c r="AA102" s="2904"/>
      <c r="AB102" s="2904"/>
      <c r="AC102" s="2904"/>
    </row>
    <row r="103" spans="1:29" ht="15.75" thickTop="1">
      <c r="A103" s="491"/>
      <c r="B103" s="495" t="s">
        <v>2192</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31"/>
      <c r="O103" s="2931"/>
      <c r="P103" s="2941"/>
      <c r="Q103" s="2918"/>
      <c r="R103" s="2904"/>
      <c r="S103" s="2904"/>
      <c r="T103" s="2904"/>
      <c r="U103" s="2904"/>
      <c r="V103" s="2904"/>
      <c r="W103" s="2904"/>
      <c r="X103" s="2904"/>
      <c r="Y103" s="2904"/>
      <c r="Z103" s="2904"/>
      <c r="AA103" s="2904"/>
      <c r="AB103" s="2904"/>
      <c r="AC103" s="2904"/>
    </row>
    <row r="104" spans="1:29" s="430" customFormat="1">
      <c r="A104" s="550"/>
      <c r="B104" s="551"/>
      <c r="C104" s="552"/>
      <c r="D104" s="552"/>
      <c r="E104" s="552"/>
      <c r="F104" s="552"/>
      <c r="G104" s="552"/>
      <c r="H104" s="552"/>
      <c r="I104" s="552"/>
      <c r="J104" s="553"/>
      <c r="K104" s="553"/>
      <c r="L104" s="554"/>
      <c r="M104" s="555"/>
      <c r="N104" s="2934"/>
      <c r="O104" s="2934"/>
      <c r="P104" s="2942"/>
      <c r="Q104" s="2925"/>
      <c r="R104" s="2926"/>
      <c r="S104" s="2926"/>
      <c r="T104" s="2926"/>
      <c r="U104" s="2926"/>
      <c r="V104" s="2926"/>
      <c r="W104" s="2926"/>
      <c r="X104" s="2926"/>
      <c r="Y104" s="2926"/>
      <c r="Z104" s="2926"/>
      <c r="AA104" s="2926"/>
      <c r="AB104" s="2926"/>
      <c r="AC104" s="2926"/>
    </row>
    <row r="105" spans="1:29" s="430" customFormat="1" ht="15.75" thickBot="1">
      <c r="A105" s="510"/>
      <c r="B105" s="500"/>
      <c r="C105" s="517"/>
      <c r="D105" s="493"/>
      <c r="E105" s="493"/>
      <c r="F105" s="493"/>
      <c r="G105" s="493"/>
      <c r="H105" s="493"/>
      <c r="I105" s="493"/>
      <c r="J105" s="493"/>
      <c r="K105" s="493"/>
      <c r="L105" s="493"/>
      <c r="M105" s="494"/>
      <c r="N105" s="2933"/>
      <c r="O105" s="2933"/>
      <c r="P105" s="2942"/>
      <c r="Q105" s="2925"/>
      <c r="R105" s="2926"/>
      <c r="S105" s="2926"/>
      <c r="T105" s="2926"/>
      <c r="U105" s="2926"/>
      <c r="V105" s="2926"/>
      <c r="W105" s="2926"/>
      <c r="X105" s="2926"/>
      <c r="Y105" s="2926"/>
      <c r="Z105" s="2926"/>
      <c r="AA105" s="2926"/>
      <c r="AB105" s="2926"/>
      <c r="AC105" s="2926"/>
    </row>
    <row r="106" spans="1:29" ht="15" thickTop="1">
      <c r="A106" s="556"/>
      <c r="B106" s="495" t="s">
        <v>2193</v>
      </c>
      <c r="C106" s="511"/>
      <c r="D106" s="511"/>
      <c r="E106" s="540"/>
      <c r="F106" s="540"/>
      <c r="G106" s="540"/>
      <c r="H106" s="540"/>
      <c r="I106" s="540"/>
      <c r="J106" s="540"/>
      <c r="K106" s="541"/>
      <c r="L106" s="542"/>
      <c r="M106" s="543"/>
      <c r="N106" s="2932"/>
      <c r="O106" s="2932"/>
      <c r="P106" s="2941"/>
      <c r="Q106" s="2918"/>
      <c r="R106" s="2904"/>
      <c r="S106" s="2904"/>
      <c r="T106" s="2904"/>
      <c r="U106" s="2904"/>
      <c r="V106" s="2904"/>
      <c r="W106" s="2904"/>
      <c r="X106" s="2904"/>
      <c r="Y106" s="2904"/>
      <c r="Z106" s="2904"/>
      <c r="AA106" s="2904"/>
      <c r="AB106" s="2904"/>
      <c r="AC106" s="290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33"/>
      <c r="O107" s="2933"/>
      <c r="P107" s="2941"/>
      <c r="Q107" s="2918"/>
      <c r="R107" s="2904"/>
      <c r="S107" s="2904"/>
      <c r="T107" s="2904"/>
      <c r="U107" s="2904"/>
      <c r="V107" s="2904"/>
      <c r="W107" s="2904"/>
      <c r="X107" s="2904"/>
      <c r="Y107" s="2904"/>
      <c r="Z107" s="2904"/>
      <c r="AA107" s="2904"/>
      <c r="AB107" s="2904"/>
      <c r="AC107" s="2904"/>
    </row>
    <row r="108" spans="1:29" ht="15" thickTop="1">
      <c r="A108" s="556"/>
      <c r="B108" s="495" t="s">
        <v>2195</v>
      </c>
      <c r="C108" s="511"/>
      <c r="D108" s="511"/>
      <c r="E108" s="511"/>
      <c r="F108" s="540"/>
      <c r="G108" s="540"/>
      <c r="H108" s="540"/>
      <c r="I108" s="540"/>
      <c r="J108" s="540"/>
      <c r="K108" s="541"/>
      <c r="L108" s="542"/>
      <c r="M108" s="543"/>
      <c r="N108" s="2932"/>
      <c r="O108" s="2932"/>
      <c r="P108" s="2941"/>
      <c r="Q108" s="2918"/>
      <c r="R108" s="2904"/>
      <c r="S108" s="2904"/>
      <c r="T108" s="2904"/>
      <c r="U108" s="2904"/>
      <c r="V108" s="2904"/>
      <c r="W108" s="2904"/>
      <c r="X108" s="2904"/>
      <c r="Y108" s="2904"/>
      <c r="Z108" s="2904"/>
      <c r="AA108" s="2904"/>
      <c r="AB108" s="2904"/>
      <c r="AC108" s="290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33"/>
      <c r="O109" s="2933"/>
      <c r="P109" s="2941"/>
      <c r="Q109" s="2918"/>
      <c r="R109" s="2904"/>
      <c r="S109" s="2904"/>
      <c r="T109" s="2904"/>
      <c r="U109" s="2904"/>
      <c r="V109" s="2904"/>
      <c r="W109" s="2904"/>
      <c r="X109" s="2904"/>
      <c r="Y109" s="2904"/>
      <c r="Z109" s="2904"/>
      <c r="AA109" s="2904"/>
      <c r="AB109" s="2904"/>
      <c r="AC109" s="2904"/>
    </row>
    <row r="110" spans="1:29" ht="15" thickTop="1">
      <c r="A110" s="556"/>
      <c r="B110" s="495" t="s">
        <v>1634</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32"/>
      <c r="O110" s="2932"/>
      <c r="P110" s="2941"/>
      <c r="Q110" s="2918"/>
      <c r="R110" s="2904"/>
      <c r="S110" s="2904"/>
      <c r="T110" s="2904"/>
      <c r="U110" s="2904"/>
      <c r="V110" s="2904"/>
      <c r="W110" s="2904"/>
      <c r="X110" s="2904"/>
      <c r="Y110" s="2904"/>
      <c r="Z110" s="2904"/>
      <c r="AA110" s="2904"/>
      <c r="AB110" s="2904"/>
      <c r="AC110" s="2904"/>
    </row>
    <row r="111" spans="1:29">
      <c r="A111" s="556"/>
      <c r="B111" s="503"/>
      <c r="C111" s="560">
        <v>0.5</v>
      </c>
      <c r="D111" s="560">
        <v>0.6</v>
      </c>
      <c r="E111" s="560">
        <v>0.7</v>
      </c>
      <c r="F111" s="560">
        <v>0.8</v>
      </c>
      <c r="G111" s="560">
        <v>0.9</v>
      </c>
      <c r="H111" s="560">
        <v>1.0001</v>
      </c>
      <c r="I111" s="579"/>
      <c r="J111" s="579"/>
      <c r="K111" s="580"/>
      <c r="L111" s="581"/>
      <c r="M111" s="582"/>
      <c r="N111" s="2932"/>
      <c r="O111" s="2932"/>
      <c r="P111" s="2941"/>
      <c r="Q111" s="2918"/>
      <c r="R111" s="2904"/>
      <c r="S111" s="2904"/>
      <c r="T111" s="2904"/>
      <c r="U111" s="2904"/>
      <c r="V111" s="2904"/>
      <c r="W111" s="2904"/>
      <c r="X111" s="2904"/>
      <c r="Y111" s="2904"/>
      <c r="Z111" s="2904"/>
      <c r="AA111" s="2904"/>
      <c r="AB111" s="2904"/>
      <c r="AC111" s="290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33"/>
      <c r="O112" s="2933"/>
      <c r="P112" s="2941"/>
      <c r="Q112" s="2918"/>
      <c r="R112" s="2904"/>
      <c r="S112" s="2904"/>
      <c r="T112" s="2904"/>
      <c r="U112" s="2904"/>
      <c r="V112" s="2904"/>
      <c r="W112" s="2904"/>
      <c r="X112" s="2904"/>
      <c r="Y112" s="2904"/>
      <c r="Z112" s="2904"/>
      <c r="AA112" s="2904"/>
      <c r="AB112" s="2904"/>
      <c r="AC112" s="2904"/>
    </row>
    <row r="113" spans="1:29" s="430" customFormat="1" ht="15" thickTop="1">
      <c r="A113" s="550"/>
      <c r="B113" s="495" t="s">
        <v>2279</v>
      </c>
      <c r="C113" s="511"/>
      <c r="D113" s="511"/>
      <c r="E113" s="511"/>
      <c r="F113" s="511"/>
      <c r="G113" s="511"/>
      <c r="H113" s="540"/>
      <c r="I113" s="540"/>
      <c r="J113" s="540"/>
      <c r="K113" s="541"/>
      <c r="L113" s="542"/>
      <c r="M113" s="543"/>
      <c r="N113" s="2934"/>
      <c r="O113" s="2934"/>
      <c r="P113" s="2942"/>
      <c r="Q113" s="2925"/>
      <c r="R113" s="2926"/>
      <c r="S113" s="2926"/>
      <c r="T113" s="2926"/>
      <c r="U113" s="2926"/>
      <c r="V113" s="2926"/>
      <c r="W113" s="2926"/>
      <c r="X113" s="2926"/>
      <c r="Y113" s="2926"/>
      <c r="Z113" s="2926"/>
      <c r="AA113" s="2926"/>
      <c r="AB113" s="2926"/>
      <c r="AC113" s="292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34"/>
      <c r="O114" s="2934"/>
      <c r="P114" s="2942"/>
      <c r="Q114" s="2925"/>
      <c r="R114" s="2926"/>
      <c r="S114" s="2926"/>
      <c r="T114" s="2926"/>
      <c r="U114" s="2926"/>
      <c r="V114" s="2926"/>
      <c r="W114" s="2926"/>
      <c r="X114" s="2926"/>
      <c r="Y114" s="2926"/>
      <c r="Z114" s="2926"/>
      <c r="AA114" s="2926"/>
      <c r="AB114" s="2926"/>
      <c r="AC114" s="2926"/>
    </row>
    <row r="115" spans="1:29" ht="15" thickTop="1">
      <c r="A115" s="556"/>
      <c r="B115" s="495" t="s">
        <v>2196</v>
      </c>
      <c r="C115" s="511"/>
      <c r="D115" s="511"/>
      <c r="E115" s="540"/>
      <c r="F115" s="540"/>
      <c r="G115" s="540"/>
      <c r="H115" s="540"/>
      <c r="I115" s="540"/>
      <c r="J115" s="540"/>
      <c r="K115" s="541"/>
      <c r="L115" s="542"/>
      <c r="M115" s="543"/>
      <c r="N115" s="2932"/>
      <c r="O115" s="2932"/>
      <c r="P115" s="2941"/>
      <c r="Q115" s="2918"/>
      <c r="R115" s="2904"/>
      <c r="S115" s="2904"/>
      <c r="T115" s="2904"/>
      <c r="U115" s="2904"/>
      <c r="V115" s="2904"/>
      <c r="W115" s="2904"/>
      <c r="X115" s="2904"/>
      <c r="Y115" s="2904"/>
      <c r="Z115" s="2904"/>
      <c r="AA115" s="2904"/>
      <c r="AB115" s="2904"/>
      <c r="AC115" s="290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33"/>
      <c r="O116" s="2933"/>
      <c r="P116" s="2941"/>
      <c r="Q116" s="2918"/>
      <c r="R116" s="2904"/>
      <c r="S116" s="2904"/>
      <c r="T116" s="2904"/>
      <c r="U116" s="2904"/>
      <c r="V116" s="2904"/>
      <c r="W116" s="2904"/>
      <c r="X116" s="2904"/>
      <c r="Y116" s="2904"/>
      <c r="Z116" s="2904"/>
      <c r="AA116" s="2904"/>
      <c r="AB116" s="2904"/>
      <c r="AC116" s="2904"/>
    </row>
    <row r="117" spans="1:29" ht="15" thickTop="1">
      <c r="A117" s="556"/>
      <c r="B117" s="495" t="s">
        <v>2197</v>
      </c>
      <c r="C117" s="511"/>
      <c r="D117" s="511"/>
      <c r="E117" s="511"/>
      <c r="F117" s="511"/>
      <c r="G117" s="511"/>
      <c r="H117" s="540"/>
      <c r="I117" s="540"/>
      <c r="J117" s="540"/>
      <c r="K117" s="541"/>
      <c r="L117" s="542"/>
      <c r="M117" s="543"/>
      <c r="N117" s="2932"/>
      <c r="O117" s="2932"/>
      <c r="P117" s="2941"/>
      <c r="Q117" s="2918"/>
      <c r="R117" s="2904"/>
      <c r="S117" s="2904"/>
      <c r="T117" s="2904"/>
      <c r="U117" s="2904"/>
      <c r="V117" s="2904"/>
      <c r="W117" s="2904"/>
      <c r="X117" s="2904"/>
      <c r="Y117" s="2904"/>
      <c r="Z117" s="2904"/>
      <c r="AA117" s="2904"/>
      <c r="AB117" s="2904"/>
      <c r="AC117" s="290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33"/>
      <c r="O118" s="2933"/>
      <c r="P118" s="2941"/>
      <c r="Q118" s="2918"/>
      <c r="R118" s="2904"/>
      <c r="S118" s="2904"/>
      <c r="T118" s="2904"/>
      <c r="U118" s="2904"/>
      <c r="V118" s="2904"/>
      <c r="W118" s="2904"/>
      <c r="X118" s="2904"/>
      <c r="Y118" s="2904"/>
      <c r="Z118" s="2904"/>
      <c r="AA118" s="2904"/>
      <c r="AB118" s="2904"/>
      <c r="AC118" s="2904"/>
    </row>
    <row r="119" spans="1:29" ht="15" thickTop="1">
      <c r="A119" s="556"/>
      <c r="B119" s="592" t="s">
        <v>2280</v>
      </c>
      <c r="C119" s="540"/>
      <c r="D119" s="540"/>
      <c r="E119" s="540"/>
      <c r="F119" s="540"/>
      <c r="G119" s="540"/>
      <c r="H119" s="540"/>
      <c r="I119" s="540"/>
      <c r="J119" s="540"/>
      <c r="K119" s="540"/>
      <c r="L119" s="2105"/>
      <c r="M119" s="2106"/>
      <c r="N119" s="2933"/>
      <c r="O119" s="2933"/>
      <c r="P119" s="2946"/>
      <c r="Q119" s="2947"/>
      <c r="R119" s="2904"/>
      <c r="S119" s="2904"/>
      <c r="T119" s="2904"/>
      <c r="U119" s="2904"/>
      <c r="V119" s="2904"/>
      <c r="W119" s="2904"/>
      <c r="X119" s="2904"/>
      <c r="Y119" s="2904"/>
      <c r="Z119" s="2904"/>
      <c r="AA119" s="2904"/>
      <c r="AB119" s="2904"/>
      <c r="AC119" s="290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33"/>
      <c r="O120" s="2933"/>
      <c r="P120" s="2941"/>
      <c r="Q120" s="2918"/>
      <c r="R120" s="2904"/>
      <c r="S120" s="2904"/>
      <c r="T120" s="2904"/>
      <c r="U120" s="2904"/>
      <c r="V120" s="2904"/>
      <c r="W120" s="2904"/>
      <c r="X120" s="2904"/>
      <c r="Y120" s="2904"/>
      <c r="Z120" s="2904"/>
      <c r="AA120" s="2904"/>
      <c r="AB120" s="2904"/>
      <c r="AC120" s="2904"/>
    </row>
    <row r="121" spans="1:29" s="430" customFormat="1" ht="15" thickTop="1">
      <c r="A121" s="550"/>
      <c r="B121" s="495" t="s">
        <v>2263</v>
      </c>
      <c r="C121" s="511"/>
      <c r="D121" s="511"/>
      <c r="E121" s="511"/>
      <c r="F121" s="540"/>
      <c r="G121" s="512"/>
      <c r="H121" s="512"/>
      <c r="I121" s="512"/>
      <c r="J121" s="512"/>
      <c r="K121" s="512"/>
      <c r="L121" s="513"/>
      <c r="M121" s="514"/>
      <c r="N121" s="2934"/>
      <c r="O121" s="2934"/>
      <c r="P121" s="2942"/>
      <c r="Q121" s="2925"/>
      <c r="R121" s="2926"/>
      <c r="S121" s="2926"/>
      <c r="T121" s="2926"/>
      <c r="U121" s="2926"/>
      <c r="V121" s="2926"/>
      <c r="W121" s="2926"/>
      <c r="X121" s="2926"/>
      <c r="Y121" s="2926"/>
      <c r="Z121" s="2926"/>
      <c r="AA121" s="2926"/>
      <c r="AB121" s="2926"/>
      <c r="AC121" s="2926"/>
    </row>
    <row r="122" spans="1:29" s="430" customFormat="1" ht="15.75" thickBot="1">
      <c r="A122" s="510"/>
      <c r="B122" s="492"/>
      <c r="C122" s="517"/>
      <c r="D122" s="517"/>
      <c r="E122" s="517"/>
      <c r="F122" s="517"/>
      <c r="G122" s="517"/>
      <c r="H122" s="517"/>
      <c r="I122" s="517"/>
      <c r="J122" s="517"/>
      <c r="K122" s="517"/>
      <c r="L122" s="517"/>
      <c r="M122" s="517"/>
      <c r="N122" s="2934"/>
      <c r="O122" s="2934"/>
      <c r="P122" s="2942"/>
      <c r="Q122" s="2925"/>
      <c r="R122" s="2926"/>
      <c r="S122" s="2926"/>
      <c r="T122" s="2926"/>
      <c r="U122" s="2926"/>
      <c r="V122" s="2926"/>
      <c r="W122" s="2926"/>
      <c r="X122" s="2926"/>
      <c r="Y122" s="2926"/>
      <c r="Z122" s="2926"/>
      <c r="AA122" s="2926"/>
      <c r="AB122" s="2926"/>
      <c r="AC122" s="2926"/>
    </row>
    <row r="123" spans="1:29" ht="15" thickTop="1">
      <c r="A123" s="556"/>
      <c r="B123" s="495" t="s">
        <v>2199</v>
      </c>
      <c r="C123" s="511"/>
      <c r="D123" s="511"/>
      <c r="E123" s="511"/>
      <c r="F123" s="540"/>
      <c r="G123" s="540"/>
      <c r="H123" s="540"/>
      <c r="I123" s="540"/>
      <c r="J123" s="540"/>
      <c r="K123" s="541"/>
      <c r="L123" s="542"/>
      <c r="M123" s="543"/>
      <c r="N123" s="2932"/>
      <c r="O123" s="2932"/>
      <c r="P123" s="2941"/>
      <c r="Q123" s="2918"/>
      <c r="R123" s="2904"/>
      <c r="S123" s="2904"/>
      <c r="T123" s="2904"/>
      <c r="U123" s="2904"/>
      <c r="V123" s="2904"/>
      <c r="W123" s="2904"/>
      <c r="X123" s="2904"/>
      <c r="Y123" s="2904"/>
      <c r="Z123" s="2904"/>
      <c r="AA123" s="2904"/>
      <c r="AB123" s="2904"/>
      <c r="AC123" s="290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33"/>
      <c r="O124" s="2933"/>
      <c r="P124" s="2941"/>
      <c r="Q124" s="2918"/>
      <c r="R124" s="2904"/>
      <c r="S124" s="2904"/>
      <c r="T124" s="2904"/>
      <c r="U124" s="2904"/>
      <c r="V124" s="2904"/>
      <c r="W124" s="2904"/>
      <c r="X124" s="2904"/>
      <c r="Y124" s="2904"/>
      <c r="Z124" s="2904"/>
      <c r="AA124" s="2904"/>
      <c r="AB124" s="2904"/>
      <c r="AC124" s="2904"/>
    </row>
    <row r="125" spans="1:29" ht="15" thickTop="1">
      <c r="A125" s="556"/>
      <c r="B125" s="495" t="s">
        <v>2200</v>
      </c>
      <c r="C125" s="535" t="s">
        <v>2176</v>
      </c>
      <c r="D125" s="535" t="s">
        <v>2177</v>
      </c>
      <c r="E125" s="535" t="s">
        <v>2178</v>
      </c>
      <c r="F125" s="535" t="s">
        <v>2179</v>
      </c>
      <c r="G125" s="535" t="s">
        <v>2180</v>
      </c>
      <c r="H125" s="496"/>
      <c r="I125" s="496"/>
      <c r="J125" s="496"/>
      <c r="K125" s="497"/>
      <c r="L125" s="498"/>
      <c r="M125" s="499"/>
      <c r="N125" s="2932"/>
      <c r="O125" s="2932"/>
      <c r="P125" s="2942"/>
      <c r="Q125" s="2918"/>
      <c r="R125" s="2904"/>
      <c r="S125" s="2904"/>
      <c r="T125" s="2904"/>
      <c r="U125" s="2904"/>
      <c r="V125" s="2904"/>
      <c r="W125" s="2904"/>
      <c r="X125" s="2904"/>
      <c r="Y125" s="2904"/>
      <c r="Z125" s="2904"/>
      <c r="AA125" s="2904"/>
      <c r="AB125" s="2904"/>
      <c r="AC125" s="290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33"/>
      <c r="O126" s="2933"/>
      <c r="P126" s="2941"/>
      <c r="Q126" s="2918"/>
      <c r="R126" s="2904"/>
      <c r="S126" s="2904"/>
      <c r="T126" s="2904"/>
      <c r="U126" s="2904"/>
      <c r="V126" s="2904"/>
      <c r="W126" s="2904"/>
      <c r="X126" s="2904"/>
      <c r="Y126" s="2904"/>
      <c r="Z126" s="2904"/>
      <c r="AA126" s="2904"/>
      <c r="AB126" s="2904"/>
      <c r="AC126" s="2904"/>
    </row>
    <row r="127" spans="1:29" s="430" customFormat="1" ht="15" thickTop="1">
      <c r="A127" s="550"/>
      <c r="B127" s="495">
        <f>B45</f>
        <v>111</v>
      </c>
      <c r="C127" s="511"/>
      <c r="D127" s="511"/>
      <c r="E127" s="511"/>
      <c r="F127" s="511"/>
      <c r="G127" s="511"/>
      <c r="H127" s="512"/>
      <c r="I127" s="512"/>
      <c r="J127" s="512"/>
      <c r="K127" s="512"/>
      <c r="L127" s="513"/>
      <c r="M127" s="514"/>
      <c r="N127" s="2934"/>
      <c r="O127" s="2934"/>
      <c r="P127" s="2942"/>
      <c r="Q127" s="2925"/>
      <c r="R127" s="2926"/>
      <c r="S127" s="2926"/>
      <c r="T127" s="2926"/>
      <c r="U127" s="2926"/>
      <c r="V127" s="2926"/>
      <c r="W127" s="2926"/>
      <c r="X127" s="2926"/>
      <c r="Y127" s="2926"/>
      <c r="Z127" s="2926"/>
      <c r="AA127" s="2926"/>
      <c r="AB127" s="2926"/>
      <c r="AC127" s="2926"/>
    </row>
    <row r="128" spans="1:29" s="430" customFormat="1" ht="15.75" thickBot="1">
      <c r="A128" s="510"/>
      <c r="B128" s="500"/>
      <c r="C128" s="517"/>
      <c r="D128" s="493"/>
      <c r="E128" s="493"/>
      <c r="F128" s="493"/>
      <c r="G128" s="517"/>
      <c r="H128" s="519"/>
      <c r="I128" s="519"/>
      <c r="J128" s="519"/>
      <c r="K128" s="519"/>
      <c r="L128" s="519"/>
      <c r="M128" s="520"/>
      <c r="N128" s="2934"/>
      <c r="O128" s="2934"/>
      <c r="P128" s="2942"/>
      <c r="Q128" s="2925"/>
      <c r="R128" s="2926"/>
      <c r="S128" s="2926"/>
      <c r="T128" s="2926"/>
      <c r="U128" s="2926"/>
      <c r="V128" s="2926"/>
      <c r="W128" s="2926"/>
      <c r="X128" s="2926"/>
      <c r="Y128" s="2926"/>
      <c r="Z128" s="2926"/>
      <c r="AA128" s="2926"/>
      <c r="AB128" s="2926"/>
      <c r="AC128" s="2926"/>
    </row>
    <row r="129" spans="1:29" ht="15" thickTop="1">
      <c r="A129" s="556"/>
      <c r="B129" s="495">
        <f>B46</f>
        <v>111</v>
      </c>
      <c r="C129" s="511"/>
      <c r="D129" s="511"/>
      <c r="E129" s="511"/>
      <c r="F129" s="511"/>
      <c r="G129" s="540"/>
      <c r="H129" s="540"/>
      <c r="I129" s="540"/>
      <c r="J129" s="540"/>
      <c r="K129" s="541"/>
      <c r="L129" s="542"/>
      <c r="M129" s="543"/>
      <c r="N129" s="2932"/>
      <c r="O129" s="2932"/>
      <c r="P129" s="2941"/>
      <c r="Q129" s="2918"/>
      <c r="R129" s="2904"/>
      <c r="S129" s="2904"/>
      <c r="T129" s="2904"/>
      <c r="U129" s="2904"/>
      <c r="V129" s="2904"/>
      <c r="W129" s="2904"/>
      <c r="X129" s="2904"/>
      <c r="Y129" s="2904"/>
      <c r="Z129" s="2904"/>
      <c r="AA129" s="2904"/>
      <c r="AB129" s="2904"/>
      <c r="AC129" s="2904"/>
    </row>
    <row r="130" spans="1:29" ht="15.75" thickBot="1">
      <c r="A130" s="491"/>
      <c r="B130" s="500"/>
      <c r="C130" s="517"/>
      <c r="D130" s="517"/>
      <c r="E130" s="517"/>
      <c r="F130" s="517"/>
      <c r="G130" s="493"/>
      <c r="H130" s="493"/>
      <c r="I130" s="493"/>
      <c r="J130" s="493"/>
      <c r="K130" s="493"/>
      <c r="L130" s="493"/>
      <c r="M130" s="494"/>
      <c r="N130" s="2933"/>
      <c r="O130" s="2933"/>
      <c r="P130" s="2941"/>
      <c r="Q130" s="2918"/>
      <c r="R130" s="2904"/>
      <c r="S130" s="2904"/>
      <c r="T130" s="2904"/>
      <c r="U130" s="2904"/>
      <c r="V130" s="2904"/>
      <c r="W130" s="2904"/>
      <c r="X130" s="2904"/>
      <c r="Y130" s="2904"/>
      <c r="Z130" s="2904"/>
      <c r="AA130" s="2904"/>
      <c r="AB130" s="2904"/>
      <c r="AC130" s="2904"/>
    </row>
    <row r="131" spans="1:29" ht="15" thickTop="1">
      <c r="A131" s="556"/>
      <c r="B131" s="503">
        <f>B47</f>
        <v>111</v>
      </c>
      <c r="C131" s="480"/>
      <c r="D131" s="480"/>
      <c r="E131" s="480"/>
      <c r="F131" s="480"/>
      <c r="G131" s="544"/>
      <c r="H131" s="544"/>
      <c r="I131" s="544"/>
      <c r="J131" s="544"/>
      <c r="K131" s="480"/>
      <c r="L131" s="481"/>
      <c r="M131" s="547"/>
      <c r="N131" s="2932"/>
      <c r="O131" s="2932"/>
      <c r="P131" s="2941"/>
      <c r="Q131" s="2918"/>
      <c r="R131" s="2904"/>
      <c r="S131" s="2904"/>
      <c r="T131" s="2904"/>
      <c r="U131" s="2904"/>
      <c r="V131" s="2904"/>
      <c r="W131" s="2904"/>
      <c r="X131" s="2904"/>
      <c r="Y131" s="2904"/>
      <c r="Z131" s="2904"/>
      <c r="AA131" s="2904"/>
      <c r="AB131" s="2904"/>
      <c r="AC131" s="2904"/>
    </row>
    <row r="132" spans="1:29" ht="15.75" thickBot="1">
      <c r="A132" s="2065"/>
      <c r="B132" s="526"/>
      <c r="C132" s="527"/>
      <c r="D132" s="527"/>
      <c r="E132" s="527"/>
      <c r="F132" s="527"/>
      <c r="G132" s="548"/>
      <c r="H132" s="548"/>
      <c r="I132" s="548"/>
      <c r="J132" s="548"/>
      <c r="K132" s="548"/>
      <c r="L132" s="548"/>
      <c r="M132" s="549"/>
      <c r="N132" s="2933"/>
      <c r="O132" s="2933"/>
      <c r="P132" s="2941"/>
      <c r="Q132" s="2918"/>
      <c r="R132" s="2904"/>
      <c r="S132" s="2904"/>
      <c r="T132" s="2904"/>
      <c r="U132" s="2904"/>
      <c r="V132" s="2904"/>
      <c r="W132" s="2904"/>
      <c r="X132" s="2904"/>
      <c r="Y132" s="2904"/>
      <c r="Z132" s="2904"/>
      <c r="AA132" s="2904"/>
      <c r="AB132" s="2904"/>
      <c r="AC132" s="290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Q72" sqref="Q72"/>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2107</v>
      </c>
      <c r="B1" s="2094" t="s">
        <v>2281</v>
      </c>
      <c r="C1" s="1345" t="s">
        <v>2109</v>
      </c>
      <c r="D1" s="1346"/>
      <c r="E1" s="1355"/>
      <c r="F1" s="2016"/>
      <c r="G1" s="1356" t="s">
        <v>2222</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1906</v>
      </c>
      <c r="B2" s="1279" t="e">
        <f ca="1">IF(C2="——",ROUND(C43*D3/10000,0),ROUND(C43*D3/10000,0)-D2)</f>
        <v>#DIV/0!</v>
      </c>
      <c r="C2" s="2018"/>
      <c r="D2" s="1019" t="e">
        <f ca="1">SUMIF(INDIRECT("'"&amp;F2&amp;"'"&amp;"!A:A"),"承租人权益价值",INDIRECT("'"&amp;F2&amp;"'"&amp;"!c:c"))</f>
        <v>#REF!</v>
      </c>
      <c r="E2" s="2019" t="s">
        <v>1907</v>
      </c>
      <c r="F2" s="2020"/>
      <c r="G2" s="1020"/>
      <c r="H2" s="1020"/>
      <c r="I2" s="1020"/>
      <c r="J2" s="1020"/>
      <c r="K2" s="1020"/>
      <c r="L2" s="1023"/>
      <c r="M2" s="1024"/>
      <c r="N2" s="1024"/>
      <c r="O2" s="1024"/>
      <c r="P2" s="708"/>
      <c r="Q2" s="708"/>
      <c r="R2" s="708"/>
      <c r="S2" s="708"/>
      <c r="T2" s="708"/>
      <c r="U2" s="708"/>
      <c r="V2" s="708"/>
      <c r="W2" s="708"/>
      <c r="X2" s="708"/>
      <c r="Y2" s="708"/>
      <c r="Z2" s="708"/>
      <c r="AA2" s="708"/>
      <c r="AB2" s="708"/>
      <c r="AC2" s="722"/>
    </row>
    <row r="3" spans="1:29" s="358" customFormat="1" ht="28.5" customHeight="1" thickBot="1">
      <c r="A3" s="209" t="s">
        <v>1908</v>
      </c>
      <c r="B3" s="566" t="e">
        <f ca="1">IF(C2="——",C43,ROUND(B2*10000/D3,0))</f>
        <v>#DIV/0!</v>
      </c>
      <c r="C3" s="360" t="s">
        <v>2223</v>
      </c>
      <c r="D3" s="359">
        <f>IF(D1="",'数据-汇总表'!E3,SUMIF('数据-汇总表'!$C19:$C33,D1,'数据-汇总表'!$E19:$E33))</f>
        <v>6531.86</v>
      </c>
      <c r="E3" s="1020"/>
      <c r="F3" s="1021"/>
      <c r="G3" s="1020"/>
      <c r="H3" s="1020"/>
      <c r="I3" s="1020"/>
      <c r="J3" s="1020"/>
      <c r="K3" s="1022"/>
      <c r="L3" s="1023"/>
      <c r="M3" s="1024"/>
      <c r="N3" s="1024"/>
      <c r="O3" s="1024"/>
      <c r="P3" s="708"/>
      <c r="Q3" s="708"/>
      <c r="R3" s="708"/>
      <c r="S3" s="708"/>
      <c r="T3" s="708"/>
      <c r="U3" s="708"/>
      <c r="V3" s="708"/>
      <c r="W3" s="708"/>
      <c r="X3" s="708"/>
      <c r="Y3" s="708"/>
      <c r="Z3" s="708"/>
      <c r="AA3" s="708"/>
      <c r="AB3" s="725"/>
      <c r="AC3" s="722"/>
    </row>
    <row r="4" spans="1:29" ht="15">
      <c r="A4" s="361" t="s">
        <v>2224</v>
      </c>
      <c r="B4" s="362"/>
      <c r="C4" s="3468" t="s">
        <v>2225</v>
      </c>
      <c r="D4" s="3469"/>
      <c r="E4" s="3470" t="s">
        <v>2226</v>
      </c>
      <c r="F4" s="3471"/>
      <c r="G4" s="3468" t="s">
        <v>2227</v>
      </c>
      <c r="H4" s="3469"/>
      <c r="I4" s="3468" t="s">
        <v>2228</v>
      </c>
      <c r="J4" s="3469"/>
      <c r="K4" s="567" t="s">
        <v>2229</v>
      </c>
      <c r="L4" s="1025"/>
      <c r="M4" s="1026"/>
      <c r="N4" s="1026"/>
      <c r="O4" s="1026"/>
      <c r="P4" s="3472" t="s">
        <v>2230</v>
      </c>
      <c r="Q4" s="3473"/>
      <c r="R4" s="3455" t="s">
        <v>2226</v>
      </c>
      <c r="S4" s="3456"/>
      <c r="T4" s="3455" t="s">
        <v>2227</v>
      </c>
      <c r="U4" s="3456"/>
      <c r="V4" s="3480" t="s">
        <v>2228</v>
      </c>
      <c r="W4" s="3480"/>
      <c r="X4" s="1490"/>
      <c r="Y4" s="3455" t="s">
        <v>2230</v>
      </c>
      <c r="Z4" s="3456"/>
      <c r="AA4" s="3450" t="s">
        <v>2226</v>
      </c>
      <c r="AB4" s="3451" t="s">
        <v>2227</v>
      </c>
      <c r="AC4" s="3450" t="s">
        <v>2228</v>
      </c>
    </row>
    <row r="5" spans="1:29" ht="15">
      <c r="A5" s="364"/>
      <c r="B5" s="365"/>
      <c r="C5" s="3461" t="s">
        <v>2121</v>
      </c>
      <c r="D5" s="3462"/>
      <c r="E5" s="3459" t="s">
        <v>2122</v>
      </c>
      <c r="F5" s="3460"/>
      <c r="G5" s="3461" t="s">
        <v>2123</v>
      </c>
      <c r="H5" s="3462"/>
      <c r="I5" s="3461" t="s">
        <v>2124</v>
      </c>
      <c r="J5" s="3462"/>
      <c r="K5" s="567"/>
      <c r="L5" s="1025"/>
      <c r="M5" s="1026"/>
      <c r="N5" s="1026"/>
      <c r="O5" s="1026"/>
      <c r="P5" s="3474"/>
      <c r="Q5" s="3475"/>
      <c r="R5" s="3457"/>
      <c r="S5" s="3458"/>
      <c r="T5" s="3457"/>
      <c r="U5" s="3458"/>
      <c r="V5" s="3480"/>
      <c r="W5" s="3480"/>
      <c r="X5" s="1490"/>
      <c r="Y5" s="3457"/>
      <c r="Z5" s="3458"/>
      <c r="AA5" s="3451"/>
      <c r="AB5" s="3451"/>
      <c r="AC5" s="3451"/>
    </row>
    <row r="6" spans="1:29" ht="15.75" thickBot="1">
      <c r="A6" s="366"/>
      <c r="B6" s="367"/>
      <c r="C6" s="3463" t="s">
        <v>2125</v>
      </c>
      <c r="D6" s="3464"/>
      <c r="E6" s="3465" t="s">
        <v>2125</v>
      </c>
      <c r="F6" s="3466"/>
      <c r="G6" s="3463" t="s">
        <v>2125</v>
      </c>
      <c r="H6" s="3464"/>
      <c r="I6" s="3463" t="s">
        <v>2125</v>
      </c>
      <c r="J6" s="3464"/>
      <c r="K6" s="567" t="s">
        <v>2126</v>
      </c>
      <c r="L6" s="1025"/>
      <c r="M6" s="1026"/>
      <c r="N6" s="1026"/>
      <c r="O6" s="1026"/>
      <c r="P6" s="3476"/>
      <c r="Q6" s="3477"/>
      <c r="R6" s="3457"/>
      <c r="S6" s="3458"/>
      <c r="T6" s="3478"/>
      <c r="U6" s="3479"/>
      <c r="V6" s="3480"/>
      <c r="W6" s="3480"/>
      <c r="X6" s="1490"/>
      <c r="Y6" s="3478"/>
      <c r="Z6" s="3479"/>
      <c r="AA6" s="3452"/>
      <c r="AB6" s="3452"/>
      <c r="AC6" s="3452"/>
    </row>
    <row r="7" spans="1:29" s="113" customFormat="1" ht="15.75" thickBot="1">
      <c r="A7" s="368" t="s">
        <v>2127</v>
      </c>
      <c r="B7" s="369"/>
      <c r="C7" s="370">
        <f>'数据-取费表'!B2</f>
        <v>44869</v>
      </c>
      <c r="D7" s="371">
        <v>100</v>
      </c>
      <c r="E7" s="372"/>
      <c r="F7" s="373">
        <f>SUMIF(52:52,YEAR(E7)&amp;"-"&amp;MONTH(E7),53:53)</f>
        <v>0</v>
      </c>
      <c r="G7" s="372"/>
      <c r="H7" s="371">
        <f>SUMIF(52:52,YEAR(G7)&amp;"-"&amp;MONTH(G7),53:53)</f>
        <v>0</v>
      </c>
      <c r="I7" s="372"/>
      <c r="J7" s="371">
        <f>SUMIF(52:52,YEAR(I7)&amp;"-"&amp;MONTH(I7),53:53)</f>
        <v>0</v>
      </c>
      <c r="K7" s="568"/>
      <c r="L7" s="1027"/>
      <c r="M7" s="1028"/>
      <c r="N7" s="1028"/>
      <c r="O7" s="1028"/>
      <c r="P7" s="3453" t="s">
        <v>2128</v>
      </c>
      <c r="Q7" s="3481"/>
      <c r="R7" s="710" t="s">
        <v>17</v>
      </c>
      <c r="S7" s="711">
        <f t="shared" ref="S7:S15" si="0">F7</f>
        <v>0</v>
      </c>
      <c r="T7" s="710" t="s">
        <v>17</v>
      </c>
      <c r="U7" s="711">
        <f t="shared" ref="U7:U15" si="1">H7</f>
        <v>0</v>
      </c>
      <c r="V7" s="710" t="s">
        <v>17</v>
      </c>
      <c r="W7" s="711">
        <f t="shared" ref="W7:W15" si="2">J7</f>
        <v>0</v>
      </c>
      <c r="X7" s="712"/>
      <c r="Y7" s="3453" t="s">
        <v>2128</v>
      </c>
      <c r="Z7" s="3454"/>
      <c r="AA7" s="713" t="e">
        <f>D7/F7</f>
        <v>#DIV/0!</v>
      </c>
      <c r="AB7" s="713" t="e">
        <f>D7/H7</f>
        <v>#DIV/0!</v>
      </c>
      <c r="AC7" s="713" t="e">
        <f>D7/J7</f>
        <v>#DIV/0!</v>
      </c>
    </row>
    <row r="8" spans="1:29" s="113" customFormat="1" ht="15.75" thickBot="1">
      <c r="A8" s="368" t="s">
        <v>2129</v>
      </c>
      <c r="B8" s="369"/>
      <c r="C8" s="374" t="s">
        <v>2130</v>
      </c>
      <c r="D8" s="371">
        <v>100</v>
      </c>
      <c r="E8" s="374"/>
      <c r="F8" s="373">
        <f>SUMIF(55:55,E8,56:56)-SUMIF(55:55,C8,56:56)+100</f>
        <v>0</v>
      </c>
      <c r="G8" s="374"/>
      <c r="H8" s="371">
        <f>SUMIF(55:55,G8,56:56)-SUMIF(55:55,C8,56:56)+100</f>
        <v>0</v>
      </c>
      <c r="I8" s="374"/>
      <c r="J8" s="371">
        <f>SUMIF(55:55,I8,56:56)-SUMIF(55:55,C8,56:56)+100</f>
        <v>0</v>
      </c>
      <c r="K8" s="568"/>
      <c r="L8" s="1027"/>
      <c r="M8" s="1028"/>
      <c r="N8" s="1028"/>
      <c r="O8" s="1028"/>
      <c r="P8" s="3453" t="s">
        <v>2131</v>
      </c>
      <c r="Q8" s="3454"/>
      <c r="R8" s="710" t="s">
        <v>17</v>
      </c>
      <c r="S8" s="711">
        <f t="shared" si="0"/>
        <v>0</v>
      </c>
      <c r="T8" s="710" t="s">
        <v>17</v>
      </c>
      <c r="U8" s="711">
        <f t="shared" si="1"/>
        <v>0</v>
      </c>
      <c r="V8" s="710" t="s">
        <v>17</v>
      </c>
      <c r="W8" s="711">
        <f t="shared" si="2"/>
        <v>0</v>
      </c>
      <c r="X8" s="712"/>
      <c r="Y8" s="3453" t="s">
        <v>2131</v>
      </c>
      <c r="Z8" s="3454"/>
      <c r="AA8" s="713" t="e">
        <f t="shared" ref="AA8:AA40" si="3">D8/F8</f>
        <v>#DIV/0!</v>
      </c>
      <c r="AB8" s="713" t="e">
        <f t="shared" ref="AB8:AB40" si="4">D8/H8</f>
        <v>#DIV/0!</v>
      </c>
      <c r="AC8" s="713" t="e">
        <f t="shared" ref="AC8:AC40" si="5">D8/J8</f>
        <v>#DIV/0!</v>
      </c>
    </row>
    <row r="9" spans="1:29" s="113" customFormat="1">
      <c r="A9" s="375" t="s">
        <v>2132</v>
      </c>
      <c r="B9" s="67" t="s">
        <v>2133</v>
      </c>
      <c r="C9" s="376"/>
      <c r="D9" s="131">
        <v>100</v>
      </c>
      <c r="E9" s="379"/>
      <c r="F9" s="131">
        <f>SUMIF(57:57,E9,58:58)-SUMIF(57:57,C9,58:58)+100</f>
        <v>100</v>
      </c>
      <c r="G9" s="377"/>
      <c r="H9" s="131">
        <f>SUMIF(57:57,G9,58:58)-SUMIF(57:57,C9,58:58)+100</f>
        <v>100</v>
      </c>
      <c r="I9" s="377"/>
      <c r="J9" s="131">
        <f>SUMIF(57:57,I9,58:58)-SUMIF(57:57,C9,58:58)+100</f>
        <v>100</v>
      </c>
      <c r="K9" s="568"/>
      <c r="L9" s="1027"/>
      <c r="M9" s="1028"/>
      <c r="N9" s="1028"/>
      <c r="O9" s="1029"/>
      <c r="P9" s="3485" t="s">
        <v>2134</v>
      </c>
      <c r="Q9" s="1478" t="str">
        <f t="shared" ref="Q9:Q15" si="6">B9</f>
        <v>用途</v>
      </c>
      <c r="R9" s="710" t="s">
        <v>17</v>
      </c>
      <c r="S9" s="711">
        <f t="shared" si="0"/>
        <v>100</v>
      </c>
      <c r="T9" s="710" t="s">
        <v>17</v>
      </c>
      <c r="U9" s="711">
        <f t="shared" si="1"/>
        <v>100</v>
      </c>
      <c r="V9" s="710" t="s">
        <v>17</v>
      </c>
      <c r="W9" s="711">
        <f t="shared" si="2"/>
        <v>100</v>
      </c>
      <c r="X9" s="712"/>
      <c r="Y9" s="3397"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2"/>
      <c r="F10" s="132">
        <f>SUMIF(59:59,E10,60:60)-SUMIF(59:59,C10,60:60)+100</f>
        <v>100</v>
      </c>
      <c r="G10" s="383"/>
      <c r="H10" s="132">
        <f>SUMIF(59:59,G10,60:60)-SUMIF(59:59,C10,60:60)+100</f>
        <v>100</v>
      </c>
      <c r="I10" s="382"/>
      <c r="J10" s="132">
        <f>SUMIF(59:59,I10,60:60)-SUMIF(59:59,C10,60:60)+100</f>
        <v>100</v>
      </c>
      <c r="K10" s="569"/>
      <c r="L10" s="1030"/>
      <c r="M10" s="1031"/>
      <c r="N10" s="1031"/>
      <c r="O10" s="1032"/>
      <c r="P10" s="3485"/>
      <c r="Q10" s="1478" t="str">
        <f t="shared" si="6"/>
        <v>土地使用年限（年）</v>
      </c>
      <c r="R10" s="710" t="s">
        <v>17</v>
      </c>
      <c r="S10" s="711">
        <f t="shared" si="0"/>
        <v>100</v>
      </c>
      <c r="T10" s="710" t="s">
        <v>17</v>
      </c>
      <c r="U10" s="711">
        <f t="shared" si="1"/>
        <v>100</v>
      </c>
      <c r="V10" s="710" t="s">
        <v>17</v>
      </c>
      <c r="W10" s="711">
        <f t="shared" si="2"/>
        <v>100</v>
      </c>
      <c r="X10" s="712"/>
      <c r="Y10" s="3397"/>
      <c r="Z10" s="55" t="str">
        <f t="shared" si="7"/>
        <v>土地使用年限（年）</v>
      </c>
      <c r="AA10" s="713">
        <f t="shared" si="3"/>
        <v>1</v>
      </c>
      <c r="AB10" s="713">
        <f t="shared" si="4"/>
        <v>1</v>
      </c>
      <c r="AC10" s="713">
        <f t="shared" si="5"/>
        <v>1</v>
      </c>
    </row>
    <row r="11" spans="1:29" ht="15">
      <c r="A11" s="387"/>
      <c r="B11" s="381" t="s">
        <v>2137</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3"/>
      <c r="M11" s="1026"/>
      <c r="N11" s="1026"/>
      <c r="O11" s="1034"/>
      <c r="P11" s="3485"/>
      <c r="Q11" s="1478" t="str">
        <f t="shared" si="6"/>
        <v>容积率</v>
      </c>
      <c r="R11" s="710" t="s">
        <v>17</v>
      </c>
      <c r="S11" s="711" t="e">
        <f t="shared" si="0"/>
        <v>#N/A</v>
      </c>
      <c r="T11" s="710" t="s">
        <v>17</v>
      </c>
      <c r="U11" s="711" t="e">
        <f t="shared" si="1"/>
        <v>#N/A</v>
      </c>
      <c r="V11" s="710" t="s">
        <v>17</v>
      </c>
      <c r="W11" s="711" t="e">
        <f t="shared" si="2"/>
        <v>#N/A</v>
      </c>
      <c r="X11" s="712"/>
      <c r="Y11" s="3397"/>
      <c r="Z11" s="55" t="str">
        <f t="shared" si="7"/>
        <v>容积率</v>
      </c>
      <c r="AA11" s="713" t="e">
        <f t="shared" si="3"/>
        <v>#N/A</v>
      </c>
      <c r="AB11" s="713" t="e">
        <f t="shared" si="4"/>
        <v>#N/A</v>
      </c>
      <c r="AC11" s="713" t="e">
        <f t="shared" si="5"/>
        <v>#N/A</v>
      </c>
    </row>
    <row r="12" spans="1:29" s="113" customFormat="1" ht="15">
      <c r="A12" s="390"/>
      <c r="B12" s="2030">
        <v>111</v>
      </c>
      <c r="C12" s="391"/>
      <c r="D12" s="392">
        <v>100</v>
      </c>
      <c r="E12" s="393"/>
      <c r="F12" s="132">
        <f>SUMIF(64:64,E12,65:65)-SUMIF(64:64,C12,65:65)+100</f>
        <v>100</v>
      </c>
      <c r="G12" s="2107"/>
      <c r="H12" s="132">
        <f>SUMIF(64:64,G12,65:65)-SUMIF(64:64,C12,65:65)+100</f>
        <v>100</v>
      </c>
      <c r="I12" s="428"/>
      <c r="J12" s="132">
        <f>SUMIF(64:64,I12,65:65)-SUMIF(64:64,C12,65:65)+100</f>
        <v>100</v>
      </c>
      <c r="K12" s="570"/>
      <c r="L12" s="1027"/>
      <c r="M12" s="1028"/>
      <c r="N12" s="1028"/>
      <c r="O12" s="1029"/>
      <c r="P12" s="3485"/>
      <c r="Q12" s="1478">
        <f t="shared" si="6"/>
        <v>111</v>
      </c>
      <c r="R12" s="710" t="s">
        <v>17</v>
      </c>
      <c r="S12" s="711">
        <f t="shared" si="0"/>
        <v>100</v>
      </c>
      <c r="T12" s="710" t="s">
        <v>17</v>
      </c>
      <c r="U12" s="711">
        <f t="shared" si="1"/>
        <v>100</v>
      </c>
      <c r="V12" s="710" t="s">
        <v>17</v>
      </c>
      <c r="W12" s="711">
        <f t="shared" si="2"/>
        <v>100</v>
      </c>
      <c r="X12" s="712"/>
      <c r="Y12" s="3397"/>
      <c r="Z12" s="55">
        <f t="shared" si="7"/>
        <v>111</v>
      </c>
      <c r="AA12" s="713">
        <f>D12/F12</f>
        <v>1</v>
      </c>
      <c r="AB12" s="713">
        <f>D12/H12</f>
        <v>1</v>
      </c>
      <c r="AC12" s="713">
        <f>D12/J12</f>
        <v>1</v>
      </c>
    </row>
    <row r="13" spans="1:29" ht="15">
      <c r="A13" s="387"/>
      <c r="B13" s="2030">
        <v>111</v>
      </c>
      <c r="C13" s="393"/>
      <c r="D13" s="394">
        <v>100</v>
      </c>
      <c r="E13" s="393"/>
      <c r="F13" s="132">
        <f>SUMIF(66:66,E13,67:67)-SUMIF(66:66,C13,67:67)+100</f>
        <v>100</v>
      </c>
      <c r="G13" s="2107"/>
      <c r="H13" s="394">
        <f>SUMIF(66:66,G13,67:67)-SUMIF(66:66,C13,67:67)+100</f>
        <v>100</v>
      </c>
      <c r="I13" s="428"/>
      <c r="J13" s="394">
        <f>SUMIF(66:66,I13,67:67)-SUMIF(66:66,C13,67:67)+100</f>
        <v>100</v>
      </c>
      <c r="K13" s="570"/>
      <c r="L13" s="1035"/>
      <c r="M13" s="1026"/>
      <c r="N13" s="1026"/>
      <c r="O13" s="1034"/>
      <c r="P13" s="3485"/>
      <c r="Q13" s="1478">
        <f t="shared" si="6"/>
        <v>111</v>
      </c>
      <c r="R13" s="710" t="s">
        <v>17</v>
      </c>
      <c r="S13" s="711">
        <f t="shared" si="0"/>
        <v>100</v>
      </c>
      <c r="T13" s="710" t="s">
        <v>17</v>
      </c>
      <c r="U13" s="711">
        <f t="shared" si="1"/>
        <v>100</v>
      </c>
      <c r="V13" s="710" t="s">
        <v>17</v>
      </c>
      <c r="W13" s="711">
        <f t="shared" si="2"/>
        <v>100</v>
      </c>
      <c r="X13" s="712"/>
      <c r="Y13" s="3397"/>
      <c r="Z13" s="55">
        <f t="shared" si="7"/>
        <v>111</v>
      </c>
      <c r="AA13" s="713">
        <f t="shared" si="3"/>
        <v>1</v>
      </c>
      <c r="AB13" s="713">
        <f t="shared" si="4"/>
        <v>1</v>
      </c>
      <c r="AC13" s="713">
        <f t="shared" si="5"/>
        <v>1</v>
      </c>
    </row>
    <row r="14" spans="1:29" ht="15.75" thickBot="1">
      <c r="A14" s="395"/>
      <c r="B14" s="2032">
        <v>111</v>
      </c>
      <c r="C14" s="396"/>
      <c r="D14" s="397">
        <v>100</v>
      </c>
      <c r="E14" s="396"/>
      <c r="F14" s="397">
        <f>SUMIF(68:68,E14,69:69)-SUMIF(68:68,C14,69:69)+100</f>
        <v>100</v>
      </c>
      <c r="G14" s="2107"/>
      <c r="H14" s="397">
        <f>SUMIF(68:68,G14,69:69)-SUMIF(68:68,C14,69:69)+100</f>
        <v>100</v>
      </c>
      <c r="I14" s="428"/>
      <c r="J14" s="397">
        <f>SUMIF(68:68,I14,69:69)-SUMIF(68:68,C14,69:69)+100</f>
        <v>100</v>
      </c>
      <c r="K14" s="570"/>
      <c r="L14" s="1035"/>
      <c r="M14" s="1026"/>
      <c r="N14" s="1026"/>
      <c r="O14" s="1034"/>
      <c r="P14" s="3485"/>
      <c r="Q14" s="1478">
        <f t="shared" si="6"/>
        <v>111</v>
      </c>
      <c r="R14" s="710" t="s">
        <v>17</v>
      </c>
      <c r="S14" s="711">
        <f t="shared" si="0"/>
        <v>100</v>
      </c>
      <c r="T14" s="710" t="s">
        <v>17</v>
      </c>
      <c r="U14" s="711">
        <f t="shared" si="1"/>
        <v>100</v>
      </c>
      <c r="V14" s="710" t="s">
        <v>17</v>
      </c>
      <c r="W14" s="711">
        <f t="shared" si="2"/>
        <v>100</v>
      </c>
      <c r="X14" s="712"/>
      <c r="Y14" s="3397"/>
      <c r="Z14" s="55">
        <f t="shared" si="7"/>
        <v>111</v>
      </c>
      <c r="AA14" s="713">
        <f t="shared" si="3"/>
        <v>1</v>
      </c>
      <c r="AB14" s="713">
        <f t="shared" si="4"/>
        <v>1</v>
      </c>
      <c r="AC14" s="713">
        <f t="shared" si="5"/>
        <v>1</v>
      </c>
    </row>
    <row r="15" spans="1:29" ht="57">
      <c r="A15" s="399" t="s">
        <v>2138</v>
      </c>
      <c r="B15" s="65" t="s">
        <v>2282</v>
      </c>
      <c r="C15" s="2108"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35"/>
      <c r="M15" s="1026"/>
      <c r="N15" s="1026"/>
      <c r="O15" s="1034"/>
      <c r="P15" s="3487" t="s">
        <v>2139</v>
      </c>
      <c r="Q15" s="1487" t="str">
        <f t="shared" si="6"/>
        <v>产业集聚程度</v>
      </c>
      <c r="R15" s="714" t="s">
        <v>17</v>
      </c>
      <c r="S15" s="715">
        <f t="shared" si="0"/>
        <v>100</v>
      </c>
      <c r="T15" s="714" t="s">
        <v>17</v>
      </c>
      <c r="U15" s="715">
        <f t="shared" si="1"/>
        <v>100</v>
      </c>
      <c r="V15" s="714" t="s">
        <v>17</v>
      </c>
      <c r="W15" s="715">
        <f t="shared" si="2"/>
        <v>100</v>
      </c>
      <c r="X15" s="1490"/>
      <c r="Y15" s="3487" t="s">
        <v>2139</v>
      </c>
      <c r="Z15" s="1491" t="str">
        <f t="shared" si="7"/>
        <v>产业集聚程度</v>
      </c>
      <c r="AA15" s="1488">
        <f t="shared" si="3"/>
        <v>1</v>
      </c>
      <c r="AB15" s="1488">
        <f t="shared" si="4"/>
        <v>1</v>
      </c>
      <c r="AC15" s="1488">
        <f t="shared" si="5"/>
        <v>1</v>
      </c>
    </row>
    <row r="16" spans="1:29" ht="15">
      <c r="A16" s="387"/>
      <c r="B16" s="405"/>
      <c r="C16" s="406"/>
      <c r="D16" s="407"/>
      <c r="E16" s="406"/>
      <c r="F16" s="408"/>
      <c r="G16" s="406"/>
      <c r="H16" s="409"/>
      <c r="I16" s="406"/>
      <c r="J16" s="407"/>
      <c r="K16" s="572"/>
      <c r="L16" s="1035"/>
      <c r="M16" s="1026"/>
      <c r="N16" s="1026"/>
      <c r="O16" s="1034"/>
      <c r="P16" s="3488"/>
      <c r="Q16" s="1487"/>
      <c r="R16" s="714"/>
      <c r="S16" s="715"/>
      <c r="T16" s="714"/>
      <c r="U16" s="715"/>
      <c r="V16" s="714"/>
      <c r="W16" s="715"/>
      <c r="X16" s="1490"/>
      <c r="Y16" s="3488"/>
      <c r="Z16" s="1491"/>
      <c r="AA16" s="1488">
        <v>1</v>
      </c>
      <c r="AB16" s="1488">
        <v>1</v>
      </c>
      <c r="AC16" s="1488">
        <v>1</v>
      </c>
    </row>
    <row r="17" spans="1:29" ht="85.5">
      <c r="A17" s="387"/>
      <c r="B17" s="410" t="s">
        <v>1703</v>
      </c>
      <c r="C17" s="2037"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35"/>
      <c r="M17" s="1026"/>
      <c r="N17" s="1026"/>
      <c r="O17" s="1034"/>
      <c r="P17" s="3488"/>
      <c r="Q17" s="1487" t="str">
        <f>B17</f>
        <v>交通便捷度</v>
      </c>
      <c r="R17" s="714" t="s">
        <v>17</v>
      </c>
      <c r="S17" s="715">
        <f>F17</f>
        <v>100</v>
      </c>
      <c r="T17" s="714" t="s">
        <v>17</v>
      </c>
      <c r="U17" s="715">
        <f>H17</f>
        <v>100</v>
      </c>
      <c r="V17" s="714" t="s">
        <v>17</v>
      </c>
      <c r="W17" s="715">
        <f>J17</f>
        <v>100</v>
      </c>
      <c r="X17" s="1490"/>
      <c r="Y17" s="3488"/>
      <c r="Z17" s="1491" t="str">
        <f>Q17</f>
        <v>交通便捷度</v>
      </c>
      <c r="AA17" s="1488">
        <f t="shared" si="3"/>
        <v>1</v>
      </c>
      <c r="AB17" s="1488">
        <f t="shared" si="4"/>
        <v>1</v>
      </c>
      <c r="AC17" s="1488">
        <f t="shared" si="5"/>
        <v>1</v>
      </c>
    </row>
    <row r="18" spans="1:29" ht="15">
      <c r="A18" s="387"/>
      <c r="B18" s="415"/>
      <c r="C18" s="2038"/>
      <c r="D18" s="409"/>
      <c r="E18" s="2040"/>
      <c r="F18" s="412"/>
      <c r="G18" s="2039"/>
      <c r="H18" s="407"/>
      <c r="I18" s="2040"/>
      <c r="J18" s="407"/>
      <c r="K18" s="572"/>
      <c r="L18" s="1035"/>
      <c r="M18" s="1026"/>
      <c r="N18" s="1026"/>
      <c r="O18" s="1034"/>
      <c r="P18" s="3488"/>
      <c r="Q18" s="1487"/>
      <c r="R18" s="714"/>
      <c r="S18" s="715"/>
      <c r="T18" s="714"/>
      <c r="U18" s="715"/>
      <c r="V18" s="714"/>
      <c r="W18" s="715"/>
      <c r="X18" s="1490"/>
      <c r="Y18" s="3488"/>
      <c r="Z18" s="1491"/>
      <c r="AA18" s="1488">
        <v>1</v>
      </c>
      <c r="AB18" s="1488">
        <v>1</v>
      </c>
      <c r="AC18" s="1488">
        <v>1</v>
      </c>
    </row>
    <row r="19" spans="1:29" ht="42.75">
      <c r="A19" s="387"/>
      <c r="B19" s="410" t="s">
        <v>2267</v>
      </c>
      <c r="C19" s="2037"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35"/>
      <c r="M19" s="1026"/>
      <c r="N19" s="1026"/>
      <c r="O19" s="1034"/>
      <c r="P19" s="3488"/>
      <c r="Q19" s="1487" t="str">
        <f>B19</f>
        <v>公共配套设施</v>
      </c>
      <c r="R19" s="714" t="s">
        <v>17</v>
      </c>
      <c r="S19" s="715">
        <f>F19</f>
        <v>100</v>
      </c>
      <c r="T19" s="714" t="s">
        <v>17</v>
      </c>
      <c r="U19" s="715">
        <f>H19</f>
        <v>100</v>
      </c>
      <c r="V19" s="714" t="s">
        <v>17</v>
      </c>
      <c r="W19" s="715">
        <f>J19</f>
        <v>100</v>
      </c>
      <c r="X19" s="1490"/>
      <c r="Y19" s="3488"/>
      <c r="Z19" s="1491" t="str">
        <f>Q19</f>
        <v>公共配套设施</v>
      </c>
      <c r="AA19" s="1488">
        <f t="shared" si="3"/>
        <v>1</v>
      </c>
      <c r="AB19" s="1488">
        <f t="shared" si="4"/>
        <v>1</v>
      </c>
      <c r="AC19" s="1488">
        <f t="shared" si="5"/>
        <v>1</v>
      </c>
    </row>
    <row r="20" spans="1:29" ht="15">
      <c r="A20" s="387"/>
      <c r="B20" s="415"/>
      <c r="C20" s="406"/>
      <c r="D20" s="407"/>
      <c r="E20" s="2035"/>
      <c r="F20" s="408"/>
      <c r="G20" s="2034"/>
      <c r="H20" s="407"/>
      <c r="I20" s="2035"/>
      <c r="J20" s="407"/>
      <c r="K20" s="572"/>
      <c r="L20" s="1035"/>
      <c r="M20" s="1026"/>
      <c r="N20" s="1026"/>
      <c r="O20" s="1034"/>
      <c r="P20" s="3488"/>
      <c r="Q20" s="1487"/>
      <c r="R20" s="714"/>
      <c r="S20" s="715"/>
      <c r="T20" s="714"/>
      <c r="U20" s="715"/>
      <c r="V20" s="714"/>
      <c r="W20" s="715"/>
      <c r="X20" s="1490"/>
      <c r="Y20" s="3488"/>
      <c r="Z20" s="1491"/>
      <c r="AA20" s="1488">
        <v>1</v>
      </c>
      <c r="AB20" s="1488">
        <v>1</v>
      </c>
      <c r="AC20" s="1488">
        <v>1</v>
      </c>
    </row>
    <row r="21" spans="1:29" ht="28.5">
      <c r="A21" s="387"/>
      <c r="B21" s="1246" t="s">
        <v>2268</v>
      </c>
      <c r="C21" s="2037"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35"/>
      <c r="M21" s="1026"/>
      <c r="N21" s="1026"/>
      <c r="O21" s="1034"/>
      <c r="P21" s="3488"/>
      <c r="Q21" s="1487" t="str">
        <f>B21</f>
        <v>基础设施水平</v>
      </c>
      <c r="R21" s="714" t="s">
        <v>17</v>
      </c>
      <c r="S21" s="715">
        <f>F21</f>
        <v>100</v>
      </c>
      <c r="T21" s="714" t="s">
        <v>17</v>
      </c>
      <c r="U21" s="715">
        <f>H21</f>
        <v>100</v>
      </c>
      <c r="V21" s="714" t="s">
        <v>17</v>
      </c>
      <c r="W21" s="715">
        <f>J21</f>
        <v>100</v>
      </c>
      <c r="X21" s="1490"/>
      <c r="Y21" s="3488"/>
      <c r="Z21" s="1491" t="str">
        <f>Q21</f>
        <v>基础设施水平</v>
      </c>
      <c r="AA21" s="1488">
        <f t="shared" ref="AA21" si="8">D21/F21</f>
        <v>1</v>
      </c>
      <c r="AB21" s="1488">
        <f t="shared" ref="AB21" si="9">D21/H21</f>
        <v>1</v>
      </c>
      <c r="AC21" s="1488">
        <f t="shared" ref="AC21" si="10">D21/J21</f>
        <v>1</v>
      </c>
    </row>
    <row r="22" spans="1:29" ht="15">
      <c r="A22" s="387"/>
      <c r="B22" s="1246"/>
      <c r="C22" s="2038"/>
      <c r="D22" s="407"/>
      <c r="E22" s="406"/>
      <c r="F22" s="408"/>
      <c r="G22" s="406"/>
      <c r="H22" s="407"/>
      <c r="I22" s="406"/>
      <c r="J22" s="407"/>
      <c r="K22" s="1245"/>
      <c r="L22" s="1035"/>
      <c r="M22" s="1026"/>
      <c r="N22" s="1026"/>
      <c r="O22" s="1034"/>
      <c r="P22" s="3488"/>
      <c r="Q22" s="1487"/>
      <c r="R22" s="714"/>
      <c r="S22" s="715"/>
      <c r="T22" s="714"/>
      <c r="U22" s="715"/>
      <c r="V22" s="714"/>
      <c r="W22" s="715"/>
      <c r="X22" s="1490"/>
      <c r="Y22" s="3488"/>
      <c r="Z22" s="1491"/>
      <c r="AA22" s="1488">
        <v>1</v>
      </c>
      <c r="AB22" s="1488">
        <v>1</v>
      </c>
      <c r="AC22" s="1488">
        <v>1</v>
      </c>
    </row>
    <row r="23" spans="1:29" ht="71.25">
      <c r="A23" s="387"/>
      <c r="B23" s="410" t="s">
        <v>2269</v>
      </c>
      <c r="C23" s="2037"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35"/>
      <c r="M23" s="1026"/>
      <c r="N23" s="1026"/>
      <c r="O23" s="1034"/>
      <c r="P23" s="3488"/>
      <c r="Q23" s="1487" t="str">
        <f>B23</f>
        <v>环境质量</v>
      </c>
      <c r="R23" s="714" t="s">
        <v>17</v>
      </c>
      <c r="S23" s="715">
        <f>F23</f>
        <v>100</v>
      </c>
      <c r="T23" s="714" t="s">
        <v>17</v>
      </c>
      <c r="U23" s="715">
        <f>H23</f>
        <v>100</v>
      </c>
      <c r="V23" s="714" t="s">
        <v>17</v>
      </c>
      <c r="W23" s="715">
        <f>J23</f>
        <v>100</v>
      </c>
      <c r="X23" s="1490"/>
      <c r="Y23" s="3488"/>
      <c r="Z23" s="1491" t="str">
        <f>Q23</f>
        <v>环境质量</v>
      </c>
      <c r="AA23" s="1488">
        <f t="shared" si="3"/>
        <v>1</v>
      </c>
      <c r="AB23" s="1488">
        <f t="shared" si="4"/>
        <v>1</v>
      </c>
      <c r="AC23" s="1488">
        <f t="shared" si="5"/>
        <v>1</v>
      </c>
    </row>
    <row r="24" spans="1:29" ht="15">
      <c r="A24" s="387"/>
      <c r="B24" s="1246"/>
      <c r="C24" s="406"/>
      <c r="D24" s="407"/>
      <c r="E24" s="2035"/>
      <c r="F24" s="408"/>
      <c r="G24" s="2034"/>
      <c r="H24" s="407"/>
      <c r="I24" s="2035"/>
      <c r="J24" s="407"/>
      <c r="K24" s="572"/>
      <c r="L24" s="1035"/>
      <c r="M24" s="1026"/>
      <c r="N24" s="1026"/>
      <c r="O24" s="1034"/>
      <c r="P24" s="3488"/>
      <c r="Q24" s="1487"/>
      <c r="R24" s="714"/>
      <c r="S24" s="715"/>
      <c r="T24" s="714"/>
      <c r="U24" s="715"/>
      <c r="V24" s="714"/>
      <c r="W24" s="715"/>
      <c r="X24" s="1490"/>
      <c r="Y24" s="3488"/>
      <c r="Z24" s="1491"/>
      <c r="AA24" s="1488">
        <v>1</v>
      </c>
      <c r="AB24" s="1488">
        <v>1</v>
      </c>
      <c r="AC24" s="1488">
        <v>1</v>
      </c>
    </row>
    <row r="25" spans="1:29" ht="15">
      <c r="A25" s="364"/>
      <c r="B25" s="1248">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5"/>
      <c r="M25" s="1026"/>
      <c r="N25" s="1026"/>
      <c r="O25" s="1034"/>
      <c r="P25" s="3488"/>
      <c r="Q25" s="1487">
        <f>B25</f>
        <v>111</v>
      </c>
      <c r="R25" s="714" t="s">
        <v>17</v>
      </c>
      <c r="S25" s="715">
        <f>F25</f>
        <v>100</v>
      </c>
      <c r="T25" s="714" t="s">
        <v>17</v>
      </c>
      <c r="U25" s="715">
        <f>H25</f>
        <v>100</v>
      </c>
      <c r="V25" s="714" t="s">
        <v>17</v>
      </c>
      <c r="W25" s="715">
        <f>J25</f>
        <v>100</v>
      </c>
      <c r="X25" s="1490"/>
      <c r="Y25" s="3488"/>
      <c r="Z25" s="1491">
        <f>Q25</f>
        <v>111</v>
      </c>
      <c r="AA25" s="1488">
        <f t="shared" si="3"/>
        <v>1</v>
      </c>
      <c r="AB25" s="1488">
        <f t="shared" si="4"/>
        <v>1</v>
      </c>
      <c r="AC25" s="1488">
        <f t="shared" si="5"/>
        <v>1</v>
      </c>
    </row>
    <row r="26" spans="1:29" ht="15">
      <c r="A26" s="387"/>
      <c r="B26" s="1248">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5"/>
      <c r="M26" s="1026"/>
      <c r="N26" s="1026"/>
      <c r="O26" s="1034"/>
      <c r="P26" s="3488"/>
      <c r="Q26" s="1487">
        <f t="shared" ref="Q26:Q40" si="11">B26</f>
        <v>111</v>
      </c>
      <c r="R26" s="714" t="s">
        <v>17</v>
      </c>
      <c r="S26" s="715">
        <f>F26</f>
        <v>100</v>
      </c>
      <c r="T26" s="714" t="s">
        <v>17</v>
      </c>
      <c r="U26" s="715">
        <f>H26</f>
        <v>100</v>
      </c>
      <c r="V26" s="714" t="s">
        <v>17</v>
      </c>
      <c r="W26" s="715">
        <f>J26</f>
        <v>100</v>
      </c>
      <c r="X26" s="1490"/>
      <c r="Y26" s="3488"/>
      <c r="Z26" s="1491">
        <f>Q26</f>
        <v>111</v>
      </c>
      <c r="AA26" s="1488">
        <f t="shared" si="3"/>
        <v>1</v>
      </c>
      <c r="AB26" s="1488">
        <f t="shared" si="4"/>
        <v>1</v>
      </c>
      <c r="AC26" s="1488">
        <f t="shared" si="5"/>
        <v>1</v>
      </c>
    </row>
    <row r="27" spans="1:29" s="113" customFormat="1" ht="15">
      <c r="A27" s="390"/>
      <c r="B27" s="1248">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7"/>
      <c r="M27" s="1028"/>
      <c r="N27" s="1028"/>
      <c r="O27" s="1029"/>
      <c r="P27" s="3488"/>
      <c r="Q27" s="1478">
        <f t="shared" si="11"/>
        <v>111</v>
      </c>
      <c r="R27" s="710" t="s">
        <v>17</v>
      </c>
      <c r="S27" s="711">
        <f>F27</f>
        <v>100</v>
      </c>
      <c r="T27" s="710" t="s">
        <v>17</v>
      </c>
      <c r="U27" s="711">
        <f>H27</f>
        <v>100</v>
      </c>
      <c r="V27" s="710" t="s">
        <v>17</v>
      </c>
      <c r="W27" s="711">
        <f>J27</f>
        <v>100</v>
      </c>
      <c r="X27" s="712"/>
      <c r="Y27" s="3488"/>
      <c r="Z27" s="55">
        <f>Q27</f>
        <v>111</v>
      </c>
      <c r="AA27" s="1488">
        <f>D27/F27</f>
        <v>1</v>
      </c>
      <c r="AB27" s="1488">
        <f>D27/H27</f>
        <v>1</v>
      </c>
      <c r="AC27" s="1488">
        <f>D27/J27</f>
        <v>1</v>
      </c>
    </row>
    <row r="28" spans="1:29" ht="15.75" thickBot="1">
      <c r="A28" s="395"/>
      <c r="B28" s="1248">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5"/>
      <c r="M28" s="1026"/>
      <c r="N28" s="1026"/>
      <c r="O28" s="1034"/>
      <c r="P28" s="3488"/>
      <c r="Q28" s="1487">
        <f t="shared" si="11"/>
        <v>111</v>
      </c>
      <c r="R28" s="714" t="s">
        <v>17</v>
      </c>
      <c r="S28" s="715">
        <f t="shared" ref="S28:S40" si="12">F28</f>
        <v>100</v>
      </c>
      <c r="T28" s="714" t="s">
        <v>17</v>
      </c>
      <c r="U28" s="715">
        <f t="shared" ref="U28:U40" si="13">H28</f>
        <v>100</v>
      </c>
      <c r="V28" s="714" t="s">
        <v>17</v>
      </c>
      <c r="W28" s="715">
        <f t="shared" ref="W28:W40" si="14">J28</f>
        <v>100</v>
      </c>
      <c r="X28" s="1490"/>
      <c r="Y28" s="3488"/>
      <c r="Z28" s="1491">
        <f t="shared" ref="Z28:Z40" si="15">Q28</f>
        <v>111</v>
      </c>
      <c r="AA28" s="1488">
        <f t="shared" si="3"/>
        <v>1</v>
      </c>
      <c r="AB28" s="1488">
        <f t="shared" si="4"/>
        <v>1</v>
      </c>
      <c r="AC28" s="1488">
        <f t="shared" si="5"/>
        <v>1</v>
      </c>
    </row>
    <row r="29" spans="1:29" ht="28.5">
      <c r="A29" s="425" t="s">
        <v>2142</v>
      </c>
      <c r="B29" s="67" t="s">
        <v>2272</v>
      </c>
      <c r="C29" s="2104"/>
      <c r="D29" s="426">
        <v>100</v>
      </c>
      <c r="E29" s="2104"/>
      <c r="F29" s="420">
        <f>SUMIF(88:88,E29,89:89)-SUMIF(88:88,C29,89:89)+100</f>
        <v>100</v>
      </c>
      <c r="G29" s="2104"/>
      <c r="H29" s="394">
        <f>SUMIF(88:88,G29,89:89)-SUMIF(88:88,C29,89:89)+100</f>
        <v>100</v>
      </c>
      <c r="I29" s="2104"/>
      <c r="J29" s="426">
        <f>SUMIF(88:88,I29,89:89)-SUMIF(88:88,C29,89:89)+100</f>
        <v>100</v>
      </c>
      <c r="K29" s="569"/>
      <c r="L29" s="1035"/>
      <c r="M29" s="1026"/>
      <c r="N29" s="1026"/>
      <c r="O29" s="1034"/>
      <c r="P29" s="3511" t="s">
        <v>2144</v>
      </c>
      <c r="Q29" s="1487" t="str">
        <f t="shared" si="11"/>
        <v>建筑类型</v>
      </c>
      <c r="R29" s="714" t="s">
        <v>17</v>
      </c>
      <c r="S29" s="715">
        <f t="shared" si="12"/>
        <v>100</v>
      </c>
      <c r="T29" s="714" t="s">
        <v>17</v>
      </c>
      <c r="U29" s="715">
        <f t="shared" si="13"/>
        <v>100</v>
      </c>
      <c r="V29" s="714" t="s">
        <v>17</v>
      </c>
      <c r="W29" s="715">
        <f t="shared" si="14"/>
        <v>100</v>
      </c>
      <c r="X29" s="1490"/>
      <c r="Y29" s="3492" t="s">
        <v>2144</v>
      </c>
      <c r="Z29" s="1491" t="str">
        <f t="shared" si="15"/>
        <v>建筑类型</v>
      </c>
      <c r="AA29" s="1488">
        <f t="shared" si="3"/>
        <v>1</v>
      </c>
      <c r="AB29" s="1488">
        <f t="shared" si="4"/>
        <v>1</v>
      </c>
      <c r="AC29" s="1488">
        <f t="shared" si="5"/>
        <v>1</v>
      </c>
    </row>
    <row r="30" spans="1:29" s="430" customFormat="1" ht="15">
      <c r="A30" s="427"/>
      <c r="B30" s="381" t="s">
        <v>2145</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3"/>
      <c r="M30" s="1036"/>
      <c r="N30" s="1036"/>
      <c r="O30" s="1037"/>
      <c r="P30" s="3492"/>
      <c r="Q30" s="716" t="str">
        <f t="shared" si="11"/>
        <v>项目建筑规模</v>
      </c>
      <c r="R30" s="717" t="s">
        <v>17</v>
      </c>
      <c r="S30" s="718" t="e">
        <f t="shared" si="12"/>
        <v>#N/A</v>
      </c>
      <c r="T30" s="717" t="s">
        <v>17</v>
      </c>
      <c r="U30" s="718" t="e">
        <f t="shared" si="13"/>
        <v>#N/A</v>
      </c>
      <c r="V30" s="717" t="s">
        <v>17</v>
      </c>
      <c r="W30" s="718" t="e">
        <f t="shared" si="14"/>
        <v>#N/A</v>
      </c>
      <c r="X30" s="719"/>
      <c r="Y30" s="3492"/>
      <c r="Z30" s="720" t="str">
        <f t="shared" si="15"/>
        <v>项目建筑规模</v>
      </c>
      <c r="AA30" s="1488" t="e">
        <f t="shared" si="3"/>
        <v>#N/A</v>
      </c>
      <c r="AB30" s="1488" t="e">
        <f t="shared" si="4"/>
        <v>#N/A</v>
      </c>
      <c r="AC30" s="1488" t="e">
        <f t="shared" si="5"/>
        <v>#N/A</v>
      </c>
    </row>
    <row r="31" spans="1:29" ht="15">
      <c r="A31" s="431"/>
      <c r="B31" s="381" t="s">
        <v>2146</v>
      </c>
      <c r="C31" s="419"/>
      <c r="D31" s="394">
        <v>100</v>
      </c>
      <c r="E31" s="419"/>
      <c r="F31" s="420">
        <f>SUMIF(93:93,E31,94:94)-SUMIF(93:93,C31,94:94)+100</f>
        <v>100</v>
      </c>
      <c r="G31" s="419"/>
      <c r="H31" s="394">
        <f>SUMIF(93:93,G31,94:94)-SUMIF(93:93,C31,94:94)+100</f>
        <v>100</v>
      </c>
      <c r="I31" s="419"/>
      <c r="J31" s="394">
        <f>SUMIF(93:93,I31,94:94)-SUMIF(93:93,C31,94:94)+100</f>
        <v>100</v>
      </c>
      <c r="K31" s="569"/>
      <c r="L31" s="1035"/>
      <c r="M31" s="1026"/>
      <c r="N31" s="1026"/>
      <c r="O31" s="1034"/>
      <c r="P31" s="3492"/>
      <c r="Q31" s="1487" t="str">
        <f t="shared" si="11"/>
        <v>建筑结构</v>
      </c>
      <c r="R31" s="714" t="s">
        <v>17</v>
      </c>
      <c r="S31" s="715">
        <f t="shared" si="12"/>
        <v>100</v>
      </c>
      <c r="T31" s="714" t="s">
        <v>17</v>
      </c>
      <c r="U31" s="715">
        <f t="shared" si="13"/>
        <v>100</v>
      </c>
      <c r="V31" s="714" t="s">
        <v>17</v>
      </c>
      <c r="W31" s="715">
        <f t="shared" si="14"/>
        <v>100</v>
      </c>
      <c r="X31" s="1490"/>
      <c r="Y31" s="3492"/>
      <c r="Z31" s="1491" t="str">
        <f t="shared" si="15"/>
        <v>建筑结构</v>
      </c>
      <c r="AA31" s="1488">
        <f t="shared" si="3"/>
        <v>1</v>
      </c>
      <c r="AB31" s="1488">
        <f t="shared" si="4"/>
        <v>1</v>
      </c>
      <c r="AC31" s="1488">
        <f t="shared" si="5"/>
        <v>1</v>
      </c>
    </row>
    <row r="32" spans="1:29" ht="15">
      <c r="A32" s="431"/>
      <c r="B32" s="381" t="s">
        <v>2240</v>
      </c>
      <c r="C32" s="419"/>
      <c r="D32" s="394">
        <v>100</v>
      </c>
      <c r="E32" s="419"/>
      <c r="F32" s="420">
        <f>SUMIF(95:95,E32,96:96)-SUMIF(95:95,C32,96:96)+100</f>
        <v>100</v>
      </c>
      <c r="G32" s="419"/>
      <c r="H32" s="394">
        <f>SUMIF(95:95,G32,96:96)-SUMIF(95:95,C32,96:96)+100</f>
        <v>100</v>
      </c>
      <c r="I32" s="419"/>
      <c r="J32" s="394">
        <f>SUMIF(95:95,I32,96:96)-SUMIF(95:95,C32,96:96)+100</f>
        <v>100</v>
      </c>
      <c r="K32" s="569"/>
      <c r="L32" s="1035"/>
      <c r="M32" s="1026"/>
      <c r="N32" s="1026"/>
      <c r="O32" s="1034"/>
      <c r="P32" s="3492"/>
      <c r="Q32" s="1487" t="str">
        <f t="shared" si="11"/>
        <v>公共部分装修</v>
      </c>
      <c r="R32" s="714" t="s">
        <v>17</v>
      </c>
      <c r="S32" s="715">
        <f t="shared" si="12"/>
        <v>100</v>
      </c>
      <c r="T32" s="714" t="s">
        <v>17</v>
      </c>
      <c r="U32" s="715">
        <f t="shared" si="13"/>
        <v>100</v>
      </c>
      <c r="V32" s="714" t="s">
        <v>17</v>
      </c>
      <c r="W32" s="715">
        <f t="shared" si="14"/>
        <v>100</v>
      </c>
      <c r="X32" s="1490"/>
      <c r="Y32" s="3492"/>
      <c r="Z32" s="1491" t="str">
        <f t="shared" si="15"/>
        <v>公共部分装修</v>
      </c>
      <c r="AA32" s="1488">
        <f t="shared" si="3"/>
        <v>1</v>
      </c>
      <c r="AB32" s="1488">
        <f t="shared" si="4"/>
        <v>1</v>
      </c>
      <c r="AC32" s="1488">
        <f t="shared" si="5"/>
        <v>1</v>
      </c>
    </row>
    <row r="33" spans="1:29" ht="15">
      <c r="A33" s="431"/>
      <c r="B33" s="381" t="s">
        <v>2241</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5"/>
      <c r="M33" s="1026"/>
      <c r="N33" s="1026"/>
      <c r="O33" s="1034"/>
      <c r="P33" s="3492"/>
      <c r="Q33" s="1487" t="str">
        <f t="shared" si="11"/>
        <v>成新度</v>
      </c>
      <c r="R33" s="714" t="s">
        <v>17</v>
      </c>
      <c r="S33" s="715" t="e">
        <f t="shared" si="12"/>
        <v>#N/A</v>
      </c>
      <c r="T33" s="714" t="s">
        <v>17</v>
      </c>
      <c r="U33" s="715" t="e">
        <f t="shared" si="13"/>
        <v>#N/A</v>
      </c>
      <c r="V33" s="714" t="s">
        <v>17</v>
      </c>
      <c r="W33" s="715" t="e">
        <f t="shared" si="14"/>
        <v>#N/A</v>
      </c>
      <c r="X33" s="1490"/>
      <c r="Y33" s="3492"/>
      <c r="Z33" s="1491" t="str">
        <f t="shared" si="15"/>
        <v>成新度</v>
      </c>
      <c r="AA33" s="1488" t="e">
        <f t="shared" si="3"/>
        <v>#N/A</v>
      </c>
      <c r="AB33" s="1488" t="e">
        <f t="shared" si="4"/>
        <v>#N/A</v>
      </c>
      <c r="AC33" s="1488" t="e">
        <f t="shared" si="5"/>
        <v>#N/A</v>
      </c>
    </row>
    <row r="34" spans="1:29" s="113" customFormat="1" ht="15">
      <c r="A34" s="432"/>
      <c r="B34" s="381" t="s">
        <v>2274</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7"/>
      <c r="M34" s="1028"/>
      <c r="N34" s="1028"/>
      <c r="O34" s="1029"/>
      <c r="P34" s="3492"/>
      <c r="Q34" s="1478" t="str">
        <f t="shared" si="11"/>
        <v>物业管理</v>
      </c>
      <c r="R34" s="710" t="s">
        <v>17</v>
      </c>
      <c r="S34" s="711">
        <f t="shared" si="12"/>
        <v>100</v>
      </c>
      <c r="T34" s="710" t="s">
        <v>17</v>
      </c>
      <c r="U34" s="711">
        <f t="shared" si="13"/>
        <v>100</v>
      </c>
      <c r="V34" s="710" t="s">
        <v>17</v>
      </c>
      <c r="W34" s="711">
        <f t="shared" si="14"/>
        <v>100</v>
      </c>
      <c r="X34" s="712"/>
      <c r="Y34" s="3492"/>
      <c r="Z34" s="55" t="str">
        <f t="shared" si="15"/>
        <v>物业管理</v>
      </c>
      <c r="AA34" s="713">
        <f t="shared" si="3"/>
        <v>1</v>
      </c>
      <c r="AB34" s="713">
        <f t="shared" si="4"/>
        <v>1</v>
      </c>
      <c r="AC34" s="713">
        <f t="shared" si="5"/>
        <v>1</v>
      </c>
    </row>
    <row r="35" spans="1:29" ht="15">
      <c r="A35" s="431"/>
      <c r="B35" s="381" t="s">
        <v>2242</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5"/>
      <c r="M35" s="1026"/>
      <c r="N35" s="1026"/>
      <c r="O35" s="1034"/>
      <c r="P35" s="3492" t="s">
        <v>2144</v>
      </c>
      <c r="Q35" s="1487" t="str">
        <f t="shared" si="11"/>
        <v>市政基础设施</v>
      </c>
      <c r="R35" s="714" t="s">
        <v>17</v>
      </c>
      <c r="S35" s="715">
        <f t="shared" si="12"/>
        <v>100</v>
      </c>
      <c r="T35" s="714" t="s">
        <v>17</v>
      </c>
      <c r="U35" s="715">
        <f t="shared" si="13"/>
        <v>100</v>
      </c>
      <c r="V35" s="714" t="s">
        <v>17</v>
      </c>
      <c r="W35" s="715">
        <f t="shared" si="14"/>
        <v>100</v>
      </c>
      <c r="X35" s="1490"/>
      <c r="Y35" s="3492" t="s">
        <v>2144</v>
      </c>
      <c r="Z35" s="1491" t="str">
        <f t="shared" si="15"/>
        <v>市政基础设施</v>
      </c>
      <c r="AA35" s="1488">
        <f t="shared" si="3"/>
        <v>1</v>
      </c>
      <c r="AB35" s="1488">
        <f t="shared" si="4"/>
        <v>1</v>
      </c>
      <c r="AC35" s="1488">
        <f t="shared" si="5"/>
        <v>1</v>
      </c>
    </row>
    <row r="36" spans="1:29" ht="15">
      <c r="A36" s="431"/>
      <c r="B36" s="381" t="s">
        <v>2247</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5"/>
      <c r="M36" s="1026"/>
      <c r="N36" s="1026"/>
      <c r="O36" s="1034"/>
      <c r="P36" s="3492"/>
      <c r="Q36" s="1487" t="str">
        <f t="shared" si="11"/>
        <v>内部装修</v>
      </c>
      <c r="R36" s="714" t="s">
        <v>17</v>
      </c>
      <c r="S36" s="715">
        <f t="shared" si="12"/>
        <v>100</v>
      </c>
      <c r="T36" s="714" t="s">
        <v>17</v>
      </c>
      <c r="U36" s="715">
        <f t="shared" si="13"/>
        <v>100</v>
      </c>
      <c r="V36" s="714" t="s">
        <v>17</v>
      </c>
      <c r="W36" s="715">
        <f t="shared" si="14"/>
        <v>100</v>
      </c>
      <c r="X36" s="1490"/>
      <c r="Y36" s="3492"/>
      <c r="Z36" s="1491" t="str">
        <f t="shared" si="15"/>
        <v>内部装修</v>
      </c>
      <c r="AA36" s="1488">
        <f t="shared" si="3"/>
        <v>1</v>
      </c>
      <c r="AB36" s="1488">
        <f t="shared" si="4"/>
        <v>1</v>
      </c>
      <c r="AC36" s="1488">
        <f t="shared" si="5"/>
        <v>1</v>
      </c>
    </row>
    <row r="37" spans="1:29" ht="15">
      <c r="A37" s="431"/>
      <c r="B37" s="381" t="s">
        <v>2283</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5"/>
      <c r="M37" s="1026"/>
      <c r="N37" s="1026"/>
      <c r="O37" s="1034"/>
      <c r="P37" s="3492"/>
      <c r="Q37" s="1487" t="str">
        <f t="shared" si="11"/>
        <v>内部装修状况</v>
      </c>
      <c r="R37" s="714" t="s">
        <v>17</v>
      </c>
      <c r="S37" s="715">
        <f t="shared" si="12"/>
        <v>100</v>
      </c>
      <c r="T37" s="714" t="s">
        <v>17</v>
      </c>
      <c r="U37" s="715">
        <f t="shared" si="13"/>
        <v>100</v>
      </c>
      <c r="V37" s="714" t="s">
        <v>17</v>
      </c>
      <c r="W37" s="715">
        <f t="shared" si="14"/>
        <v>100</v>
      </c>
      <c r="X37" s="1490"/>
      <c r="Y37" s="3492"/>
      <c r="Z37" s="1491" t="str">
        <f t="shared" si="15"/>
        <v>内部装修状况</v>
      </c>
      <c r="AA37" s="1488">
        <f t="shared" si="3"/>
        <v>1</v>
      </c>
      <c r="AB37" s="1488">
        <f t="shared" si="4"/>
        <v>1</v>
      </c>
      <c r="AC37" s="1488">
        <f t="shared" si="5"/>
        <v>1</v>
      </c>
    </row>
    <row r="38" spans="1:29" s="430" customFormat="1" ht="15">
      <c r="A38" s="427"/>
      <c r="B38" s="1248">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3"/>
      <c r="M38" s="1036"/>
      <c r="N38" s="1036"/>
      <c r="O38" s="1037"/>
      <c r="P38" s="3492"/>
      <c r="Q38" s="716">
        <f t="shared" si="11"/>
        <v>111</v>
      </c>
      <c r="R38" s="717" t="s">
        <v>17</v>
      </c>
      <c r="S38" s="718">
        <f t="shared" si="12"/>
        <v>100</v>
      </c>
      <c r="T38" s="717" t="s">
        <v>17</v>
      </c>
      <c r="U38" s="718">
        <f t="shared" si="13"/>
        <v>100</v>
      </c>
      <c r="V38" s="717" t="s">
        <v>17</v>
      </c>
      <c r="W38" s="718">
        <f t="shared" si="14"/>
        <v>100</v>
      </c>
      <c r="X38" s="719"/>
      <c r="Y38" s="3492"/>
      <c r="Z38" s="720">
        <f t="shared" si="15"/>
        <v>111</v>
      </c>
      <c r="AA38" s="1488">
        <f t="shared" si="3"/>
        <v>1</v>
      </c>
      <c r="AB38" s="1488">
        <f t="shared" si="4"/>
        <v>1</v>
      </c>
      <c r="AC38" s="1488">
        <f t="shared" si="5"/>
        <v>1</v>
      </c>
    </row>
    <row r="39" spans="1:29" ht="15">
      <c r="A39" s="431"/>
      <c r="B39" s="1248">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5"/>
      <c r="M39" s="1026"/>
      <c r="N39" s="1026"/>
      <c r="O39" s="1034"/>
      <c r="P39" s="3492"/>
      <c r="Q39" s="1487">
        <f t="shared" si="11"/>
        <v>111</v>
      </c>
      <c r="R39" s="714" t="s">
        <v>17</v>
      </c>
      <c r="S39" s="715">
        <f t="shared" si="12"/>
        <v>100</v>
      </c>
      <c r="T39" s="714" t="s">
        <v>17</v>
      </c>
      <c r="U39" s="715">
        <f t="shared" si="13"/>
        <v>100</v>
      </c>
      <c r="V39" s="714" t="s">
        <v>17</v>
      </c>
      <c r="W39" s="715">
        <f t="shared" si="14"/>
        <v>100</v>
      </c>
      <c r="X39" s="1490"/>
      <c r="Y39" s="3492"/>
      <c r="Z39" s="1491">
        <f t="shared" si="15"/>
        <v>111</v>
      </c>
      <c r="AA39" s="1488">
        <f t="shared" si="3"/>
        <v>1</v>
      </c>
      <c r="AB39" s="1488">
        <f t="shared" si="4"/>
        <v>1</v>
      </c>
      <c r="AC39" s="1488">
        <f t="shared" si="5"/>
        <v>1</v>
      </c>
    </row>
    <row r="40" spans="1:29" ht="15.75" thickBot="1">
      <c r="A40" s="437"/>
      <c r="B40" s="2032">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5"/>
      <c r="M40" s="1026"/>
      <c r="N40" s="1026"/>
      <c r="O40" s="1034"/>
      <c r="P40" s="3493"/>
      <c r="Q40" s="1487">
        <f t="shared" si="11"/>
        <v>111</v>
      </c>
      <c r="R40" s="714" t="s">
        <v>17</v>
      </c>
      <c r="S40" s="715">
        <f t="shared" si="12"/>
        <v>100</v>
      </c>
      <c r="T40" s="714" t="s">
        <v>17</v>
      </c>
      <c r="U40" s="715">
        <f t="shared" si="13"/>
        <v>100</v>
      </c>
      <c r="V40" s="714" t="s">
        <v>17</v>
      </c>
      <c r="W40" s="715">
        <f t="shared" si="14"/>
        <v>100</v>
      </c>
      <c r="X40" s="1490"/>
      <c r="Y40" s="3493"/>
      <c r="Z40" s="1491">
        <f t="shared" si="15"/>
        <v>111</v>
      </c>
      <c r="AA40" s="1488">
        <f t="shared" si="3"/>
        <v>1</v>
      </c>
      <c r="AB40" s="1488">
        <f t="shared" si="4"/>
        <v>1</v>
      </c>
      <c r="AC40" s="1488">
        <f t="shared" si="5"/>
        <v>1</v>
      </c>
    </row>
    <row r="41" spans="1:29" ht="15">
      <c r="A41" s="438" t="s">
        <v>2156</v>
      </c>
      <c r="B41" s="439"/>
      <c r="C41" s="1269" t="s">
        <v>1</v>
      </c>
      <c r="D41" s="1270"/>
      <c r="E41" s="1271"/>
      <c r="F41" s="1272"/>
      <c r="G41" s="1273"/>
      <c r="H41" s="1274"/>
      <c r="I41" s="1271"/>
      <c r="J41" s="1274"/>
      <c r="K41" s="723"/>
      <c r="L41" s="1038"/>
      <c r="M41" s="1039"/>
      <c r="N41" s="1026"/>
      <c r="O41" s="1039"/>
      <c r="P41" s="3485" t="str">
        <f>A41</f>
        <v>成交单价（元/平方米）</v>
      </c>
      <c r="Q41" s="3485"/>
      <c r="R41" s="3486">
        <f>E41</f>
        <v>0</v>
      </c>
      <c r="S41" s="3486"/>
      <c r="T41" s="3486">
        <f>G41</f>
        <v>0</v>
      </c>
      <c r="U41" s="3486"/>
      <c r="V41" s="3486">
        <f>I41</f>
        <v>0</v>
      </c>
      <c r="W41" s="3486"/>
      <c r="X41" s="699"/>
      <c r="Y41" s="721"/>
      <c r="Z41" s="699"/>
      <c r="AA41" s="699"/>
      <c r="AB41" s="699"/>
      <c r="AC41" s="699"/>
    </row>
    <row r="42" spans="1:29" ht="15.75" thickBot="1">
      <c r="A42" s="445" t="s">
        <v>2248</v>
      </c>
      <c r="B42" s="446"/>
      <c r="C42" s="1275" t="e">
        <f>R43</f>
        <v>#DIV/0!</v>
      </c>
      <c r="D42" s="2489" t="s">
        <v>2638</v>
      </c>
      <c r="E42" s="1276" t="e">
        <f>R42</f>
        <v>#DIV/0!</v>
      </c>
      <c r="F42" s="2490"/>
      <c r="G42" s="1275" t="e">
        <f>T42</f>
        <v>#DIV/0!</v>
      </c>
      <c r="H42" s="2490"/>
      <c r="I42" s="1276" t="e">
        <f>V42</f>
        <v>#DIV/0!</v>
      </c>
      <c r="J42" s="2490"/>
      <c r="K42" s="2492">
        <f>F42+H42+J42</f>
        <v>0</v>
      </c>
      <c r="L42" s="1038"/>
      <c r="M42" s="1039"/>
      <c r="N42" s="1026"/>
      <c r="O42" s="1039"/>
      <c r="P42" s="3485" t="str">
        <f>A42</f>
        <v>比较价值（元/平方米）</v>
      </c>
      <c r="Q42" s="3485"/>
      <c r="R42" s="3486" t="e">
        <f>IF(F1="售价",ROUND(PRODUCT(R41,AA7:AA40),0),ROUND(PRODUCT(R41,AA7:AA40),1))</f>
        <v>#DIV/0!</v>
      </c>
      <c r="S42" s="3486"/>
      <c r="T42" s="3486" t="e">
        <f>IF(F1="售价",ROUND(PRODUCT(T41,AB7:AB40),0),ROUND(PRODUCT(T41,AB7:AB40),1))</f>
        <v>#DIV/0!</v>
      </c>
      <c r="U42" s="3486"/>
      <c r="V42" s="3486" t="e">
        <f>IF(F1="售价",ROUND(PRODUCT(V41,AC7:AC40),0),ROUND(PRODUCT(V41,AC7:AC40),1))</f>
        <v>#DIV/0!</v>
      </c>
      <c r="W42" s="3486"/>
      <c r="X42" s="699"/>
      <c r="Y42" s="699"/>
      <c r="Z42" s="699"/>
      <c r="AA42" s="699"/>
      <c r="AB42" s="699"/>
      <c r="AC42" s="699"/>
    </row>
    <row r="43" spans="1:29" ht="15.75" thickBot="1">
      <c r="A43" s="449" t="s">
        <v>2249</v>
      </c>
      <c r="B43" s="450"/>
      <c r="C43" s="1278" t="e">
        <f>R43</f>
        <v>#DIV/0!</v>
      </c>
      <c r="D43" s="1278"/>
      <c r="E43" s="1278"/>
      <c r="F43" s="1278"/>
      <c r="G43" s="1278"/>
      <c r="H43" s="1278"/>
      <c r="I43" s="1278"/>
      <c r="J43" s="1278"/>
      <c r="K43" s="724"/>
      <c r="L43" s="1038"/>
      <c r="M43" s="1039"/>
      <c r="N43" s="1039"/>
      <c r="O43" s="1039"/>
      <c r="P43" s="3482" t="str">
        <f>A43</f>
        <v>估价对象XX用房的比较价值（楼面单价，元/平方米）</v>
      </c>
      <c r="Q43" s="3483"/>
      <c r="R43" s="3484" t="e">
        <f>IF(F1="售价",ROUND(IF(D42="简单平均",AVERAGE(R42:V42),R42*F42+T42*H42+V42*J42),0),ROUND(IF(D42="简单平均",AVERAGE(R42:V42),R42*F42+T42*H42+V42*J42),1))</f>
        <v>#DIV/0!</v>
      </c>
      <c r="S43" s="3484"/>
      <c r="T43" s="3484"/>
      <c r="U43" s="3484"/>
      <c r="V43" s="3484"/>
      <c r="W43" s="3484"/>
      <c r="X43" s="699"/>
      <c r="Y43" s="699"/>
      <c r="Z43" s="699"/>
      <c r="AA43" s="699"/>
      <c r="AB43" s="699"/>
      <c r="AC43" s="699"/>
    </row>
    <row r="44" spans="1:29">
      <c r="A44" s="2904"/>
      <c r="B44" s="2904"/>
      <c r="C44" s="2904"/>
      <c r="D44" s="2904"/>
      <c r="E44" s="2904"/>
      <c r="F44" s="2904"/>
      <c r="G44" s="2908"/>
      <c r="H44" s="2904"/>
      <c r="I44" s="2904"/>
      <c r="J44" s="2904"/>
      <c r="K44" s="2909"/>
      <c r="L44" s="1001"/>
      <c r="M44" s="1039"/>
      <c r="N44" s="1039"/>
      <c r="O44" s="1039"/>
    </row>
    <row r="45" spans="1:29">
      <c r="A45" s="2904"/>
      <c r="B45" s="2904"/>
      <c r="C45" s="2904"/>
      <c r="D45" s="2904"/>
      <c r="E45" s="2904"/>
      <c r="F45" s="2904"/>
      <c r="G45" s="2904"/>
      <c r="H45" s="2904"/>
      <c r="I45" s="2904"/>
      <c r="J45" s="2904"/>
      <c r="K45" s="2909"/>
      <c r="L45" s="1001"/>
      <c r="M45" s="1039"/>
      <c r="N45" s="1039"/>
      <c r="O45" s="1039"/>
    </row>
    <row r="46" spans="1:29" ht="13.5" customHeight="1">
      <c r="A46" s="2904"/>
      <c r="B46" s="2904"/>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9"/>
      <c r="L46" s="1001"/>
      <c r="M46" s="1039"/>
      <c r="N46" s="1039"/>
      <c r="O46" s="1039"/>
    </row>
    <row r="47" spans="1:29" ht="13.5" customHeight="1">
      <c r="A47" s="2904"/>
      <c r="B47" s="2904"/>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9"/>
      <c r="L47" s="1001"/>
      <c r="M47" s="1039"/>
      <c r="N47" s="1039"/>
      <c r="O47" s="1039"/>
    </row>
    <row r="48" spans="1:29" s="459" customFormat="1" ht="13.5" customHeight="1">
      <c r="A48" s="2907"/>
      <c r="B48" s="2907"/>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2"/>
      <c r="L48" s="1042"/>
      <c r="M48" s="1040"/>
      <c r="N48" s="1040"/>
      <c r="O48" s="1040"/>
    </row>
    <row r="49" spans="1:17" s="459" customFormat="1">
      <c r="A49" s="2907"/>
      <c r="B49" s="2910"/>
      <c r="C49" s="2911"/>
      <c r="D49" s="2907"/>
      <c r="E49" s="2907"/>
      <c r="F49" s="2907"/>
      <c r="G49" s="2907"/>
      <c r="H49" s="2907"/>
      <c r="I49" s="2907"/>
      <c r="J49" s="2907"/>
      <c r="K49" s="2912"/>
      <c r="L49" s="1042"/>
      <c r="M49" s="1040"/>
      <c r="N49" s="1040"/>
      <c r="O49" s="1040"/>
    </row>
    <row r="50" spans="1:17">
      <c r="A50" s="2904"/>
      <c r="B50" s="2910"/>
      <c r="C50" s="2911"/>
      <c r="D50" s="2904"/>
      <c r="E50" s="2904"/>
      <c r="F50" s="2904"/>
      <c r="G50" s="2904"/>
      <c r="H50" s="2904"/>
      <c r="I50" s="2904"/>
      <c r="J50" s="2904"/>
      <c r="K50" s="2909"/>
      <c r="L50" s="1001"/>
      <c r="M50" s="1039"/>
      <c r="N50" s="1039"/>
      <c r="O50" s="1039"/>
    </row>
    <row r="51" spans="1:17" ht="21.75" thickBot="1">
      <c r="A51" s="703" t="s">
        <v>2253</v>
      </c>
      <c r="B51" s="699"/>
      <c r="C51" s="704"/>
      <c r="D51" s="704"/>
      <c r="E51" s="704"/>
      <c r="F51" s="705"/>
      <c r="G51" s="705"/>
      <c r="H51" s="704"/>
      <c r="I51" s="704"/>
      <c r="J51" s="704"/>
      <c r="K51" s="1053"/>
      <c r="L51" s="1054"/>
      <c r="M51" s="1052"/>
      <c r="N51" s="1052"/>
      <c r="O51" s="1052"/>
      <c r="P51" s="460"/>
      <c r="Q51" s="461"/>
    </row>
    <row r="52" spans="1:17" s="465" customFormat="1" ht="15">
      <c r="A52" s="462" t="s">
        <v>2127</v>
      </c>
      <c r="B52" s="463"/>
      <c r="C52" s="1299" t="str">
        <f>YEAR(C7)&amp;"-"&amp;MONTH(C7)</f>
        <v>2022-11</v>
      </c>
      <c r="D52" s="1300">
        <f>EDATE(C52,-1)</f>
        <v>44835</v>
      </c>
      <c r="E52" s="1300">
        <f t="shared" ref="E52:O52" si="16">EDATE(D52,-1)</f>
        <v>44805</v>
      </c>
      <c r="F52" s="1300">
        <f t="shared" si="16"/>
        <v>44774</v>
      </c>
      <c r="G52" s="1300">
        <f t="shared" si="16"/>
        <v>44743</v>
      </c>
      <c r="H52" s="1300">
        <f t="shared" si="16"/>
        <v>44713</v>
      </c>
      <c r="I52" s="1300">
        <f t="shared" si="16"/>
        <v>44682</v>
      </c>
      <c r="J52" s="1300">
        <f t="shared" si="16"/>
        <v>44652</v>
      </c>
      <c r="K52" s="1300">
        <f t="shared" si="16"/>
        <v>44621</v>
      </c>
      <c r="L52" s="1300">
        <f t="shared" si="16"/>
        <v>44593</v>
      </c>
      <c r="M52" s="1300">
        <f t="shared" si="16"/>
        <v>44562</v>
      </c>
      <c r="N52" s="1300">
        <f t="shared" si="16"/>
        <v>44531</v>
      </c>
      <c r="O52" s="1300">
        <f t="shared" si="16"/>
        <v>44501</v>
      </c>
      <c r="P52" s="464"/>
    </row>
    <row r="53" spans="1:17" s="113" customFormat="1" ht="15">
      <c r="A53" s="466"/>
      <c r="B53" s="467"/>
      <c r="C53" s="1298">
        <v>100</v>
      </c>
      <c r="D53" s="469"/>
      <c r="E53" s="469"/>
      <c r="F53" s="469"/>
      <c r="G53" s="469"/>
      <c r="H53" s="469"/>
      <c r="I53" s="469"/>
      <c r="J53" s="469"/>
      <c r="K53" s="469"/>
      <c r="L53" s="469"/>
      <c r="M53" s="470"/>
      <c r="N53" s="469"/>
      <c r="O53" s="471"/>
      <c r="P53" s="461"/>
    </row>
    <row r="54" spans="1:17" s="113" customFormat="1" ht="15.75" thickBot="1">
      <c r="A54" s="472" t="s">
        <v>2164</v>
      </c>
      <c r="B54" s="473"/>
      <c r="C54" s="474"/>
      <c r="D54" s="475"/>
      <c r="E54" s="475"/>
      <c r="F54" s="475"/>
      <c r="G54" s="475"/>
      <c r="H54" s="475"/>
      <c r="I54" s="475"/>
      <c r="J54" s="475"/>
      <c r="K54" s="475"/>
      <c r="L54" s="475"/>
      <c r="M54" s="476"/>
      <c r="N54" s="2949"/>
      <c r="O54" s="2950"/>
      <c r="P54" s="461"/>
      <c r="Q54" s="461"/>
    </row>
    <row r="55" spans="1:17" s="113" customFormat="1" ht="15">
      <c r="A55" s="478" t="s">
        <v>2129</v>
      </c>
      <c r="B55" s="467"/>
      <c r="C55" s="479" t="s">
        <v>2231</v>
      </c>
      <c r="D55" s="480"/>
      <c r="E55" s="480"/>
      <c r="F55" s="480"/>
      <c r="G55" s="480"/>
      <c r="H55" s="480"/>
      <c r="I55" s="480"/>
      <c r="J55" s="480"/>
      <c r="K55" s="480"/>
      <c r="L55" s="481"/>
      <c r="M55" s="482"/>
      <c r="N55" s="1044"/>
      <c r="O55" s="1044"/>
      <c r="P55" s="483"/>
      <c r="Q55" s="461"/>
    </row>
    <row r="56" spans="1:17" s="113" customFormat="1" ht="15.75" thickBot="1">
      <c r="A56" s="478"/>
      <c r="B56" s="467"/>
      <c r="C56" s="595">
        <v>100</v>
      </c>
      <c r="D56" s="469"/>
      <c r="E56" s="469"/>
      <c r="F56" s="469"/>
      <c r="G56" s="469"/>
      <c r="H56" s="469"/>
      <c r="I56" s="469"/>
      <c r="J56" s="469"/>
      <c r="K56" s="469"/>
      <c r="L56" s="469"/>
      <c r="M56" s="471"/>
      <c r="N56" s="1044"/>
      <c r="O56" s="1044"/>
      <c r="P56" s="461"/>
      <c r="Q56" s="461"/>
    </row>
    <row r="57" spans="1:17">
      <c r="A57" s="484" t="s">
        <v>2167</v>
      </c>
      <c r="B57" s="485" t="s">
        <v>2133</v>
      </c>
      <c r="C57" s="486">
        <f>C9</f>
        <v>0</v>
      </c>
      <c r="D57" s="487"/>
      <c r="E57" s="487"/>
      <c r="F57" s="487"/>
      <c r="G57" s="487"/>
      <c r="H57" s="487"/>
      <c r="I57" s="487"/>
      <c r="J57" s="487"/>
      <c r="K57" s="488"/>
      <c r="L57" s="489"/>
      <c r="M57" s="490"/>
      <c r="N57" s="1045"/>
      <c r="O57" s="1045"/>
      <c r="P57" s="45"/>
      <c r="Q57" s="461"/>
    </row>
    <row r="58" spans="1:17" ht="15.75" thickBot="1">
      <c r="A58" s="491"/>
      <c r="B58" s="492"/>
      <c r="C58" s="493">
        <v>100</v>
      </c>
      <c r="D58" s="493"/>
      <c r="E58" s="493"/>
      <c r="F58" s="493"/>
      <c r="G58" s="493"/>
      <c r="H58" s="493"/>
      <c r="I58" s="493"/>
      <c r="J58" s="493"/>
      <c r="K58" s="493"/>
      <c r="L58" s="493"/>
      <c r="M58" s="494"/>
      <c r="N58" s="1046"/>
      <c r="O58" s="1046"/>
      <c r="P58" s="45"/>
      <c r="Q58" s="461"/>
    </row>
    <row r="59" spans="1:17" ht="27.75" thickTop="1">
      <c r="A59" s="491"/>
      <c r="B59" s="495" t="s">
        <v>2136</v>
      </c>
      <c r="C59" s="496" t="s">
        <v>2168</v>
      </c>
      <c r="D59" s="496" t="s">
        <v>2169</v>
      </c>
      <c r="E59" s="496" t="s">
        <v>2170</v>
      </c>
      <c r="F59" s="496" t="s">
        <v>2171</v>
      </c>
      <c r="G59" s="496" t="s">
        <v>2172</v>
      </c>
      <c r="H59" s="496" t="s">
        <v>2173</v>
      </c>
      <c r="I59" s="496" t="s">
        <v>2174</v>
      </c>
      <c r="J59" s="496"/>
      <c r="K59" s="497"/>
      <c r="L59" s="498"/>
      <c r="M59" s="499"/>
      <c r="N59" s="1045"/>
      <c r="O59" s="1045"/>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6"/>
      <c r="O60" s="1046"/>
      <c r="P60" s="45"/>
      <c r="Q60" s="461"/>
    </row>
    <row r="61" spans="1:17" ht="15.75" thickTop="1">
      <c r="A61" s="491"/>
      <c r="B61" s="503" t="s">
        <v>2137</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6"/>
      <c r="O61" s="1046"/>
      <c r="P61" s="45"/>
      <c r="Q61" s="461"/>
    </row>
    <row r="62" spans="1:17" ht="15">
      <c r="A62" s="491"/>
      <c r="B62" s="505"/>
      <c r="C62" s="506"/>
      <c r="D62" s="506"/>
      <c r="E62" s="506"/>
      <c r="F62" s="506"/>
      <c r="G62" s="506"/>
      <c r="H62" s="506"/>
      <c r="I62" s="506"/>
      <c r="J62" s="506"/>
      <c r="K62" s="507"/>
      <c r="L62" s="508"/>
      <c r="M62" s="509"/>
      <c r="N62" s="1045"/>
      <c r="O62" s="1045"/>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6"/>
      <c r="O63" s="1046"/>
      <c r="P63" s="45"/>
      <c r="Q63" s="461"/>
    </row>
    <row r="64" spans="1:17" s="430" customFormat="1" ht="15.75" thickTop="1">
      <c r="A64" s="510"/>
      <c r="B64" s="495">
        <f>B12</f>
        <v>111</v>
      </c>
      <c r="C64" s="511"/>
      <c r="D64" s="511"/>
      <c r="E64" s="511"/>
      <c r="F64" s="511"/>
      <c r="G64" s="511"/>
      <c r="H64" s="512"/>
      <c r="I64" s="512"/>
      <c r="J64" s="512"/>
      <c r="K64" s="512"/>
      <c r="L64" s="513"/>
      <c r="M64" s="514"/>
      <c r="N64" s="1047"/>
      <c r="O64" s="1047"/>
      <c r="P64" s="515"/>
      <c r="Q64" s="516"/>
    </row>
    <row r="65" spans="1:17" s="430" customFormat="1" ht="15.75" thickBot="1">
      <c r="A65" s="510"/>
      <c r="B65" s="500"/>
      <c r="C65" s="517"/>
      <c r="D65" s="493"/>
      <c r="E65" s="493"/>
      <c r="F65" s="493"/>
      <c r="G65" s="493"/>
      <c r="H65" s="493"/>
      <c r="I65" s="493"/>
      <c r="J65" s="493"/>
      <c r="K65" s="493"/>
      <c r="L65" s="493"/>
      <c r="M65" s="494"/>
      <c r="N65" s="1046"/>
      <c r="O65" s="1046"/>
      <c r="P65" s="515"/>
      <c r="Q65" s="516"/>
    </row>
    <row r="66" spans="1:17" s="430" customFormat="1" ht="15.75" thickTop="1">
      <c r="A66" s="510"/>
      <c r="B66" s="495">
        <f>B13</f>
        <v>111</v>
      </c>
      <c r="C66" s="511"/>
      <c r="D66" s="511"/>
      <c r="E66" s="511"/>
      <c r="F66" s="511"/>
      <c r="G66" s="511"/>
      <c r="H66" s="512"/>
      <c r="I66" s="512"/>
      <c r="J66" s="512"/>
      <c r="K66" s="512"/>
      <c r="L66" s="513"/>
      <c r="M66" s="514"/>
      <c r="N66" s="1047"/>
      <c r="O66" s="1047"/>
      <c r="P66" s="429"/>
      <c r="Q66" s="518"/>
    </row>
    <row r="67" spans="1:17" s="430" customFormat="1" ht="15.75" thickBot="1">
      <c r="A67" s="510"/>
      <c r="B67" s="500"/>
      <c r="C67" s="517"/>
      <c r="D67" s="493"/>
      <c r="E67" s="493"/>
      <c r="F67" s="493"/>
      <c r="G67" s="517"/>
      <c r="H67" s="519"/>
      <c r="I67" s="519"/>
      <c r="J67" s="519"/>
      <c r="K67" s="519"/>
      <c r="L67" s="519"/>
      <c r="M67" s="520"/>
      <c r="N67" s="1047"/>
      <c r="O67" s="1047"/>
      <c r="P67" s="515"/>
      <c r="Q67" s="516"/>
    </row>
    <row r="68" spans="1:17" s="430" customFormat="1" ht="15.75" thickTop="1">
      <c r="A68" s="510"/>
      <c r="B68" s="503">
        <f>B14</f>
        <v>111</v>
      </c>
      <c r="C68" s="480"/>
      <c r="D68" s="480"/>
      <c r="E68" s="480"/>
      <c r="F68" s="480"/>
      <c r="G68" s="480"/>
      <c r="H68" s="521"/>
      <c r="I68" s="521"/>
      <c r="J68" s="521"/>
      <c r="K68" s="521"/>
      <c r="L68" s="522"/>
      <c r="M68" s="523"/>
      <c r="N68" s="1047"/>
      <c r="O68" s="1047"/>
      <c r="P68" s="524"/>
      <c r="Q68" s="516"/>
    </row>
    <row r="69" spans="1:17" s="430" customFormat="1" ht="15.75" thickBot="1">
      <c r="A69" s="525"/>
      <c r="B69" s="526"/>
      <c r="C69" s="527"/>
      <c r="D69" s="527"/>
      <c r="E69" s="527"/>
      <c r="F69" s="527"/>
      <c r="G69" s="527"/>
      <c r="H69" s="528"/>
      <c r="I69" s="528"/>
      <c r="J69" s="528"/>
      <c r="K69" s="528"/>
      <c r="L69" s="528"/>
      <c r="M69" s="529"/>
      <c r="N69" s="1047"/>
      <c r="O69" s="1047"/>
      <c r="P69" s="515"/>
      <c r="Q69" s="516"/>
    </row>
    <row r="70" spans="1:17">
      <c r="A70" s="484" t="s">
        <v>2138</v>
      </c>
      <c r="B70" s="485" t="s">
        <v>2284</v>
      </c>
      <c r="C70" s="530" t="s">
        <v>2176</v>
      </c>
      <c r="D70" s="530" t="s">
        <v>2177</v>
      </c>
      <c r="E70" s="530" t="s">
        <v>2178</v>
      </c>
      <c r="F70" s="530" t="s">
        <v>2179</v>
      </c>
      <c r="G70" s="530" t="s">
        <v>2180</v>
      </c>
      <c r="H70" s="486"/>
      <c r="I70" s="486"/>
      <c r="J70" s="486"/>
      <c r="K70" s="531"/>
      <c r="L70" s="532"/>
      <c r="M70" s="533"/>
      <c r="N70" s="1045"/>
      <c r="O70" s="1045"/>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6"/>
      <c r="O71" s="1046"/>
      <c r="P71" s="45"/>
      <c r="Q71" s="461"/>
    </row>
    <row r="72" spans="1:17" ht="15.75" thickTop="1">
      <c r="A72" s="491"/>
      <c r="B72" s="495" t="s">
        <v>2181</v>
      </c>
      <c r="C72" s="535" t="s">
        <v>2176</v>
      </c>
      <c r="D72" s="535" t="s">
        <v>2177</v>
      </c>
      <c r="E72" s="535" t="s">
        <v>2178</v>
      </c>
      <c r="F72" s="535" t="s">
        <v>2179</v>
      </c>
      <c r="G72" s="535" t="s">
        <v>2180</v>
      </c>
      <c r="H72" s="496"/>
      <c r="I72" s="496"/>
      <c r="J72" s="496"/>
      <c r="K72" s="497"/>
      <c r="L72" s="498"/>
      <c r="M72" s="499"/>
      <c r="N72" s="1045"/>
      <c r="O72" s="1045"/>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6"/>
      <c r="O73" s="1046"/>
      <c r="P73" s="45"/>
      <c r="Q73" s="461"/>
    </row>
    <row r="74" spans="1:17" ht="15.75" thickTop="1">
      <c r="A74" s="491"/>
      <c r="B74" s="495" t="s">
        <v>2182</v>
      </c>
      <c r="C74" s="535" t="s">
        <v>2176</v>
      </c>
      <c r="D74" s="535" t="s">
        <v>2177</v>
      </c>
      <c r="E74" s="535" t="s">
        <v>2178</v>
      </c>
      <c r="F74" s="535" t="s">
        <v>2179</v>
      </c>
      <c r="G74" s="535" t="s">
        <v>2180</v>
      </c>
      <c r="H74" s="496"/>
      <c r="I74" s="496"/>
      <c r="J74" s="496"/>
      <c r="K74" s="497"/>
      <c r="L74" s="498"/>
      <c r="M74" s="499"/>
      <c r="N74" s="1045"/>
      <c r="O74" s="1045"/>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6"/>
      <c r="O75" s="1046"/>
      <c r="P75" s="45"/>
      <c r="Q75" s="461"/>
    </row>
    <row r="76" spans="1:17" ht="15.75" thickTop="1">
      <c r="A76" s="491"/>
      <c r="B76" s="503" t="s">
        <v>2268</v>
      </c>
      <c r="C76" s="616" t="s">
        <v>2254</v>
      </c>
      <c r="D76" s="616" t="s">
        <v>2255</v>
      </c>
      <c r="E76" s="616" t="s">
        <v>2256</v>
      </c>
      <c r="F76" s="616" t="s">
        <v>2257</v>
      </c>
      <c r="G76" s="616" t="s">
        <v>2258</v>
      </c>
      <c r="H76" s="496"/>
      <c r="I76" s="496"/>
      <c r="J76" s="496"/>
      <c r="K76" s="496"/>
      <c r="L76" s="496"/>
      <c r="M76" s="1244"/>
      <c r="N76" s="1046"/>
      <c r="O76" s="1046"/>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6"/>
      <c r="O77" s="1046"/>
      <c r="P77" s="45"/>
      <c r="Q77" s="461"/>
    </row>
    <row r="78" spans="1:17" ht="15.75" thickTop="1">
      <c r="A78" s="491"/>
      <c r="B78" s="495" t="s">
        <v>2277</v>
      </c>
      <c r="C78" s="535" t="s">
        <v>2176</v>
      </c>
      <c r="D78" s="535" t="s">
        <v>2177</v>
      </c>
      <c r="E78" s="535" t="s">
        <v>2178</v>
      </c>
      <c r="F78" s="535" t="s">
        <v>2179</v>
      </c>
      <c r="G78" s="535" t="s">
        <v>2180</v>
      </c>
      <c r="H78" s="496"/>
      <c r="I78" s="496"/>
      <c r="J78" s="496"/>
      <c r="K78" s="497"/>
      <c r="L78" s="498"/>
      <c r="M78" s="499"/>
      <c r="N78" s="1045"/>
      <c r="O78" s="1045"/>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6"/>
      <c r="O79" s="1046"/>
      <c r="P79" s="45"/>
      <c r="Q79" s="461"/>
    </row>
    <row r="80" spans="1:17" s="113" customFormat="1" ht="15.75" thickTop="1">
      <c r="A80" s="536"/>
      <c r="B80" s="495">
        <f>B25</f>
        <v>111</v>
      </c>
      <c r="C80" s="511"/>
      <c r="D80" s="511"/>
      <c r="E80" s="511"/>
      <c r="F80" s="511"/>
      <c r="G80" s="511"/>
      <c r="H80" s="511"/>
      <c r="I80" s="511"/>
      <c r="J80" s="511"/>
      <c r="K80" s="511"/>
      <c r="L80" s="537"/>
      <c r="M80" s="538"/>
      <c r="N80" s="1044"/>
      <c r="O80" s="1044"/>
      <c r="P80" s="45"/>
      <c r="Q80" s="461"/>
    </row>
    <row r="81" spans="1:17" s="113" customFormat="1" ht="15.75" thickBot="1">
      <c r="A81" s="536"/>
      <c r="B81" s="500"/>
      <c r="C81" s="517"/>
      <c r="D81" s="493"/>
      <c r="E81" s="493"/>
      <c r="F81" s="493"/>
      <c r="G81" s="493"/>
      <c r="H81" s="493"/>
      <c r="I81" s="493"/>
      <c r="J81" s="493"/>
      <c r="K81" s="493"/>
      <c r="L81" s="493"/>
      <c r="M81" s="494"/>
      <c r="N81" s="1046"/>
      <c r="O81" s="1046"/>
      <c r="P81" s="45"/>
      <c r="Q81" s="461"/>
    </row>
    <row r="82" spans="1:17" s="113" customFormat="1" ht="15.75" thickTop="1">
      <c r="A82" s="536"/>
      <c r="B82" s="495">
        <f>B26</f>
        <v>111</v>
      </c>
      <c r="C82" s="511"/>
      <c r="D82" s="511"/>
      <c r="E82" s="511"/>
      <c r="F82" s="511"/>
      <c r="G82" s="511"/>
      <c r="H82" s="511"/>
      <c r="I82" s="511"/>
      <c r="J82" s="511"/>
      <c r="K82" s="511"/>
      <c r="L82" s="537"/>
      <c r="M82" s="538"/>
      <c r="N82" s="1044"/>
      <c r="O82" s="1044"/>
      <c r="P82" s="45"/>
      <c r="Q82" s="461"/>
    </row>
    <row r="83" spans="1:17" s="113" customFormat="1" ht="15.75" thickBot="1">
      <c r="A83" s="536"/>
      <c r="B83" s="500"/>
      <c r="C83" s="517"/>
      <c r="D83" s="493"/>
      <c r="E83" s="493"/>
      <c r="F83" s="493"/>
      <c r="G83" s="493"/>
      <c r="H83" s="493"/>
      <c r="I83" s="493"/>
      <c r="J83" s="493"/>
      <c r="K83" s="493"/>
      <c r="L83" s="493"/>
      <c r="M83" s="494"/>
      <c r="N83" s="1046"/>
      <c r="O83" s="1046"/>
      <c r="P83" s="45"/>
      <c r="Q83" s="461"/>
    </row>
    <row r="84" spans="1:17" s="430" customFormat="1" ht="15.75" thickTop="1">
      <c r="A84" s="510"/>
      <c r="B84" s="495">
        <f>B27</f>
        <v>111</v>
      </c>
      <c r="C84" s="511"/>
      <c r="D84" s="511"/>
      <c r="E84" s="511"/>
      <c r="F84" s="511"/>
      <c r="G84" s="511"/>
      <c r="H84" s="511"/>
      <c r="I84" s="511"/>
      <c r="J84" s="511"/>
      <c r="K84" s="511"/>
      <c r="L84" s="537"/>
      <c r="M84" s="538"/>
      <c r="N84" s="1047"/>
      <c r="O84" s="1047"/>
      <c r="P84" s="515"/>
      <c r="Q84" s="516"/>
    </row>
    <row r="85" spans="1:17" s="430" customFormat="1" ht="15.75" thickBot="1">
      <c r="A85" s="510"/>
      <c r="B85" s="500"/>
      <c r="C85" s="517"/>
      <c r="D85" s="493"/>
      <c r="E85" s="493"/>
      <c r="F85" s="493"/>
      <c r="G85" s="493"/>
      <c r="H85" s="493"/>
      <c r="I85" s="493"/>
      <c r="J85" s="493"/>
      <c r="K85" s="493"/>
      <c r="L85" s="493"/>
      <c r="M85" s="494"/>
      <c r="N85" s="1047"/>
      <c r="O85" s="1047"/>
      <c r="P85" s="515"/>
      <c r="Q85" s="516"/>
    </row>
    <row r="86" spans="1:17" ht="15.75" thickTop="1">
      <c r="A86" s="491"/>
      <c r="B86" s="503">
        <f>B28</f>
        <v>111</v>
      </c>
      <c r="C86" s="480"/>
      <c r="D86" s="480"/>
      <c r="E86" s="480"/>
      <c r="F86" s="480"/>
      <c r="G86" s="544"/>
      <c r="H86" s="544"/>
      <c r="I86" s="544"/>
      <c r="J86" s="544"/>
      <c r="K86" s="545"/>
      <c r="L86" s="546"/>
      <c r="M86" s="547"/>
      <c r="N86" s="1045"/>
      <c r="O86" s="1045"/>
      <c r="P86" s="45"/>
      <c r="Q86" s="461"/>
    </row>
    <row r="87" spans="1:17" ht="15.75" thickBot="1">
      <c r="A87" s="2065"/>
      <c r="B87" s="526"/>
      <c r="C87" s="527"/>
      <c r="D87" s="527"/>
      <c r="E87" s="527"/>
      <c r="F87" s="527"/>
      <c r="G87" s="548"/>
      <c r="H87" s="548"/>
      <c r="I87" s="548"/>
      <c r="J87" s="548"/>
      <c r="K87" s="548"/>
      <c r="L87" s="548"/>
      <c r="M87" s="549"/>
      <c r="N87" s="1046"/>
      <c r="O87" s="1046"/>
      <c r="P87" s="45"/>
      <c r="Q87" s="461"/>
    </row>
    <row r="88" spans="1:17">
      <c r="A88" s="484" t="s">
        <v>2142</v>
      </c>
      <c r="B88" s="485" t="s">
        <v>2191</v>
      </c>
      <c r="C88" s="487"/>
      <c r="D88" s="487"/>
      <c r="E88" s="487"/>
      <c r="F88" s="487"/>
      <c r="G88" s="487"/>
      <c r="H88" s="487"/>
      <c r="I88" s="487"/>
      <c r="J88" s="487"/>
      <c r="K88" s="488"/>
      <c r="L88" s="489"/>
      <c r="M88" s="490"/>
      <c r="N88" s="1045"/>
      <c r="O88" s="1045"/>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6"/>
      <c r="O89" s="1046"/>
      <c r="P89" s="45"/>
      <c r="Q89" s="461"/>
    </row>
    <row r="90" spans="1:17" ht="15.75" thickTop="1">
      <c r="A90" s="491"/>
      <c r="B90" s="495" t="s">
        <v>2192</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4"/>
      <c r="O90" s="1044"/>
      <c r="P90" s="45"/>
      <c r="Q90" s="461"/>
    </row>
    <row r="91" spans="1:17" s="430" customFormat="1">
      <c r="A91" s="550"/>
      <c r="B91" s="551"/>
      <c r="C91" s="552"/>
      <c r="D91" s="552"/>
      <c r="E91" s="552"/>
      <c r="F91" s="552"/>
      <c r="G91" s="552"/>
      <c r="H91" s="552"/>
      <c r="I91" s="552"/>
      <c r="J91" s="553"/>
      <c r="K91" s="553"/>
      <c r="L91" s="554"/>
      <c r="M91" s="555"/>
      <c r="N91" s="1047"/>
      <c r="O91" s="1047"/>
      <c r="P91" s="515"/>
      <c r="Q91" s="516"/>
    </row>
    <row r="92" spans="1:17" s="430" customFormat="1" ht="15.75" thickBot="1">
      <c r="A92" s="510"/>
      <c r="B92" s="500"/>
      <c r="C92" s="517"/>
      <c r="D92" s="493"/>
      <c r="E92" s="493"/>
      <c r="F92" s="493"/>
      <c r="G92" s="493"/>
      <c r="H92" s="493"/>
      <c r="I92" s="493"/>
      <c r="J92" s="493"/>
      <c r="K92" s="493"/>
      <c r="L92" s="493"/>
      <c r="M92" s="494"/>
      <c r="N92" s="1046"/>
      <c r="O92" s="1046"/>
      <c r="P92" s="515"/>
      <c r="Q92" s="516"/>
    </row>
    <row r="93" spans="1:17" ht="15" thickTop="1">
      <c r="A93" s="556"/>
      <c r="B93" s="495" t="s">
        <v>2193</v>
      </c>
      <c r="C93" s="511"/>
      <c r="D93" s="511"/>
      <c r="E93" s="540"/>
      <c r="F93" s="540"/>
      <c r="G93" s="540"/>
      <c r="H93" s="540"/>
      <c r="I93" s="540"/>
      <c r="J93" s="540"/>
      <c r="K93" s="541"/>
      <c r="L93" s="542"/>
      <c r="M93" s="543"/>
      <c r="N93" s="1045"/>
      <c r="O93" s="1045"/>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6"/>
      <c r="O94" s="1046"/>
      <c r="P94" s="45"/>
      <c r="Q94" s="461"/>
    </row>
    <row r="95" spans="1:17" ht="15" thickTop="1">
      <c r="A95" s="556"/>
      <c r="B95" s="495" t="s">
        <v>2195</v>
      </c>
      <c r="C95" s="511"/>
      <c r="D95" s="511"/>
      <c r="E95" s="511"/>
      <c r="F95" s="540"/>
      <c r="G95" s="540"/>
      <c r="H95" s="540"/>
      <c r="I95" s="540"/>
      <c r="J95" s="540"/>
      <c r="K95" s="541"/>
      <c r="L95" s="542"/>
      <c r="M95" s="543"/>
      <c r="N95" s="1045"/>
      <c r="O95" s="1045"/>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6"/>
      <c r="O96" s="1046"/>
      <c r="P96" s="45"/>
      <c r="Q96" s="461"/>
    </row>
    <row r="97" spans="1:17" ht="15" thickTop="1">
      <c r="A97" s="556"/>
      <c r="B97" s="495" t="s">
        <v>1634</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5"/>
      <c r="O97" s="1045"/>
      <c r="P97" s="45"/>
      <c r="Q97" s="461"/>
    </row>
    <row r="98" spans="1:17">
      <c r="A98" s="556"/>
      <c r="B98" s="503"/>
      <c r="C98" s="560">
        <v>0.5</v>
      </c>
      <c r="D98" s="560">
        <v>0.6</v>
      </c>
      <c r="E98" s="560">
        <v>0.7</v>
      </c>
      <c r="F98" s="560">
        <v>0.8</v>
      </c>
      <c r="G98" s="560">
        <v>0.9</v>
      </c>
      <c r="H98" s="560">
        <v>1.0001</v>
      </c>
      <c r="I98" s="579"/>
      <c r="J98" s="579"/>
      <c r="K98" s="580"/>
      <c r="L98" s="581"/>
      <c r="M98" s="582"/>
      <c r="N98" s="1045"/>
      <c r="O98" s="1045"/>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6"/>
      <c r="O99" s="1046"/>
      <c r="P99" s="45"/>
      <c r="Q99" s="461"/>
    </row>
    <row r="100" spans="1:17" s="430" customFormat="1" ht="15" thickTop="1">
      <c r="A100" s="550"/>
      <c r="B100" s="495" t="s">
        <v>2196</v>
      </c>
      <c r="C100" s="511"/>
      <c r="D100" s="511"/>
      <c r="E100" s="511"/>
      <c r="F100" s="511"/>
      <c r="G100" s="511"/>
      <c r="H100" s="540"/>
      <c r="I100" s="540"/>
      <c r="J100" s="540"/>
      <c r="K100" s="541"/>
      <c r="L100" s="542"/>
      <c r="M100" s="543"/>
      <c r="N100" s="1047"/>
      <c r="O100" s="1047"/>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7"/>
      <c r="O101" s="1047"/>
      <c r="P101" s="515"/>
      <c r="Q101" s="516"/>
    </row>
    <row r="102" spans="1:17" ht="15" thickTop="1">
      <c r="A102" s="556"/>
      <c r="B102" s="495" t="s">
        <v>2197</v>
      </c>
      <c r="C102" s="511"/>
      <c r="D102" s="511"/>
      <c r="E102" s="511"/>
      <c r="F102" s="511"/>
      <c r="G102" s="511"/>
      <c r="H102" s="540"/>
      <c r="I102" s="540"/>
      <c r="J102" s="540"/>
      <c r="K102" s="541"/>
      <c r="L102" s="542"/>
      <c r="M102" s="543"/>
      <c r="N102" s="1045"/>
      <c r="O102" s="1045"/>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6"/>
      <c r="O103" s="1046"/>
      <c r="P103" s="45"/>
      <c r="Q103" s="461"/>
    </row>
    <row r="104" spans="1:17" ht="15" thickTop="1">
      <c r="A104" s="556"/>
      <c r="B104" s="495" t="s">
        <v>2199</v>
      </c>
      <c r="C104" s="511"/>
      <c r="D104" s="511"/>
      <c r="E104" s="511"/>
      <c r="F104" s="511"/>
      <c r="G104" s="511"/>
      <c r="H104" s="540"/>
      <c r="I104" s="540"/>
      <c r="J104" s="540"/>
      <c r="K104" s="541"/>
      <c r="L104" s="542"/>
      <c r="M104" s="543"/>
      <c r="N104" s="1045"/>
      <c r="O104" s="1045"/>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6"/>
      <c r="O105" s="1046"/>
      <c r="P105" s="45"/>
      <c r="Q105" s="461"/>
    </row>
    <row r="106" spans="1:17" ht="15" thickTop="1">
      <c r="A106" s="556"/>
      <c r="B106" s="592" t="s">
        <v>2285</v>
      </c>
      <c r="C106" s="535" t="s">
        <v>2176</v>
      </c>
      <c r="D106" s="535" t="s">
        <v>2177</v>
      </c>
      <c r="E106" s="535" t="s">
        <v>2178</v>
      </c>
      <c r="F106" s="535" t="s">
        <v>2179</v>
      </c>
      <c r="G106" s="535" t="s">
        <v>2180</v>
      </c>
      <c r="H106" s="496"/>
      <c r="I106" s="496"/>
      <c r="J106" s="496"/>
      <c r="K106" s="497"/>
      <c r="L106" s="498"/>
      <c r="M106" s="499"/>
      <c r="N106" s="1046"/>
      <c r="O106" s="1046"/>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6"/>
      <c r="O107" s="1046"/>
      <c r="P107" s="45"/>
      <c r="Q107" s="461"/>
    </row>
    <row r="108" spans="1:17" s="430" customFormat="1" ht="15" thickTop="1">
      <c r="A108" s="550"/>
      <c r="B108" s="495">
        <f>B38</f>
        <v>111</v>
      </c>
      <c r="C108" s="511"/>
      <c r="D108" s="511"/>
      <c r="E108" s="511"/>
      <c r="F108" s="511"/>
      <c r="G108" s="511"/>
      <c r="H108" s="512"/>
      <c r="I108" s="512"/>
      <c r="J108" s="512"/>
      <c r="K108" s="512"/>
      <c r="L108" s="513"/>
      <c r="M108" s="514"/>
      <c r="N108" s="1047"/>
      <c r="O108" s="1047"/>
      <c r="P108" s="515"/>
      <c r="Q108" s="516"/>
    </row>
    <row r="109" spans="1:17" s="430" customFormat="1" ht="15.75" thickBot="1">
      <c r="A109" s="510"/>
      <c r="B109" s="492"/>
      <c r="C109" s="517"/>
      <c r="D109" s="493"/>
      <c r="E109" s="493"/>
      <c r="F109" s="493"/>
      <c r="G109" s="517"/>
      <c r="H109" s="519"/>
      <c r="I109" s="519"/>
      <c r="J109" s="519"/>
      <c r="K109" s="519"/>
      <c r="L109" s="519"/>
      <c r="M109" s="520"/>
      <c r="N109" s="1047"/>
      <c r="O109" s="1047"/>
      <c r="P109" s="515"/>
      <c r="Q109" s="516"/>
    </row>
    <row r="110" spans="1:17" ht="15" thickTop="1">
      <c r="A110" s="556"/>
      <c r="B110" s="495">
        <f>B39</f>
        <v>111</v>
      </c>
      <c r="C110" s="511"/>
      <c r="D110" s="511"/>
      <c r="E110" s="511"/>
      <c r="F110" s="511"/>
      <c r="G110" s="511"/>
      <c r="H110" s="512"/>
      <c r="I110" s="512"/>
      <c r="J110" s="512"/>
      <c r="K110" s="512"/>
      <c r="L110" s="513"/>
      <c r="M110" s="514"/>
      <c r="N110" s="1045"/>
      <c r="O110" s="1045"/>
      <c r="P110" s="45"/>
      <c r="Q110" s="461"/>
    </row>
    <row r="111" spans="1:17" ht="15.75" thickBot="1">
      <c r="A111" s="491"/>
      <c r="B111" s="500"/>
      <c r="C111" s="517"/>
      <c r="D111" s="493"/>
      <c r="E111" s="493"/>
      <c r="F111" s="493"/>
      <c r="G111" s="517"/>
      <c r="H111" s="519"/>
      <c r="I111" s="519"/>
      <c r="J111" s="519"/>
      <c r="K111" s="519"/>
      <c r="L111" s="519"/>
      <c r="M111" s="520"/>
      <c r="N111" s="1046"/>
      <c r="O111" s="1046"/>
      <c r="P111" s="45"/>
      <c r="Q111" s="461"/>
    </row>
    <row r="112" spans="1:17" ht="15" thickTop="1">
      <c r="A112" s="556"/>
      <c r="B112" s="503">
        <f>B40</f>
        <v>111</v>
      </c>
      <c r="C112" s="480"/>
      <c r="D112" s="480"/>
      <c r="E112" s="480"/>
      <c r="F112" s="480"/>
      <c r="G112" s="544"/>
      <c r="H112" s="544"/>
      <c r="I112" s="544"/>
      <c r="J112" s="544"/>
      <c r="K112" s="480"/>
      <c r="L112" s="481"/>
      <c r="M112" s="547"/>
      <c r="N112" s="1045"/>
      <c r="O112" s="1045"/>
      <c r="P112" s="45"/>
      <c r="Q112" s="461"/>
    </row>
    <row r="113" spans="1:17" ht="15.75" thickBot="1">
      <c r="A113" s="2065"/>
      <c r="B113" s="526"/>
      <c r="C113" s="527"/>
      <c r="D113" s="527"/>
      <c r="E113" s="527"/>
      <c r="F113" s="527"/>
      <c r="G113" s="548"/>
      <c r="H113" s="548"/>
      <c r="I113" s="548"/>
      <c r="J113" s="548"/>
      <c r="K113" s="548"/>
      <c r="L113" s="548"/>
      <c r="M113" s="549"/>
      <c r="N113" s="1046"/>
      <c r="O113" s="1046"/>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3" customWidth="1"/>
    <col min="2" max="16384" width="9" style="1613"/>
  </cols>
  <sheetData>
    <row r="1" spans="1:1" ht="23.25">
      <c r="A1" s="1612" t="s">
        <v>1334</v>
      </c>
    </row>
    <row r="2" spans="1:1">
      <c r="A2" s="1614"/>
    </row>
    <row r="3" spans="1:1" ht="18">
      <c r="A3" s="1615" t="str">
        <f>项目基本情况!B5&amp;"："</f>
        <v>：</v>
      </c>
    </row>
    <row r="4" spans="1:1" ht="18">
      <c r="A4" s="1616" t="str">
        <f>"受贵公司委托，我公司对"&amp;项目基本情况!S1&amp;"进行了预评估。"</f>
        <v>受贵公司委托，我公司对北京市房地产抵押价值进行了预评估。</v>
      </c>
    </row>
    <row r="5" spans="1:1" ht="18.75">
      <c r="A5" s="1617" t="s">
        <v>1335</v>
      </c>
    </row>
    <row r="6" spans="1:1" ht="18.75">
      <c r="A6" s="1618" t="s">
        <v>1336</v>
      </c>
    </row>
    <row r="7" spans="1:1" ht="36">
      <c r="A7" s="161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估价对象为北京市房地产，为所有。根据《国有土地使用证》[]，估价对象（分摊）出让国有建设用地使用权面积为0平方米，建筑面积为6531.86平方米。</v>
      </c>
    </row>
    <row r="8" spans="1:1" ht="57.75">
      <c r="A8" s="1619" t="s">
        <v>1337</v>
      </c>
    </row>
    <row r="9" spans="1:1" ht="18.75">
      <c r="A9" s="1618" t="s">
        <v>1338</v>
      </c>
    </row>
    <row r="10" spans="1:1" ht="54">
      <c r="A10" s="161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估价对象为北京市房地产,属开发建设的，该项目尚在开发建设中。根据《国有土地使用证》[]，估价对象（分摊）出让国有建设用地使用权面积为0平方米，规划建筑面积为6531.86平方米。</v>
      </c>
    </row>
    <row r="11" spans="1:1" ht="76.5">
      <c r="A11" s="1619" t="s">
        <v>1339</v>
      </c>
    </row>
    <row r="12" spans="1:1" ht="18.75">
      <c r="A12" s="1617" t="s">
        <v>1340</v>
      </c>
    </row>
    <row r="13" spans="1:1" ht="38.25" customHeight="1">
      <c r="A13" s="162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21" t="s">
        <v>1341</v>
      </c>
    </row>
    <row r="15" spans="1:1" ht="18">
      <c r="A15" s="1622" t="str">
        <f>TEXT(项目基本情况!D3,"yyyy年m月d日;;")&amp;IF(项目基本情况!D3=项目基本情况!B3,"（评估专业人员实地查勘之日）","")</f>
        <v>2022年11月4日</v>
      </c>
    </row>
    <row r="16" spans="1:1" ht="18.75">
      <c r="A16" s="1621" t="s">
        <v>1342</v>
      </c>
    </row>
    <row r="17" spans="1:1" ht="75">
      <c r="A17" s="1616" t="s">
        <v>1343</v>
      </c>
    </row>
    <row r="18" spans="1:1" ht="54">
      <c r="A18" s="161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11月4日，估价对象规划用途为，土地取得方式为出让，出让国有建设用地使用权剩余土地使用年限为，假定未设立法定优先受偿款下的房地产市场价值。</v>
      </c>
    </row>
    <row r="19" spans="1:1" ht="157.5" customHeight="1">
      <c r="A19" s="161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61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6" t="str">
        <f>IF(项目基本情况!B9="房地产市场价值","——",IF(项目基本情况!E9="——","",定义!C57))</f>
        <v/>
      </c>
    </row>
    <row r="23" spans="1:1" ht="18.75">
      <c r="A23" s="1621" t="s">
        <v>1332</v>
      </c>
    </row>
    <row r="24" spans="1:1" ht="18">
      <c r="A24" s="1623" t="str">
        <f>"本次评估采用的主估价方法为"&amp;结果表!K4&amp;"和"&amp;结果表!L4&amp;"。"</f>
        <v>本次评估采用的主估价方法为成本法和收益法。</v>
      </c>
    </row>
    <row r="25" spans="1:1" ht="18">
      <c r="A25" s="1623"/>
    </row>
    <row r="26" spans="1:1" ht="18.75">
      <c r="A26" s="1624" t="s">
        <v>1333</v>
      </c>
    </row>
    <row r="27" spans="1:1">
      <c r="A27" s="1625"/>
    </row>
    <row r="28" spans="1:1">
      <c r="A28" s="1625"/>
    </row>
    <row r="29" spans="1:1">
      <c r="A29" s="1625"/>
    </row>
    <row r="30" spans="1:1">
      <c r="A30" s="1625"/>
    </row>
    <row r="31" spans="1:1">
      <c r="A31" s="1625"/>
    </row>
    <row r="32" spans="1:1">
      <c r="A32" s="1625"/>
    </row>
    <row r="33" spans="1:1">
      <c r="A33" s="1625"/>
    </row>
    <row r="34" spans="1:1">
      <c r="A34" s="1625"/>
    </row>
    <row r="35" spans="1:1">
      <c r="A35" s="1625"/>
    </row>
    <row r="36" spans="1:1">
      <c r="A36" s="1625"/>
    </row>
    <row r="37" spans="1:1">
      <c r="A37" s="1625"/>
    </row>
    <row r="38" spans="1:1">
      <c r="A38" s="1625"/>
    </row>
    <row r="39" spans="1:1">
      <c r="A39" s="1625"/>
    </row>
    <row r="40" spans="1:1">
      <c r="A40" s="1625"/>
    </row>
    <row r="41" spans="1:1">
      <c r="A41" s="1625"/>
    </row>
    <row r="42" spans="1:1">
      <c r="A42" s="1625"/>
    </row>
    <row r="43" spans="1:1">
      <c r="A43" s="1625"/>
    </row>
    <row r="44" spans="1:1">
      <c r="A44" s="1625"/>
    </row>
    <row r="45" spans="1:1">
      <c r="A45" s="1625"/>
    </row>
    <row r="46" spans="1:1">
      <c r="A46" s="1625"/>
    </row>
    <row r="47" spans="1:1">
      <c r="A47" s="1625"/>
    </row>
    <row r="48" spans="1:1">
      <c r="A48" s="1625"/>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2286</v>
      </c>
      <c r="B1" s="1344"/>
      <c r="C1" s="1345" t="s">
        <v>2109</v>
      </c>
      <c r="D1" s="1346"/>
      <c r="E1" s="1347"/>
      <c r="F1" s="2016"/>
      <c r="G1" s="1348" t="s">
        <v>2222</v>
      </c>
      <c r="H1" s="1347"/>
      <c r="I1" s="1347"/>
      <c r="J1" s="1347"/>
      <c r="K1" s="1349"/>
      <c r="L1" s="1350"/>
      <c r="M1" s="1351"/>
      <c r="N1" s="1351"/>
      <c r="O1" s="1351"/>
      <c r="P1" s="1352"/>
      <c r="Q1" s="1345"/>
      <c r="R1" s="1345"/>
      <c r="S1" s="1345"/>
      <c r="T1" s="1345"/>
      <c r="U1" s="1345"/>
      <c r="V1" s="1345"/>
      <c r="W1" s="1345"/>
      <c r="X1" s="1345"/>
      <c r="Y1" s="1345"/>
      <c r="Z1" s="1345"/>
      <c r="AA1" s="1345"/>
      <c r="AB1" s="1345"/>
      <c r="AC1" s="1353"/>
    </row>
    <row r="2" spans="1:29" s="358" customFormat="1" ht="28.5" customHeight="1" thickTop="1">
      <c r="A2" s="1342" t="s">
        <v>1906</v>
      </c>
      <c r="B2" s="1279" t="e">
        <f ca="1">IF(C2="——",IF(B37="元/平方米",ROUND(C39*D3/10000,0),ROUND(F3*C39/10000,0)),IF(B37="元/平方米",ROUND(C39*D3/10000,0),ROUND(F3*C39/10000,0))-D2)</f>
        <v>#DIV/0!</v>
      </c>
      <c r="C2" s="2018"/>
      <c r="D2" s="1019" t="e">
        <f ca="1">SUMIF(INDIRECT("'"&amp;F2&amp;"'"&amp;"!A:A"),"承租人权益价值",INDIRECT("'"&amp;F2&amp;"'"&amp;"!c:c"))</f>
        <v>#REF!</v>
      </c>
      <c r="E2" s="2019" t="s">
        <v>1907</v>
      </c>
      <c r="F2" s="2020"/>
      <c r="G2" s="1020"/>
      <c r="H2" s="1020"/>
      <c r="I2" s="1020"/>
      <c r="J2" s="1020"/>
      <c r="K2" s="1022"/>
      <c r="L2" s="2913"/>
      <c r="M2" s="2914"/>
      <c r="N2" s="2914"/>
      <c r="O2" s="2914"/>
      <c r="P2" s="1280"/>
      <c r="Q2" s="708"/>
      <c r="R2" s="708"/>
      <c r="S2" s="708"/>
      <c r="T2" s="708"/>
      <c r="U2" s="708"/>
      <c r="V2" s="708"/>
      <c r="W2" s="708"/>
      <c r="X2" s="708"/>
      <c r="Y2" s="708"/>
      <c r="Z2" s="708"/>
      <c r="AA2" s="708"/>
      <c r="AB2" s="708"/>
      <c r="AC2" s="709"/>
    </row>
    <row r="3" spans="1:29" s="358" customFormat="1" ht="28.5" customHeight="1" thickBot="1">
      <c r="A3" s="209" t="s">
        <v>1908</v>
      </c>
      <c r="B3" s="566" t="e">
        <f ca="1">IF(AND(C2="——",B37="元/平方米"),C39,ROUND(B2*10000/D3,0))</f>
        <v>#DIV/0!</v>
      </c>
      <c r="C3" s="360" t="s">
        <v>2223</v>
      </c>
      <c r="D3" s="359">
        <f>SUMIF('数据-汇总表'!$C19:$C33,D1,'数据-汇总表'!$E19:$E33)</f>
        <v>0</v>
      </c>
      <c r="E3" s="360" t="s">
        <v>2287</v>
      </c>
      <c r="F3" s="359">
        <f>SUMIF('数据-取费表'!A5:A15,D1,'数据-取费表'!AH5:AH15)</f>
        <v>0</v>
      </c>
      <c r="G3" s="1020"/>
      <c r="H3" s="1020"/>
      <c r="I3" s="1020"/>
      <c r="J3" s="1020"/>
      <c r="K3" s="1022"/>
      <c r="L3" s="2913"/>
      <c r="M3" s="2914"/>
      <c r="N3" s="2914"/>
      <c r="O3" s="2914"/>
      <c r="P3" s="1280"/>
      <c r="Q3" s="708"/>
      <c r="R3" s="708"/>
      <c r="S3" s="708"/>
      <c r="T3" s="708"/>
      <c r="U3" s="708"/>
      <c r="V3" s="708"/>
      <c r="W3" s="708"/>
      <c r="X3" s="708"/>
      <c r="Y3" s="708"/>
      <c r="Z3" s="708"/>
      <c r="AA3" s="708"/>
      <c r="AB3" s="725"/>
      <c r="AC3" s="722"/>
    </row>
    <row r="4" spans="1:29" ht="15">
      <c r="A4" s="361" t="s">
        <v>2224</v>
      </c>
      <c r="B4" s="362"/>
      <c r="C4" s="3468" t="s">
        <v>2225</v>
      </c>
      <c r="D4" s="3469"/>
      <c r="E4" s="3470" t="s">
        <v>2226</v>
      </c>
      <c r="F4" s="3471"/>
      <c r="G4" s="3468" t="s">
        <v>2227</v>
      </c>
      <c r="H4" s="3469"/>
      <c r="I4" s="3468" t="s">
        <v>2228</v>
      </c>
      <c r="J4" s="3469"/>
      <c r="K4" s="567" t="s">
        <v>2229</v>
      </c>
      <c r="L4" s="2894"/>
      <c r="M4" s="2895"/>
      <c r="N4" s="2895"/>
      <c r="O4" s="2895"/>
      <c r="P4" s="3472" t="s">
        <v>2230</v>
      </c>
      <c r="Q4" s="3473"/>
      <c r="R4" s="3455" t="s">
        <v>2226</v>
      </c>
      <c r="S4" s="3456"/>
      <c r="T4" s="3455" t="s">
        <v>2227</v>
      </c>
      <c r="U4" s="3456"/>
      <c r="V4" s="3480" t="s">
        <v>2228</v>
      </c>
      <c r="W4" s="3480"/>
      <c r="X4" s="1490"/>
      <c r="Y4" s="3455" t="s">
        <v>2230</v>
      </c>
      <c r="Z4" s="3456"/>
      <c r="AA4" s="3450" t="s">
        <v>2226</v>
      </c>
      <c r="AB4" s="3451" t="s">
        <v>2227</v>
      </c>
      <c r="AC4" s="3450" t="s">
        <v>2228</v>
      </c>
    </row>
    <row r="5" spans="1:29" ht="15">
      <c r="A5" s="364"/>
      <c r="B5" s="365"/>
      <c r="C5" s="3461" t="s">
        <v>2121</v>
      </c>
      <c r="D5" s="3462"/>
      <c r="E5" s="3459" t="s">
        <v>2122</v>
      </c>
      <c r="F5" s="3460"/>
      <c r="G5" s="3461" t="s">
        <v>2123</v>
      </c>
      <c r="H5" s="3462"/>
      <c r="I5" s="3461" t="s">
        <v>2124</v>
      </c>
      <c r="J5" s="3462"/>
      <c r="K5" s="567"/>
      <c r="L5" s="2894"/>
      <c r="M5" s="2895"/>
      <c r="N5" s="2895"/>
      <c r="O5" s="2895"/>
      <c r="P5" s="3474"/>
      <c r="Q5" s="3475"/>
      <c r="R5" s="3457"/>
      <c r="S5" s="3458"/>
      <c r="T5" s="3457"/>
      <c r="U5" s="3458"/>
      <c r="V5" s="3480"/>
      <c r="W5" s="3480"/>
      <c r="X5" s="1490"/>
      <c r="Y5" s="3457"/>
      <c r="Z5" s="3458"/>
      <c r="AA5" s="3451"/>
      <c r="AB5" s="3451"/>
      <c r="AC5" s="3451"/>
    </row>
    <row r="6" spans="1:29" ht="15.75" thickBot="1">
      <c r="A6" s="366"/>
      <c r="B6" s="367"/>
      <c r="C6" s="3463" t="s">
        <v>2125</v>
      </c>
      <c r="D6" s="3464"/>
      <c r="E6" s="3465" t="s">
        <v>2125</v>
      </c>
      <c r="F6" s="3466"/>
      <c r="G6" s="3463" t="s">
        <v>2125</v>
      </c>
      <c r="H6" s="3464"/>
      <c r="I6" s="3463" t="s">
        <v>2125</v>
      </c>
      <c r="J6" s="3464"/>
      <c r="K6" s="567" t="s">
        <v>2126</v>
      </c>
      <c r="L6" s="2894"/>
      <c r="M6" s="2895"/>
      <c r="N6" s="2895"/>
      <c r="O6" s="2895"/>
      <c r="P6" s="3476"/>
      <c r="Q6" s="3477"/>
      <c r="R6" s="3457"/>
      <c r="S6" s="3458"/>
      <c r="T6" s="3478"/>
      <c r="U6" s="3479"/>
      <c r="V6" s="3480"/>
      <c r="W6" s="3480"/>
      <c r="X6" s="1490"/>
      <c r="Y6" s="3478"/>
      <c r="Z6" s="3479"/>
      <c r="AA6" s="3452"/>
      <c r="AB6" s="3452"/>
      <c r="AC6" s="3452"/>
    </row>
    <row r="7" spans="1:29" s="113" customFormat="1" ht="15.75" thickBot="1">
      <c r="A7" s="368" t="s">
        <v>2127</v>
      </c>
      <c r="B7" s="369"/>
      <c r="C7" s="370">
        <f>'数据-取费表'!B2</f>
        <v>44869</v>
      </c>
      <c r="D7" s="371">
        <v>100</v>
      </c>
      <c r="E7" s="372"/>
      <c r="F7" s="373">
        <f>SUMIF(48:48,YEAR(E7)&amp;"-"&amp;MONTH(E7),49:49)</f>
        <v>0</v>
      </c>
      <c r="G7" s="372"/>
      <c r="H7" s="371">
        <f>SUMIF(48:48,YEAR(G7)&amp;"-"&amp;MONTH(G7),49:49)</f>
        <v>0</v>
      </c>
      <c r="I7" s="372"/>
      <c r="J7" s="371">
        <f>SUMIF(48:48,YEAR(I7)&amp;"-"&amp;MONTH(I7),49:49)</f>
        <v>0</v>
      </c>
      <c r="K7" s="568"/>
      <c r="L7" s="2896"/>
      <c r="M7" s="2897"/>
      <c r="N7" s="2897"/>
      <c r="O7" s="2897"/>
      <c r="P7" s="3453" t="s">
        <v>2128</v>
      </c>
      <c r="Q7" s="3481"/>
      <c r="R7" s="710" t="s">
        <v>17</v>
      </c>
      <c r="S7" s="711">
        <f t="shared" ref="S7:S14" si="0">F7</f>
        <v>0</v>
      </c>
      <c r="T7" s="710" t="s">
        <v>17</v>
      </c>
      <c r="U7" s="711">
        <f t="shared" ref="U7:U14" si="1">H7</f>
        <v>0</v>
      </c>
      <c r="V7" s="710" t="s">
        <v>17</v>
      </c>
      <c r="W7" s="711">
        <f t="shared" ref="W7:W14" si="2">J7</f>
        <v>0</v>
      </c>
      <c r="X7" s="712"/>
      <c r="Y7" s="3453" t="s">
        <v>2128</v>
      </c>
      <c r="Z7" s="3454"/>
      <c r="AA7" s="713" t="e">
        <f>D7/F7</f>
        <v>#DIV/0!</v>
      </c>
      <c r="AB7" s="713" t="e">
        <f>D7/H7</f>
        <v>#DIV/0!</v>
      </c>
      <c r="AC7" s="713" t="e">
        <f>D7/J7</f>
        <v>#DIV/0!</v>
      </c>
    </row>
    <row r="8" spans="1:29" s="113" customFormat="1" ht="15.75" thickBot="1">
      <c r="A8" s="368" t="s">
        <v>2129</v>
      </c>
      <c r="B8" s="369"/>
      <c r="C8" s="374" t="s">
        <v>2231</v>
      </c>
      <c r="D8" s="371">
        <v>100</v>
      </c>
      <c r="E8" s="374"/>
      <c r="F8" s="373">
        <f>SUMIF(51:51,E8,52:52)-SUMIF(51:51,C8,52:52)+100</f>
        <v>0</v>
      </c>
      <c r="G8" s="374"/>
      <c r="H8" s="371">
        <f>SUMIF(51:51,G8,52:52)-SUMIF(51:51,C8,52:52)+100</f>
        <v>0</v>
      </c>
      <c r="I8" s="374"/>
      <c r="J8" s="371">
        <f>SUMIF(51:51,I8,52:52)-SUMIF(51:51,C8,52:52)+100</f>
        <v>0</v>
      </c>
      <c r="K8" s="568"/>
      <c r="L8" s="2896"/>
      <c r="M8" s="2897"/>
      <c r="N8" s="2897"/>
      <c r="O8" s="2897"/>
      <c r="P8" s="3453" t="s">
        <v>2131</v>
      </c>
      <c r="Q8" s="3454"/>
      <c r="R8" s="710" t="s">
        <v>17</v>
      </c>
      <c r="S8" s="711">
        <f t="shared" si="0"/>
        <v>0</v>
      </c>
      <c r="T8" s="710" t="s">
        <v>17</v>
      </c>
      <c r="U8" s="711">
        <f t="shared" si="1"/>
        <v>0</v>
      </c>
      <c r="V8" s="710" t="s">
        <v>17</v>
      </c>
      <c r="W8" s="711">
        <f t="shared" si="2"/>
        <v>0</v>
      </c>
      <c r="X8" s="712"/>
      <c r="Y8" s="3453" t="s">
        <v>2131</v>
      </c>
      <c r="Z8" s="3454"/>
      <c r="AA8" s="713" t="e">
        <f t="shared" ref="AA8:AA36" si="3">D8/F8</f>
        <v>#DIV/0!</v>
      </c>
      <c r="AB8" s="713" t="e">
        <f t="shared" ref="AB8:AB36" si="4">D8/H8</f>
        <v>#DIV/0!</v>
      </c>
      <c r="AC8" s="713" t="e">
        <f t="shared" ref="AC8:AC36" si="5">D8/J8</f>
        <v>#DIV/0!</v>
      </c>
    </row>
    <row r="9" spans="1:29" s="113" customFormat="1">
      <c r="A9" s="64" t="s">
        <v>2132</v>
      </c>
      <c r="B9" s="596" t="s">
        <v>2133</v>
      </c>
      <c r="C9" s="376"/>
      <c r="D9" s="131">
        <v>100</v>
      </c>
      <c r="E9" s="379"/>
      <c r="F9" s="131">
        <f>SUMIF(53:53,E9,54:54)-SUMIF(53:53,C9,54:54)+100</f>
        <v>100</v>
      </c>
      <c r="G9" s="377"/>
      <c r="H9" s="131">
        <f>SUMIF(53:53,G9,54:54)-SUMIF(53:53,C9,54:54)+100</f>
        <v>100</v>
      </c>
      <c r="I9" s="377"/>
      <c r="J9" s="131">
        <f>SUMIF(53:53,I9,54:54)-SUMIF(53:53,C9,54:54)+100</f>
        <v>100</v>
      </c>
      <c r="K9" s="568"/>
      <c r="L9" s="2896"/>
      <c r="M9" s="2897"/>
      <c r="N9" s="2897"/>
      <c r="O9" s="2897"/>
      <c r="P9" s="3485" t="s">
        <v>2134</v>
      </c>
      <c r="Q9" s="1478" t="str">
        <f t="shared" ref="Q9:Q14" si="6">B9</f>
        <v>用途</v>
      </c>
      <c r="R9" s="710" t="s">
        <v>17</v>
      </c>
      <c r="S9" s="711">
        <f t="shared" si="0"/>
        <v>100</v>
      </c>
      <c r="T9" s="710" t="s">
        <v>17</v>
      </c>
      <c r="U9" s="711">
        <f t="shared" si="1"/>
        <v>100</v>
      </c>
      <c r="V9" s="710" t="s">
        <v>17</v>
      </c>
      <c r="W9" s="711">
        <f t="shared" si="2"/>
        <v>100</v>
      </c>
      <c r="X9" s="712"/>
      <c r="Y9" s="3397" t="s">
        <v>2135</v>
      </c>
      <c r="Z9" s="55" t="str">
        <f t="shared" ref="Z9:Z14" si="7">Q9</f>
        <v>用途</v>
      </c>
      <c r="AA9" s="713">
        <f t="shared" si="3"/>
        <v>1</v>
      </c>
      <c r="AB9" s="713">
        <f t="shared" si="4"/>
        <v>1</v>
      </c>
      <c r="AC9" s="713">
        <f t="shared" si="5"/>
        <v>1</v>
      </c>
    </row>
    <row r="10" spans="1:29" s="386" customFormat="1" ht="27">
      <c r="A10" s="597"/>
      <c r="B10" s="598" t="s">
        <v>2136</v>
      </c>
      <c r="C10" s="382"/>
      <c r="D10" s="132">
        <v>100</v>
      </c>
      <c r="E10" s="382"/>
      <c r="F10" s="132">
        <f>SUMIF(55:55,E10,56:56)-SUMIF(55:55,C10,56:56)+100</f>
        <v>100</v>
      </c>
      <c r="G10" s="383"/>
      <c r="H10" s="132">
        <f>SUMIF(55:55,G10,56:56)-SUMIF(55:55,C10,56:56)+100</f>
        <v>100</v>
      </c>
      <c r="I10" s="382"/>
      <c r="J10" s="132">
        <f>SUMIF(55:55,I10,56:56)-SUMIF(55:55,C10,56:56)+100</f>
        <v>100</v>
      </c>
      <c r="K10" s="569"/>
      <c r="L10" s="2898"/>
      <c r="M10" s="2899"/>
      <c r="N10" s="2899"/>
      <c r="O10" s="2899"/>
      <c r="P10" s="3485"/>
      <c r="Q10" s="1478" t="str">
        <f t="shared" si="6"/>
        <v>土地使用年限（年）</v>
      </c>
      <c r="R10" s="710" t="s">
        <v>17</v>
      </c>
      <c r="S10" s="711">
        <f t="shared" si="0"/>
        <v>100</v>
      </c>
      <c r="T10" s="710" t="s">
        <v>17</v>
      </c>
      <c r="U10" s="711">
        <f t="shared" si="1"/>
        <v>100</v>
      </c>
      <c r="V10" s="710" t="s">
        <v>17</v>
      </c>
      <c r="W10" s="711">
        <f t="shared" si="2"/>
        <v>100</v>
      </c>
      <c r="X10" s="712"/>
      <c r="Y10" s="3397"/>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00"/>
      <c r="M11" s="2895"/>
      <c r="N11" s="2895"/>
      <c r="O11" s="2895"/>
      <c r="P11" s="3485"/>
      <c r="Q11" s="1478">
        <f t="shared" si="6"/>
        <v>111</v>
      </c>
      <c r="R11" s="710" t="s">
        <v>17</v>
      </c>
      <c r="S11" s="711">
        <f t="shared" si="0"/>
        <v>100</v>
      </c>
      <c r="T11" s="710" t="s">
        <v>17</v>
      </c>
      <c r="U11" s="711">
        <f t="shared" si="1"/>
        <v>100</v>
      </c>
      <c r="V11" s="710" t="s">
        <v>17</v>
      </c>
      <c r="W11" s="711">
        <f t="shared" si="2"/>
        <v>100</v>
      </c>
      <c r="X11" s="712"/>
      <c r="Y11" s="3397"/>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6"/>
      <c r="M12" s="2897"/>
      <c r="N12" s="2897"/>
      <c r="O12" s="2897"/>
      <c r="P12" s="3485"/>
      <c r="Q12" s="1478">
        <f t="shared" si="6"/>
        <v>111</v>
      </c>
      <c r="R12" s="710" t="s">
        <v>17</v>
      </c>
      <c r="S12" s="711">
        <f t="shared" si="0"/>
        <v>100</v>
      </c>
      <c r="T12" s="710" t="s">
        <v>17</v>
      </c>
      <c r="U12" s="711">
        <f t="shared" si="1"/>
        <v>100</v>
      </c>
      <c r="V12" s="710" t="s">
        <v>17</v>
      </c>
      <c r="W12" s="711">
        <f t="shared" si="2"/>
        <v>100</v>
      </c>
      <c r="X12" s="712"/>
      <c r="Y12" s="3397"/>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01"/>
      <c r="M13" s="2895"/>
      <c r="N13" s="2895"/>
      <c r="O13" s="2895"/>
      <c r="P13" s="3485"/>
      <c r="Q13" s="1478">
        <f t="shared" si="6"/>
        <v>111</v>
      </c>
      <c r="R13" s="710" t="s">
        <v>17</v>
      </c>
      <c r="S13" s="711">
        <f t="shared" si="0"/>
        <v>100</v>
      </c>
      <c r="T13" s="710" t="s">
        <v>17</v>
      </c>
      <c r="U13" s="711">
        <f t="shared" si="1"/>
        <v>100</v>
      </c>
      <c r="V13" s="710" t="s">
        <v>17</v>
      </c>
      <c r="W13" s="711">
        <f t="shared" si="2"/>
        <v>100</v>
      </c>
      <c r="X13" s="712"/>
      <c r="Y13" s="3397"/>
      <c r="Z13" s="55">
        <f t="shared" si="7"/>
        <v>111</v>
      </c>
      <c r="AA13" s="713">
        <f t="shared" si="3"/>
        <v>1</v>
      </c>
      <c r="AB13" s="713">
        <f t="shared" si="4"/>
        <v>1</v>
      </c>
      <c r="AC13" s="713">
        <f t="shared" si="5"/>
        <v>1</v>
      </c>
    </row>
    <row r="14" spans="1:29" ht="85.5">
      <c r="A14" s="361" t="s">
        <v>2138</v>
      </c>
      <c r="B14" s="585" t="s">
        <v>2288</v>
      </c>
      <c r="C14" s="2108"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01"/>
      <c r="M14" s="2895"/>
      <c r="N14" s="2895"/>
      <c r="O14" s="2895"/>
      <c r="P14" s="3487" t="s">
        <v>2139</v>
      </c>
      <c r="Q14" s="1487" t="str">
        <f t="shared" si="6"/>
        <v>交通便捷度</v>
      </c>
      <c r="R14" s="714" t="s">
        <v>17</v>
      </c>
      <c r="S14" s="715">
        <f t="shared" si="0"/>
        <v>100</v>
      </c>
      <c r="T14" s="714" t="s">
        <v>17</v>
      </c>
      <c r="U14" s="715">
        <f t="shared" si="1"/>
        <v>100</v>
      </c>
      <c r="V14" s="714" t="s">
        <v>17</v>
      </c>
      <c r="W14" s="715">
        <f t="shared" si="2"/>
        <v>100</v>
      </c>
      <c r="X14" s="1490"/>
      <c r="Y14" s="3487" t="s">
        <v>2139</v>
      </c>
      <c r="Z14" s="1491" t="str">
        <f t="shared" si="7"/>
        <v>交通便捷度</v>
      </c>
      <c r="AA14" s="1488">
        <f t="shared" si="3"/>
        <v>1</v>
      </c>
      <c r="AB14" s="1488">
        <f t="shared" si="4"/>
        <v>1</v>
      </c>
      <c r="AC14" s="1488">
        <f t="shared" si="5"/>
        <v>1</v>
      </c>
    </row>
    <row r="15" spans="1:29" ht="15">
      <c r="A15" s="364"/>
      <c r="B15" s="603"/>
      <c r="C15" s="406"/>
      <c r="D15" s="407"/>
      <c r="E15" s="406"/>
      <c r="F15" s="408"/>
      <c r="G15" s="406"/>
      <c r="H15" s="409"/>
      <c r="I15" s="406"/>
      <c r="J15" s="407"/>
      <c r="K15" s="572"/>
      <c r="L15" s="2901"/>
      <c r="M15" s="2895"/>
      <c r="N15" s="2895"/>
      <c r="O15" s="2895"/>
      <c r="P15" s="3488"/>
      <c r="Q15" s="1487"/>
      <c r="R15" s="714"/>
      <c r="S15" s="715"/>
      <c r="T15" s="714"/>
      <c r="U15" s="715"/>
      <c r="V15" s="714"/>
      <c r="W15" s="715"/>
      <c r="X15" s="1490"/>
      <c r="Y15" s="3488"/>
      <c r="Z15" s="1491"/>
      <c r="AA15" s="1488">
        <v>1</v>
      </c>
      <c r="AB15" s="1488">
        <v>1</v>
      </c>
      <c r="AC15" s="1488">
        <v>1</v>
      </c>
    </row>
    <row r="16" spans="1:29" ht="42.75">
      <c r="A16" s="364"/>
      <c r="B16" s="587" t="s">
        <v>2267</v>
      </c>
      <c r="C16" s="2037"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01"/>
      <c r="M16" s="2895"/>
      <c r="N16" s="2895"/>
      <c r="O16" s="2895"/>
      <c r="P16" s="3488"/>
      <c r="Q16" s="1487" t="str">
        <f>B16</f>
        <v>公共配套设施</v>
      </c>
      <c r="R16" s="714" t="s">
        <v>17</v>
      </c>
      <c r="S16" s="715">
        <f>F16</f>
        <v>100</v>
      </c>
      <c r="T16" s="714" t="s">
        <v>17</v>
      </c>
      <c r="U16" s="715">
        <f>H16</f>
        <v>100</v>
      </c>
      <c r="V16" s="714" t="s">
        <v>17</v>
      </c>
      <c r="W16" s="715">
        <f>J16</f>
        <v>100</v>
      </c>
      <c r="X16" s="1490"/>
      <c r="Y16" s="3488"/>
      <c r="Z16" s="1491" t="str">
        <f>Q16</f>
        <v>公共配套设施</v>
      </c>
      <c r="AA16" s="1488">
        <f t="shared" si="3"/>
        <v>1</v>
      </c>
      <c r="AB16" s="1488">
        <f t="shared" si="4"/>
        <v>1</v>
      </c>
      <c r="AC16" s="1488">
        <f t="shared" si="5"/>
        <v>1</v>
      </c>
    </row>
    <row r="17" spans="1:29" ht="15">
      <c r="A17" s="364"/>
      <c r="B17" s="588"/>
      <c r="C17" s="2038"/>
      <c r="D17" s="407"/>
      <c r="E17" s="406"/>
      <c r="F17" s="408"/>
      <c r="G17" s="406"/>
      <c r="H17" s="407"/>
      <c r="I17" s="406"/>
      <c r="J17" s="407"/>
      <c r="K17" s="572"/>
      <c r="L17" s="2901"/>
      <c r="M17" s="2895"/>
      <c r="N17" s="2895"/>
      <c r="O17" s="2895"/>
      <c r="P17" s="3488"/>
      <c r="Q17" s="1487"/>
      <c r="R17" s="714"/>
      <c r="S17" s="715"/>
      <c r="T17" s="714"/>
      <c r="U17" s="715"/>
      <c r="V17" s="714"/>
      <c r="W17" s="715"/>
      <c r="X17" s="1490"/>
      <c r="Y17" s="3488"/>
      <c r="Z17" s="1491"/>
      <c r="AA17" s="1488">
        <v>1</v>
      </c>
      <c r="AB17" s="1488">
        <v>1</v>
      </c>
      <c r="AC17" s="1488">
        <v>1</v>
      </c>
    </row>
    <row r="18" spans="1:29" ht="28.5">
      <c r="A18" s="364"/>
      <c r="B18" s="589" t="s">
        <v>2268</v>
      </c>
      <c r="C18" s="2037"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01"/>
      <c r="M18" s="2895"/>
      <c r="N18" s="2895"/>
      <c r="O18" s="2895"/>
      <c r="P18" s="3488"/>
      <c r="Q18" s="1487" t="str">
        <f>B18</f>
        <v>基础设施水平</v>
      </c>
      <c r="R18" s="714" t="s">
        <v>17</v>
      </c>
      <c r="S18" s="715">
        <f>F18</f>
        <v>100</v>
      </c>
      <c r="T18" s="714" t="s">
        <v>17</v>
      </c>
      <c r="U18" s="715">
        <f>H18</f>
        <v>100</v>
      </c>
      <c r="V18" s="714" t="s">
        <v>17</v>
      </c>
      <c r="W18" s="715">
        <f>J18</f>
        <v>100</v>
      </c>
      <c r="X18" s="1490"/>
      <c r="Y18" s="3488"/>
      <c r="Z18" s="1491" t="str">
        <f>Q18</f>
        <v>基础设施水平</v>
      </c>
      <c r="AA18" s="1488">
        <f t="shared" ref="AA18" si="8">D18/F18</f>
        <v>1</v>
      </c>
      <c r="AB18" s="1488">
        <f t="shared" ref="AB18" si="9">D18/H18</f>
        <v>1</v>
      </c>
      <c r="AC18" s="1488">
        <f t="shared" ref="AC18" si="10">D18/J18</f>
        <v>1</v>
      </c>
    </row>
    <row r="19" spans="1:29" ht="15">
      <c r="A19" s="364"/>
      <c r="B19" s="589"/>
      <c r="C19" s="2038"/>
      <c r="D19" s="409"/>
      <c r="E19" s="2038"/>
      <c r="F19" s="412"/>
      <c r="G19" s="2038"/>
      <c r="H19" s="407"/>
      <c r="I19" s="406"/>
      <c r="J19" s="407"/>
      <c r="K19" s="1245"/>
      <c r="L19" s="2901"/>
      <c r="M19" s="2895"/>
      <c r="N19" s="2895"/>
      <c r="O19" s="2895"/>
      <c r="P19" s="3488"/>
      <c r="Q19" s="1487"/>
      <c r="R19" s="714"/>
      <c r="S19" s="715"/>
      <c r="T19" s="714"/>
      <c r="U19" s="715"/>
      <c r="V19" s="714"/>
      <c r="W19" s="715"/>
      <c r="X19" s="1490"/>
      <c r="Y19" s="3488"/>
      <c r="Z19" s="1491"/>
      <c r="AA19" s="1488">
        <v>1</v>
      </c>
      <c r="AB19" s="1488">
        <v>1</v>
      </c>
      <c r="AC19" s="1488">
        <v>1</v>
      </c>
    </row>
    <row r="20" spans="1:29" ht="57">
      <c r="A20" s="364"/>
      <c r="B20" s="587" t="s">
        <v>2289</v>
      </c>
      <c r="C20" s="2037"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01"/>
      <c r="M20" s="2895"/>
      <c r="N20" s="2895"/>
      <c r="O20" s="2895"/>
      <c r="P20" s="3488"/>
      <c r="Q20" s="1487" t="str">
        <f>B20</f>
        <v>自然及人文环境</v>
      </c>
      <c r="R20" s="714" t="s">
        <v>17</v>
      </c>
      <c r="S20" s="715">
        <f>F20</f>
        <v>100</v>
      </c>
      <c r="T20" s="714" t="s">
        <v>17</v>
      </c>
      <c r="U20" s="715">
        <f>H20</f>
        <v>100</v>
      </c>
      <c r="V20" s="714" t="s">
        <v>17</v>
      </c>
      <c r="W20" s="715">
        <f>J20</f>
        <v>100</v>
      </c>
      <c r="X20" s="1490"/>
      <c r="Y20" s="3488"/>
      <c r="Z20" s="1491" t="str">
        <f>Q20</f>
        <v>自然及人文环境</v>
      </c>
      <c r="AA20" s="1488">
        <f t="shared" si="3"/>
        <v>1</v>
      </c>
      <c r="AB20" s="1488">
        <f t="shared" si="4"/>
        <v>1</v>
      </c>
      <c r="AC20" s="1488">
        <f t="shared" si="5"/>
        <v>1</v>
      </c>
    </row>
    <row r="21" spans="1:29" ht="15">
      <c r="A21" s="364"/>
      <c r="B21" s="588"/>
      <c r="C21" s="406"/>
      <c r="D21" s="407"/>
      <c r="E21" s="406"/>
      <c r="F21" s="408"/>
      <c r="G21" s="406"/>
      <c r="H21" s="407"/>
      <c r="I21" s="406"/>
      <c r="J21" s="407"/>
      <c r="K21" s="572"/>
      <c r="L21" s="2901"/>
      <c r="M21" s="2895"/>
      <c r="N21" s="2895"/>
      <c r="O21" s="2895"/>
      <c r="P21" s="3488"/>
      <c r="Q21" s="1487"/>
      <c r="R21" s="714"/>
      <c r="S21" s="715"/>
      <c r="T21" s="714"/>
      <c r="U21" s="715"/>
      <c r="V21" s="714"/>
      <c r="W21" s="715"/>
      <c r="X21" s="1490"/>
      <c r="Y21" s="3488"/>
      <c r="Z21" s="1491"/>
      <c r="AA21" s="1488">
        <v>1</v>
      </c>
      <c r="AB21" s="1488">
        <v>1</v>
      </c>
      <c r="AC21" s="1488">
        <v>1</v>
      </c>
    </row>
    <row r="22" spans="1:29" ht="15">
      <c r="A22" s="364"/>
      <c r="B22" s="587" t="s">
        <v>2290</v>
      </c>
      <c r="C22" s="573"/>
      <c r="D22" s="409">
        <v>100</v>
      </c>
      <c r="E22" s="573"/>
      <c r="F22" s="420">
        <f>SUMIF(71:71,E22,72:72)-SUMIF(71:71,C22,72:72)+100</f>
        <v>100</v>
      </c>
      <c r="G22" s="573"/>
      <c r="H22" s="394">
        <f>SUMIF(71:71,G22,72:72)-SUMIF(71:71,C22,72:72)+100</f>
        <v>100</v>
      </c>
      <c r="I22" s="573"/>
      <c r="J22" s="394">
        <f>SUMIF(71:71,I22,72:72)-SUMIF(71:71,C22,72:72)+100</f>
        <v>100</v>
      </c>
      <c r="K22" s="569"/>
      <c r="L22" s="2901"/>
      <c r="M22" s="2895"/>
      <c r="N22" s="2895"/>
      <c r="O22" s="2895"/>
      <c r="P22" s="3488"/>
      <c r="Q22" s="1487" t="str">
        <f>B22</f>
        <v>楼层</v>
      </c>
      <c r="R22" s="714" t="s">
        <v>17</v>
      </c>
      <c r="S22" s="715">
        <f>F22</f>
        <v>100</v>
      </c>
      <c r="T22" s="714" t="s">
        <v>17</v>
      </c>
      <c r="U22" s="715">
        <f>H22</f>
        <v>100</v>
      </c>
      <c r="V22" s="714" t="s">
        <v>17</v>
      </c>
      <c r="W22" s="715">
        <f>J22</f>
        <v>100</v>
      </c>
      <c r="X22" s="1490"/>
      <c r="Y22" s="3488"/>
      <c r="Z22" s="1491" t="str">
        <f>Q22</f>
        <v>楼层</v>
      </c>
      <c r="AA22" s="1488">
        <f t="shared" si="3"/>
        <v>1</v>
      </c>
      <c r="AB22" s="1488">
        <f t="shared" si="4"/>
        <v>1</v>
      </c>
      <c r="AC22" s="1488">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01"/>
      <c r="M23" s="2895"/>
      <c r="N23" s="2895"/>
      <c r="O23" s="2895"/>
      <c r="P23" s="3488"/>
      <c r="Q23" s="1487">
        <f>B23</f>
        <v>111</v>
      </c>
      <c r="R23" s="714" t="s">
        <v>17</v>
      </c>
      <c r="S23" s="715">
        <f>F23</f>
        <v>100</v>
      </c>
      <c r="T23" s="714" t="s">
        <v>17</v>
      </c>
      <c r="U23" s="715">
        <f>H23</f>
        <v>100</v>
      </c>
      <c r="V23" s="714" t="s">
        <v>17</v>
      </c>
      <c r="W23" s="715">
        <f>J23</f>
        <v>100</v>
      </c>
      <c r="X23" s="1490"/>
      <c r="Y23" s="3488"/>
      <c r="Z23" s="1491">
        <f>Q23</f>
        <v>111</v>
      </c>
      <c r="AA23" s="1488">
        <f t="shared" si="3"/>
        <v>1</v>
      </c>
      <c r="AB23" s="1488">
        <f t="shared" si="4"/>
        <v>1</v>
      </c>
      <c r="AC23" s="1488">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01"/>
      <c r="M24" s="2895"/>
      <c r="N24" s="2895"/>
      <c r="O24" s="2895"/>
      <c r="P24" s="3488"/>
      <c r="Q24" s="1487">
        <f t="shared" ref="Q24:Q36" si="11">B24</f>
        <v>111</v>
      </c>
      <c r="R24" s="714" t="s">
        <v>17</v>
      </c>
      <c r="S24" s="715">
        <f>F24</f>
        <v>100</v>
      </c>
      <c r="T24" s="714" t="s">
        <v>17</v>
      </c>
      <c r="U24" s="715">
        <f>H24</f>
        <v>100</v>
      </c>
      <c r="V24" s="714" t="s">
        <v>17</v>
      </c>
      <c r="W24" s="715">
        <f>J24</f>
        <v>100</v>
      </c>
      <c r="X24" s="1490"/>
      <c r="Y24" s="3488"/>
      <c r="Z24" s="1491">
        <f>Q24</f>
        <v>111</v>
      </c>
      <c r="AA24" s="1488">
        <f t="shared" si="3"/>
        <v>1</v>
      </c>
      <c r="AB24" s="1488">
        <f t="shared" si="4"/>
        <v>1</v>
      </c>
      <c r="AC24" s="1488">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6"/>
      <c r="M25" s="2897"/>
      <c r="N25" s="2897"/>
      <c r="O25" s="2897"/>
      <c r="P25" s="3488"/>
      <c r="Q25" s="1478">
        <f t="shared" si="11"/>
        <v>111</v>
      </c>
      <c r="R25" s="710" t="s">
        <v>17</v>
      </c>
      <c r="S25" s="711">
        <f>F25</f>
        <v>100</v>
      </c>
      <c r="T25" s="710" t="s">
        <v>17</v>
      </c>
      <c r="U25" s="711">
        <f>H25</f>
        <v>100</v>
      </c>
      <c r="V25" s="710" t="s">
        <v>17</v>
      </c>
      <c r="W25" s="711">
        <f>J25</f>
        <v>100</v>
      </c>
      <c r="X25" s="712"/>
      <c r="Y25" s="3488"/>
      <c r="Z25" s="55">
        <f>Q25</f>
        <v>111</v>
      </c>
      <c r="AA25" s="1488">
        <f>D25/F25</f>
        <v>1</v>
      </c>
      <c r="AB25" s="1488">
        <f>D25/H25</f>
        <v>1</v>
      </c>
      <c r="AC25" s="1488">
        <f>D25/J25</f>
        <v>1</v>
      </c>
    </row>
    <row r="26" spans="1:29" ht="28.5">
      <c r="A26" s="608" t="s">
        <v>2142</v>
      </c>
      <c r="B26" s="66" t="s">
        <v>2291</v>
      </c>
      <c r="C26" s="2109">
        <f>B1</f>
        <v>0</v>
      </c>
      <c r="D26" s="407">
        <v>100</v>
      </c>
      <c r="E26" s="406"/>
      <c r="F26" s="408">
        <f>SUMIF(79:79,E26,80:80)-SUMIF(79:79,C26,80:80)+100</f>
        <v>100</v>
      </c>
      <c r="G26" s="406"/>
      <c r="H26" s="407">
        <f>SUMIF(79:79,G26,80:80)-SUMIF(79:79,C26,80:80)+100</f>
        <v>100</v>
      </c>
      <c r="I26" s="406"/>
      <c r="J26" s="407">
        <f>SUMIF(79:79,I26,80:80)-SUMIF(79:79,C26,80:80)+100</f>
        <v>100</v>
      </c>
      <c r="K26" s="569"/>
      <c r="L26" s="2901"/>
      <c r="M26" s="2895"/>
      <c r="N26" s="2895"/>
      <c r="O26" s="2895"/>
      <c r="P26" s="3511" t="s">
        <v>2144</v>
      </c>
      <c r="Q26" s="1487" t="str">
        <f t="shared" si="11"/>
        <v>配套类型</v>
      </c>
      <c r="R26" s="714" t="s">
        <v>17</v>
      </c>
      <c r="S26" s="715">
        <f t="shared" ref="S26:S36" si="12">F26</f>
        <v>100</v>
      </c>
      <c r="T26" s="714" t="s">
        <v>17</v>
      </c>
      <c r="U26" s="715">
        <f t="shared" ref="U26:U36" si="13">H26</f>
        <v>100</v>
      </c>
      <c r="V26" s="714" t="s">
        <v>17</v>
      </c>
      <c r="W26" s="715">
        <f t="shared" ref="W26:W36" si="14">J26</f>
        <v>100</v>
      </c>
      <c r="X26" s="1490"/>
      <c r="Y26" s="3492" t="s">
        <v>2144</v>
      </c>
      <c r="Z26" s="1491" t="str">
        <f t="shared" ref="Z26:Z36" si="15">Q26</f>
        <v>配套类型</v>
      </c>
      <c r="AA26" s="1488">
        <f t="shared" si="3"/>
        <v>1</v>
      </c>
      <c r="AB26" s="1488">
        <f t="shared" si="4"/>
        <v>1</v>
      </c>
      <c r="AC26" s="1488">
        <f t="shared" si="5"/>
        <v>1</v>
      </c>
    </row>
    <row r="27" spans="1:29" s="430" customFormat="1" ht="15">
      <c r="A27" s="609"/>
      <c r="B27" s="610" t="s">
        <v>2292</v>
      </c>
      <c r="C27" s="611"/>
      <c r="D27" s="132">
        <v>100</v>
      </c>
      <c r="E27" s="611"/>
      <c r="F27" s="420">
        <f>SUMIF(81:81,E27,82:82)-SUMIF(81:81,C27,82:82)+100</f>
        <v>100</v>
      </c>
      <c r="G27" s="611"/>
      <c r="H27" s="394">
        <f>SUMIF(81:81,G27,82:82)-SUMIF(81:81,C27,82:82)+100</f>
        <v>100</v>
      </c>
      <c r="I27" s="611"/>
      <c r="J27" s="394">
        <f>SUMIF(81:81,I27,82:82)-SUMIF(81:81,C27,82:82)+100</f>
        <v>100</v>
      </c>
      <c r="K27" s="570"/>
      <c r="L27" s="2900"/>
      <c r="M27" s="2902"/>
      <c r="N27" s="2902"/>
      <c r="O27" s="2902"/>
      <c r="P27" s="3492"/>
      <c r="Q27" s="716" t="str">
        <f t="shared" si="11"/>
        <v>项目停车位配比</v>
      </c>
      <c r="R27" s="717" t="s">
        <v>17</v>
      </c>
      <c r="S27" s="718">
        <f t="shared" si="12"/>
        <v>100</v>
      </c>
      <c r="T27" s="717" t="s">
        <v>17</v>
      </c>
      <c r="U27" s="718">
        <f t="shared" si="13"/>
        <v>100</v>
      </c>
      <c r="V27" s="717" t="s">
        <v>17</v>
      </c>
      <c r="W27" s="718">
        <f t="shared" si="14"/>
        <v>100</v>
      </c>
      <c r="X27" s="719"/>
      <c r="Y27" s="3492"/>
      <c r="Z27" s="720" t="str">
        <f t="shared" si="15"/>
        <v>项目停车位配比</v>
      </c>
      <c r="AA27" s="1488">
        <f t="shared" si="3"/>
        <v>1</v>
      </c>
      <c r="AB27" s="1488">
        <f t="shared" si="4"/>
        <v>1</v>
      </c>
      <c r="AC27" s="1488">
        <f t="shared" si="5"/>
        <v>1</v>
      </c>
    </row>
    <row r="28" spans="1:29" ht="15">
      <c r="A28" s="612"/>
      <c r="B28" s="610" t="s">
        <v>2293</v>
      </c>
      <c r="C28" s="419"/>
      <c r="D28" s="394">
        <v>100</v>
      </c>
      <c r="E28" s="419"/>
      <c r="F28" s="420">
        <f>SUMIF(83:83,E28,84:84)-SUMIF(83:83,C28,84:84)+100</f>
        <v>100</v>
      </c>
      <c r="G28" s="419"/>
      <c r="H28" s="394">
        <f>SUMIF(83:83,G28,84:84)-SUMIF(83:83,C28,84:84)+100</f>
        <v>100</v>
      </c>
      <c r="I28" s="419"/>
      <c r="J28" s="394">
        <f>SUMIF(83:83,I28,84:84)-SUMIF(83:83,C28,84:84)+100</f>
        <v>100</v>
      </c>
      <c r="K28" s="569"/>
      <c r="L28" s="2901"/>
      <c r="M28" s="2895"/>
      <c r="N28" s="2895"/>
      <c r="O28" s="2895"/>
      <c r="P28" s="3492"/>
      <c r="Q28" s="1487" t="str">
        <f t="shared" si="11"/>
        <v>公共部分装修</v>
      </c>
      <c r="R28" s="714" t="s">
        <v>17</v>
      </c>
      <c r="S28" s="715">
        <f t="shared" si="12"/>
        <v>100</v>
      </c>
      <c r="T28" s="714" t="s">
        <v>17</v>
      </c>
      <c r="U28" s="715">
        <f t="shared" si="13"/>
        <v>100</v>
      </c>
      <c r="V28" s="714" t="s">
        <v>17</v>
      </c>
      <c r="W28" s="715">
        <f t="shared" si="14"/>
        <v>100</v>
      </c>
      <c r="X28" s="1490"/>
      <c r="Y28" s="3492"/>
      <c r="Z28" s="1491" t="str">
        <f t="shared" si="15"/>
        <v>公共部分装修</v>
      </c>
      <c r="AA28" s="1488">
        <f t="shared" si="3"/>
        <v>1</v>
      </c>
      <c r="AB28" s="1488">
        <f t="shared" si="4"/>
        <v>1</v>
      </c>
      <c r="AC28" s="1488">
        <f t="shared" si="5"/>
        <v>1</v>
      </c>
    </row>
    <row r="29" spans="1:29" ht="15">
      <c r="A29" s="612"/>
      <c r="B29" s="610" t="s">
        <v>2294</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01"/>
      <c r="M29" s="2895"/>
      <c r="N29" s="2895"/>
      <c r="O29" s="2895"/>
      <c r="P29" s="3492"/>
      <c r="Q29" s="1487" t="str">
        <f t="shared" si="11"/>
        <v>成新率</v>
      </c>
      <c r="R29" s="714" t="s">
        <v>17</v>
      </c>
      <c r="S29" s="715" t="e">
        <f t="shared" si="12"/>
        <v>#N/A</v>
      </c>
      <c r="T29" s="714" t="s">
        <v>17</v>
      </c>
      <c r="U29" s="715" t="e">
        <f t="shared" si="13"/>
        <v>#N/A</v>
      </c>
      <c r="V29" s="714" t="s">
        <v>17</v>
      </c>
      <c r="W29" s="715" t="e">
        <f t="shared" si="14"/>
        <v>#N/A</v>
      </c>
      <c r="X29" s="1490"/>
      <c r="Y29" s="3492"/>
      <c r="Z29" s="1491" t="str">
        <f t="shared" si="15"/>
        <v>成新率</v>
      </c>
      <c r="AA29" s="1488" t="e">
        <f t="shared" si="3"/>
        <v>#N/A</v>
      </c>
      <c r="AB29" s="1488" t="e">
        <f t="shared" si="4"/>
        <v>#N/A</v>
      </c>
      <c r="AC29" s="1488" t="e">
        <f t="shared" si="5"/>
        <v>#N/A</v>
      </c>
    </row>
    <row r="30" spans="1:29" ht="15">
      <c r="A30" s="612"/>
      <c r="B30" s="610" t="s">
        <v>2295</v>
      </c>
      <c r="C30" s="613"/>
      <c r="D30" s="394">
        <v>100</v>
      </c>
      <c r="E30" s="613"/>
      <c r="F30" s="420">
        <f>SUMIF(88:88,E30,89:89)-SUMIF(88:88,C30,89:89)+100</f>
        <v>100</v>
      </c>
      <c r="G30" s="613"/>
      <c r="H30" s="394">
        <f>SUMIF(88:88,E30,89:89)-SUMIF(88:88,C30,89:89)+100</f>
        <v>100</v>
      </c>
      <c r="I30" s="613"/>
      <c r="J30" s="394">
        <f>SUMIF(88:88,E30,89:89)-SUMIF(88:88,C30,89:89)+100</f>
        <v>100</v>
      </c>
      <c r="K30" s="569"/>
      <c r="L30" s="2901"/>
      <c r="M30" s="2895"/>
      <c r="N30" s="2895"/>
      <c r="O30" s="2895"/>
      <c r="P30" s="3492"/>
      <c r="Q30" s="1487" t="str">
        <f t="shared" si="11"/>
        <v>物业等级</v>
      </c>
      <c r="R30" s="714" t="s">
        <v>17</v>
      </c>
      <c r="S30" s="715">
        <f t="shared" si="12"/>
        <v>100</v>
      </c>
      <c r="T30" s="714" t="s">
        <v>17</v>
      </c>
      <c r="U30" s="715">
        <f t="shared" si="13"/>
        <v>100</v>
      </c>
      <c r="V30" s="714" t="s">
        <v>17</v>
      </c>
      <c r="W30" s="715">
        <f t="shared" si="14"/>
        <v>100</v>
      </c>
      <c r="X30" s="1490"/>
      <c r="Y30" s="3492"/>
      <c r="Z30" s="1491" t="str">
        <f t="shared" si="15"/>
        <v>物业等级</v>
      </c>
      <c r="AA30" s="1488">
        <f t="shared" si="3"/>
        <v>1</v>
      </c>
      <c r="AB30" s="1488">
        <f t="shared" si="4"/>
        <v>1</v>
      </c>
      <c r="AC30" s="1488">
        <f t="shared" si="5"/>
        <v>1</v>
      </c>
    </row>
    <row r="31" spans="1:29" s="113" customFormat="1" ht="15">
      <c r="A31" s="614"/>
      <c r="B31" s="610" t="s">
        <v>2296</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6"/>
      <c r="M31" s="2897"/>
      <c r="N31" s="2897"/>
      <c r="O31" s="2897"/>
      <c r="P31" s="3492"/>
      <c r="Q31" s="1478" t="str">
        <f t="shared" si="11"/>
        <v>停车位面积</v>
      </c>
      <c r="R31" s="710" t="s">
        <v>17</v>
      </c>
      <c r="S31" s="711" t="e">
        <f t="shared" si="12"/>
        <v>#N/A</v>
      </c>
      <c r="T31" s="710" t="s">
        <v>17</v>
      </c>
      <c r="U31" s="711" t="e">
        <f t="shared" si="13"/>
        <v>#N/A</v>
      </c>
      <c r="V31" s="710" t="s">
        <v>17</v>
      </c>
      <c r="W31" s="711" t="e">
        <f t="shared" si="14"/>
        <v>#N/A</v>
      </c>
      <c r="X31" s="712"/>
      <c r="Y31" s="3492"/>
      <c r="Z31" s="55" t="str">
        <f t="shared" si="15"/>
        <v>停车位面积</v>
      </c>
      <c r="AA31" s="713" t="e">
        <f t="shared" si="3"/>
        <v>#N/A</v>
      </c>
      <c r="AB31" s="713" t="e">
        <f t="shared" si="4"/>
        <v>#N/A</v>
      </c>
      <c r="AC31" s="713" t="e">
        <f t="shared" si="5"/>
        <v>#N/A</v>
      </c>
    </row>
    <row r="32" spans="1:29" ht="15">
      <c r="A32" s="612"/>
      <c r="B32" s="610" t="s">
        <v>2297</v>
      </c>
      <c r="C32" s="419"/>
      <c r="D32" s="394">
        <v>100</v>
      </c>
      <c r="E32" s="419"/>
      <c r="F32" s="420">
        <f>SUMIF(93:93,E32,94:94)-SUMIF(93:93,C32,94:94)+100</f>
        <v>100</v>
      </c>
      <c r="G32" s="419"/>
      <c r="H32" s="394">
        <f>SUMIF(93:93,G32,94:94)-SUMIF(93:93,C32,94:94)+100</f>
        <v>100</v>
      </c>
      <c r="I32" s="419"/>
      <c r="J32" s="394">
        <f>SUMIF(93:93,I32,94:94)-SUMIF(93:93,C32,94:94)+100</f>
        <v>100</v>
      </c>
      <c r="K32" s="569"/>
      <c r="L32" s="2901"/>
      <c r="M32" s="2895"/>
      <c r="N32" s="2895"/>
      <c r="O32" s="2895"/>
      <c r="P32" s="3492" t="s">
        <v>2144</v>
      </c>
      <c r="Q32" s="1487" t="str">
        <f t="shared" si="11"/>
        <v>车位类型</v>
      </c>
      <c r="R32" s="714" t="s">
        <v>17</v>
      </c>
      <c r="S32" s="715">
        <f t="shared" si="12"/>
        <v>100</v>
      </c>
      <c r="T32" s="714" t="s">
        <v>17</v>
      </c>
      <c r="U32" s="715">
        <f t="shared" si="13"/>
        <v>100</v>
      </c>
      <c r="V32" s="714" t="s">
        <v>17</v>
      </c>
      <c r="W32" s="715">
        <f t="shared" si="14"/>
        <v>100</v>
      </c>
      <c r="X32" s="1490"/>
      <c r="Y32" s="3492" t="s">
        <v>2144</v>
      </c>
      <c r="Z32" s="1491" t="str">
        <f t="shared" si="15"/>
        <v>车位类型</v>
      </c>
      <c r="AA32" s="1488">
        <f t="shared" si="3"/>
        <v>1</v>
      </c>
      <c r="AB32" s="1488">
        <f t="shared" si="4"/>
        <v>1</v>
      </c>
      <c r="AC32" s="1488">
        <f t="shared" si="5"/>
        <v>1</v>
      </c>
    </row>
    <row r="33" spans="1:29" ht="15">
      <c r="A33" s="612"/>
      <c r="B33" s="610" t="s">
        <v>2298</v>
      </c>
      <c r="C33" s="419"/>
      <c r="D33" s="394">
        <v>100</v>
      </c>
      <c r="E33" s="419"/>
      <c r="F33" s="420">
        <f>SUMIF(95:95,E33,96:96)-SUMIF(95:95,C33,96:96)+100</f>
        <v>100</v>
      </c>
      <c r="G33" s="419"/>
      <c r="H33" s="394">
        <f>SUMIF(95:95,G33,96:96)-SUMIF(95:95,C33,96:96)+100</f>
        <v>100</v>
      </c>
      <c r="I33" s="419"/>
      <c r="J33" s="394">
        <f>SUMIF(95:95,I33,96:96)-SUMIF(95:95,C33,96:96)+100</f>
        <v>100</v>
      </c>
      <c r="K33" s="569"/>
      <c r="L33" s="2901"/>
      <c r="M33" s="2895"/>
      <c r="N33" s="2895"/>
      <c r="O33" s="2895"/>
      <c r="P33" s="3492"/>
      <c r="Q33" s="1487" t="str">
        <f t="shared" si="11"/>
        <v>是否直接入户</v>
      </c>
      <c r="R33" s="714" t="s">
        <v>17</v>
      </c>
      <c r="S33" s="715">
        <f t="shared" si="12"/>
        <v>100</v>
      </c>
      <c r="T33" s="714" t="s">
        <v>17</v>
      </c>
      <c r="U33" s="715">
        <f t="shared" si="13"/>
        <v>100</v>
      </c>
      <c r="V33" s="714" t="s">
        <v>17</v>
      </c>
      <c r="W33" s="715">
        <f t="shared" si="14"/>
        <v>100</v>
      </c>
      <c r="X33" s="1490"/>
      <c r="Y33" s="3492"/>
      <c r="Z33" s="1491" t="str">
        <f t="shared" si="15"/>
        <v>是否直接入户</v>
      </c>
      <c r="AA33" s="1488">
        <f t="shared" si="3"/>
        <v>1</v>
      </c>
      <c r="AB33" s="1488">
        <f t="shared" si="4"/>
        <v>1</v>
      </c>
      <c r="AC33" s="1488">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01"/>
      <c r="M34" s="2895"/>
      <c r="N34" s="2895"/>
      <c r="O34" s="2895"/>
      <c r="P34" s="3492"/>
      <c r="Q34" s="1487">
        <f t="shared" si="11"/>
        <v>111</v>
      </c>
      <c r="R34" s="714" t="s">
        <v>17</v>
      </c>
      <c r="S34" s="715">
        <f t="shared" si="12"/>
        <v>100</v>
      </c>
      <c r="T34" s="714" t="s">
        <v>17</v>
      </c>
      <c r="U34" s="715">
        <f t="shared" si="13"/>
        <v>100</v>
      </c>
      <c r="V34" s="714" t="s">
        <v>17</v>
      </c>
      <c r="W34" s="715">
        <f t="shared" si="14"/>
        <v>100</v>
      </c>
      <c r="X34" s="1490"/>
      <c r="Y34" s="3492"/>
      <c r="Z34" s="1491">
        <f t="shared" si="15"/>
        <v>111</v>
      </c>
      <c r="AA34" s="1488">
        <f t="shared" si="3"/>
        <v>1</v>
      </c>
      <c r="AB34" s="1488">
        <f t="shared" si="4"/>
        <v>1</v>
      </c>
      <c r="AC34" s="1488">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00"/>
      <c r="M35" s="2902"/>
      <c r="N35" s="2902"/>
      <c r="O35" s="2902"/>
      <c r="P35" s="3492"/>
      <c r="Q35" s="716">
        <f t="shared" si="11"/>
        <v>111</v>
      </c>
      <c r="R35" s="717" t="s">
        <v>17</v>
      </c>
      <c r="S35" s="718">
        <f t="shared" si="12"/>
        <v>100</v>
      </c>
      <c r="T35" s="717" t="s">
        <v>17</v>
      </c>
      <c r="U35" s="718">
        <f t="shared" si="13"/>
        <v>100</v>
      </c>
      <c r="V35" s="717" t="s">
        <v>17</v>
      </c>
      <c r="W35" s="718">
        <f t="shared" si="14"/>
        <v>100</v>
      </c>
      <c r="X35" s="719"/>
      <c r="Y35" s="3492"/>
      <c r="Z35" s="720">
        <f t="shared" si="15"/>
        <v>111</v>
      </c>
      <c r="AA35" s="1488">
        <f t="shared" si="3"/>
        <v>1</v>
      </c>
      <c r="AB35" s="1488">
        <f t="shared" si="4"/>
        <v>1</v>
      </c>
      <c r="AC35" s="1488">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01"/>
      <c r="M36" s="2895"/>
      <c r="N36" s="2895"/>
      <c r="O36" s="2895"/>
      <c r="P36" s="3492"/>
      <c r="Q36" s="1487">
        <f t="shared" si="11"/>
        <v>111</v>
      </c>
      <c r="R36" s="714" t="s">
        <v>17</v>
      </c>
      <c r="S36" s="715">
        <f t="shared" si="12"/>
        <v>100</v>
      </c>
      <c r="T36" s="714" t="s">
        <v>17</v>
      </c>
      <c r="U36" s="715">
        <f t="shared" si="13"/>
        <v>100</v>
      </c>
      <c r="V36" s="714" t="s">
        <v>17</v>
      </c>
      <c r="W36" s="715">
        <f t="shared" si="14"/>
        <v>100</v>
      </c>
      <c r="X36" s="1490"/>
      <c r="Y36" s="3492"/>
      <c r="Z36" s="1491">
        <f t="shared" si="15"/>
        <v>111</v>
      </c>
      <c r="AA36" s="1488">
        <f t="shared" si="3"/>
        <v>1</v>
      </c>
      <c r="AB36" s="1488">
        <f t="shared" si="4"/>
        <v>1</v>
      </c>
      <c r="AC36" s="1488">
        <f t="shared" si="5"/>
        <v>1</v>
      </c>
    </row>
    <row r="37" spans="1:29" ht="15">
      <c r="A37" s="438" t="s">
        <v>2299</v>
      </c>
      <c r="B37" s="2110" t="s">
        <v>2300</v>
      </c>
      <c r="C37" s="1269" t="s">
        <v>1</v>
      </c>
      <c r="D37" s="1270"/>
      <c r="E37" s="1271"/>
      <c r="F37" s="1272"/>
      <c r="G37" s="1273"/>
      <c r="H37" s="1274"/>
      <c r="I37" s="1271"/>
      <c r="J37" s="1274"/>
      <c r="K37" s="576"/>
      <c r="L37" s="2903"/>
      <c r="M37" s="2904"/>
      <c r="N37" s="2895"/>
      <c r="O37" s="2904"/>
      <c r="P37" s="3485" t="str">
        <f>A37</f>
        <v>成交单价</v>
      </c>
      <c r="Q37" s="3485"/>
      <c r="R37" s="3486">
        <f>E37</f>
        <v>0</v>
      </c>
      <c r="S37" s="3486"/>
      <c r="T37" s="3486">
        <f>G37</f>
        <v>0</v>
      </c>
      <c r="U37" s="3486"/>
      <c r="V37" s="3486">
        <f>I37</f>
        <v>0</v>
      </c>
      <c r="W37" s="3486"/>
      <c r="X37" s="699"/>
      <c r="Y37" s="721"/>
      <c r="Z37" s="699"/>
      <c r="AA37" s="699"/>
      <c r="AB37" s="699"/>
      <c r="AC37" s="699"/>
    </row>
    <row r="38" spans="1:29" ht="15.75" thickBot="1">
      <c r="A38" s="445" t="s">
        <v>2301</v>
      </c>
      <c r="B38" s="446" t="str">
        <f>B37</f>
        <v>元/车位</v>
      </c>
      <c r="C38" s="1275" t="e">
        <f>R39</f>
        <v>#DIV/0!</v>
      </c>
      <c r="D38" s="2489" t="s">
        <v>2638</v>
      </c>
      <c r="E38" s="1276" t="e">
        <f>R38</f>
        <v>#DIV/0!</v>
      </c>
      <c r="F38" s="2490"/>
      <c r="G38" s="1275" t="e">
        <f>T38</f>
        <v>#DIV/0!</v>
      </c>
      <c r="H38" s="2490"/>
      <c r="I38" s="1276" t="e">
        <f>V38</f>
        <v>#DIV/0!</v>
      </c>
      <c r="J38" s="2490"/>
      <c r="K38" s="2492">
        <f>F38+H38+J38</f>
        <v>0</v>
      </c>
      <c r="L38" s="2903"/>
      <c r="M38" s="2904"/>
      <c r="N38" s="2904"/>
      <c r="O38" s="2904"/>
      <c r="P38" s="3485" t="str">
        <f>A38</f>
        <v>比较价值（元/平方米）</v>
      </c>
      <c r="Q38" s="3485"/>
      <c r="R38" s="3486" t="e">
        <f>IF(F1="售价",ROUND(PRODUCT(R37,AA7:AA36),0),ROUND(PRODUCT(R37,AA7:AA36),1))</f>
        <v>#DIV/0!</v>
      </c>
      <c r="S38" s="3486"/>
      <c r="T38" s="3486" t="e">
        <f>IF(F1="售价",ROUND(PRODUCT(T37,AB7:AB36),0),ROUND(PRODUCT(T37,AB7:AB36),1))</f>
        <v>#DIV/0!</v>
      </c>
      <c r="U38" s="3486"/>
      <c r="V38" s="3486" t="e">
        <f>IF(F1="售价",ROUND(PRODUCT(V37,AC7:AC36),0),ROUND(PRODUCT(V37,AC7:AC36),1))</f>
        <v>#DIV/0!</v>
      </c>
      <c r="W38" s="3486"/>
      <c r="X38" s="699"/>
      <c r="Y38" s="699"/>
      <c r="Z38" s="699"/>
      <c r="AA38" s="699"/>
      <c r="AB38" s="699"/>
      <c r="AC38" s="699"/>
    </row>
    <row r="39" spans="1:29" ht="15.75" thickBot="1">
      <c r="A39" s="449" t="s">
        <v>2302</v>
      </c>
      <c r="B39" s="450"/>
      <c r="C39" s="1278" t="e">
        <f>R39</f>
        <v>#DIV/0!</v>
      </c>
      <c r="D39" s="1278"/>
      <c r="E39" s="1278"/>
      <c r="F39" s="1278"/>
      <c r="G39" s="1278"/>
      <c r="H39" s="1278"/>
      <c r="I39" s="1278"/>
      <c r="J39" s="1278"/>
      <c r="K39" s="577"/>
      <c r="L39" s="2903"/>
      <c r="M39" s="2904"/>
      <c r="N39" s="2904"/>
      <c r="O39" s="2904"/>
      <c r="P39" s="3482" t="str">
        <f>A39</f>
        <v>估价对象XX用房的比较价值（楼面单价，元/平方米）</v>
      </c>
      <c r="Q39" s="3483"/>
      <c r="R39" s="3512" t="e">
        <f>IF(F1="售价",ROUND(IF(D38="简单平均",AVERAGE(R38:W38),R38*F38+T38*H38+V38*J38),0),ROUND(IF(D38="简单平均",AVERAGE(R38:V38),R38*F38+T38*H38+V38*J38),1))</f>
        <v>#DIV/0!</v>
      </c>
      <c r="S39" s="3512"/>
      <c r="T39" s="3512"/>
      <c r="U39" s="3512"/>
      <c r="V39" s="3512"/>
      <c r="W39" s="3512"/>
      <c r="X39" s="699"/>
      <c r="Y39" s="699"/>
      <c r="Z39" s="699"/>
      <c r="AA39" s="699"/>
      <c r="AB39" s="699"/>
      <c r="AC39" s="699"/>
    </row>
    <row r="40" spans="1:29">
      <c r="A40" s="2904"/>
      <c r="B40" s="2904"/>
      <c r="C40" s="2904"/>
      <c r="D40" s="2904"/>
      <c r="E40" s="2904"/>
      <c r="F40" s="2904"/>
      <c r="G40" s="2908"/>
      <c r="H40" s="2904"/>
      <c r="I40" s="2904"/>
      <c r="J40" s="2904"/>
      <c r="K40" s="2909"/>
      <c r="L40" s="2905"/>
      <c r="M40" s="2904"/>
      <c r="N40" s="2904"/>
      <c r="O40" s="2904"/>
      <c r="P40" s="2935"/>
      <c r="Q40" s="2904"/>
      <c r="R40" s="2904"/>
      <c r="S40" s="2904"/>
      <c r="T40" s="2904"/>
      <c r="U40" s="2904"/>
      <c r="V40" s="2904"/>
      <c r="W40" s="2904"/>
      <c r="X40" s="2904"/>
      <c r="Y40" s="2904"/>
      <c r="Z40" s="2904"/>
      <c r="AA40" s="2904"/>
      <c r="AB40" s="2904"/>
      <c r="AC40" s="2904"/>
    </row>
    <row r="41" spans="1:29">
      <c r="A41" s="2904"/>
      <c r="B41" s="2904"/>
      <c r="C41" s="2904"/>
      <c r="D41" s="2904"/>
      <c r="E41" s="2904"/>
      <c r="F41" s="2904"/>
      <c r="G41" s="2904"/>
      <c r="H41" s="2904"/>
      <c r="I41" s="2904"/>
      <c r="J41" s="2904"/>
      <c r="K41" s="2909"/>
      <c r="L41" s="2905"/>
      <c r="M41" s="2904"/>
      <c r="N41" s="2904"/>
      <c r="O41" s="2904"/>
      <c r="P41" s="2935"/>
      <c r="Q41" s="2904"/>
      <c r="R41" s="2904"/>
      <c r="S41" s="2904"/>
      <c r="T41" s="2904"/>
      <c r="U41" s="2904"/>
      <c r="V41" s="2904"/>
      <c r="W41" s="2904"/>
      <c r="X41" s="2904"/>
      <c r="Y41" s="2904"/>
      <c r="Z41" s="2904"/>
      <c r="AA41" s="2904"/>
      <c r="AB41" s="2904"/>
      <c r="AC41" s="2904"/>
    </row>
    <row r="42" spans="1:29" ht="13.5" customHeight="1">
      <c r="A42" s="2904"/>
      <c r="B42" s="2904"/>
      <c r="C42" s="454" t="s">
        <v>2303</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9"/>
      <c r="L42" s="2905"/>
      <c r="M42" s="2904"/>
      <c r="N42" s="2904"/>
      <c r="O42" s="2904"/>
      <c r="P42" s="2935"/>
      <c r="Q42" s="2904"/>
      <c r="R42" s="2904"/>
      <c r="S42" s="2904"/>
      <c r="T42" s="2904"/>
      <c r="U42" s="2904"/>
      <c r="V42" s="2904"/>
      <c r="W42" s="2904"/>
      <c r="X42" s="2904"/>
      <c r="Y42" s="2904"/>
      <c r="Z42" s="2904"/>
      <c r="AA42" s="2904"/>
      <c r="AB42" s="2904"/>
      <c r="AC42" s="2904"/>
    </row>
    <row r="43" spans="1:29" ht="13.5" customHeight="1">
      <c r="A43" s="2904"/>
      <c r="B43" s="2904"/>
      <c r="C43" s="454" t="s">
        <v>2304</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9"/>
      <c r="L43" s="2905"/>
      <c r="M43" s="2904"/>
      <c r="N43" s="2904"/>
      <c r="O43" s="2904"/>
      <c r="P43" s="2935"/>
      <c r="Q43" s="2904"/>
      <c r="R43" s="2904"/>
      <c r="S43" s="2904"/>
      <c r="T43" s="2904"/>
      <c r="U43" s="2904"/>
      <c r="V43" s="2904"/>
      <c r="W43" s="2904"/>
      <c r="X43" s="2904"/>
      <c r="Y43" s="2904"/>
      <c r="Z43" s="2904"/>
      <c r="AA43" s="2904"/>
      <c r="AB43" s="2904"/>
      <c r="AC43" s="2904"/>
    </row>
    <row r="44" spans="1:29" s="459" customFormat="1" ht="13.5" customHeight="1">
      <c r="A44" s="2907"/>
      <c r="B44" s="2907"/>
      <c r="C44" s="454" t="s">
        <v>2305</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12"/>
      <c r="L44" s="2906"/>
      <c r="M44" s="2907"/>
      <c r="N44" s="2907"/>
      <c r="O44" s="2907"/>
      <c r="P44" s="2936"/>
      <c r="Q44" s="2907"/>
      <c r="R44" s="2907"/>
      <c r="S44" s="2907"/>
      <c r="T44" s="2907"/>
      <c r="U44" s="2907"/>
      <c r="V44" s="2907"/>
      <c r="W44" s="2907"/>
      <c r="X44" s="2907"/>
      <c r="Y44" s="2907"/>
      <c r="Z44" s="2907"/>
      <c r="AA44" s="2907"/>
      <c r="AB44" s="2907"/>
      <c r="AC44" s="2907"/>
    </row>
    <row r="45" spans="1:29" s="459" customFormat="1">
      <c r="A45" s="2907"/>
      <c r="B45" s="2910"/>
      <c r="C45" s="2911"/>
      <c r="D45" s="2907"/>
      <c r="E45" s="2907"/>
      <c r="F45" s="2907"/>
      <c r="G45" s="2907"/>
      <c r="H45" s="2907"/>
      <c r="I45" s="2907"/>
      <c r="J45" s="2907"/>
      <c r="K45" s="2912"/>
      <c r="L45" s="2906"/>
      <c r="M45" s="2907"/>
      <c r="N45" s="2907"/>
      <c r="O45" s="2907"/>
      <c r="P45" s="2936"/>
      <c r="Q45" s="2907"/>
      <c r="R45" s="2907"/>
      <c r="S45" s="2907"/>
      <c r="T45" s="2907"/>
      <c r="U45" s="2907"/>
      <c r="V45" s="2907"/>
      <c r="W45" s="2907"/>
      <c r="X45" s="2907"/>
      <c r="Y45" s="2907"/>
      <c r="Z45" s="2907"/>
      <c r="AA45" s="2907"/>
      <c r="AB45" s="2907"/>
      <c r="AC45" s="2907"/>
    </row>
    <row r="46" spans="1:29">
      <c r="A46" s="2904"/>
      <c r="B46" s="2910"/>
      <c r="C46" s="2911"/>
      <c r="D46" s="2904"/>
      <c r="E46" s="2904"/>
      <c r="F46" s="2904"/>
      <c r="G46" s="2904"/>
      <c r="H46" s="2904"/>
      <c r="I46" s="2904"/>
      <c r="J46" s="2904"/>
      <c r="K46" s="2909"/>
      <c r="L46" s="2905"/>
      <c r="M46" s="2904"/>
      <c r="N46" s="2904"/>
      <c r="O46" s="2904"/>
      <c r="P46" s="2935"/>
      <c r="Q46" s="2904"/>
      <c r="R46" s="2904"/>
      <c r="S46" s="2904"/>
      <c r="T46" s="2904"/>
      <c r="U46" s="2904"/>
      <c r="V46" s="2904"/>
      <c r="W46" s="2904"/>
      <c r="X46" s="2904"/>
      <c r="Y46" s="2904"/>
      <c r="Z46" s="2904"/>
      <c r="AA46" s="2904"/>
      <c r="AB46" s="2904"/>
      <c r="AC46" s="2904"/>
    </row>
    <row r="47" spans="1:29" ht="21.75" thickBot="1">
      <c r="A47" s="1281" t="s">
        <v>2306</v>
      </c>
      <c r="B47" s="1039"/>
      <c r="C47" s="1052"/>
      <c r="D47" s="1052"/>
      <c r="E47" s="1052"/>
      <c r="F47" s="1282"/>
      <c r="G47" s="1282"/>
      <c r="H47" s="1052"/>
      <c r="I47" s="1052"/>
      <c r="J47" s="1052"/>
      <c r="K47" s="1053"/>
      <c r="L47" s="1054"/>
      <c r="M47" s="1052"/>
      <c r="N47" s="2948"/>
      <c r="O47" s="2948"/>
      <c r="P47" s="2937"/>
      <c r="Q47" s="2918"/>
      <c r="R47" s="2904"/>
      <c r="S47" s="2904"/>
      <c r="T47" s="2904"/>
      <c r="U47" s="2904"/>
      <c r="V47" s="2904"/>
      <c r="W47" s="2904"/>
      <c r="X47" s="2904"/>
      <c r="Y47" s="2904"/>
      <c r="Z47" s="2904"/>
      <c r="AA47" s="2904"/>
      <c r="AB47" s="2904"/>
      <c r="AC47" s="2904"/>
    </row>
    <row r="48" spans="1:29" s="465" customFormat="1" ht="15">
      <c r="A48" s="462" t="s">
        <v>2307</v>
      </c>
      <c r="B48" s="463"/>
      <c r="C48" s="1299" t="str">
        <f>YEAR(C7)&amp;"-"&amp;MONTH(C7)</f>
        <v>2022-11</v>
      </c>
      <c r="D48" s="1300">
        <f>EDATE(C48,-1)</f>
        <v>44835</v>
      </c>
      <c r="E48" s="1300">
        <f t="shared" ref="E48:O48" si="16">EDATE(D48,-1)</f>
        <v>44805</v>
      </c>
      <c r="F48" s="1300">
        <f t="shared" si="16"/>
        <v>44774</v>
      </c>
      <c r="G48" s="1300">
        <f t="shared" si="16"/>
        <v>44743</v>
      </c>
      <c r="H48" s="1300">
        <f t="shared" si="16"/>
        <v>44713</v>
      </c>
      <c r="I48" s="1300">
        <f t="shared" si="16"/>
        <v>44682</v>
      </c>
      <c r="J48" s="1300">
        <f t="shared" si="16"/>
        <v>44652</v>
      </c>
      <c r="K48" s="1300">
        <f t="shared" si="16"/>
        <v>44621</v>
      </c>
      <c r="L48" s="1300">
        <f t="shared" si="16"/>
        <v>44593</v>
      </c>
      <c r="M48" s="1300">
        <f t="shared" si="16"/>
        <v>44562</v>
      </c>
      <c r="N48" s="1300">
        <f t="shared" si="16"/>
        <v>44531</v>
      </c>
      <c r="O48" s="1300">
        <f t="shared" si="16"/>
        <v>44501</v>
      </c>
      <c r="P48" s="2938"/>
      <c r="Q48" s="2920"/>
      <c r="R48" s="2920"/>
      <c r="S48" s="2920"/>
      <c r="T48" s="2920"/>
      <c r="U48" s="2920"/>
      <c r="V48" s="2920"/>
      <c r="W48" s="2920"/>
      <c r="X48" s="2920"/>
      <c r="Y48" s="2920"/>
      <c r="Z48" s="2920"/>
      <c r="AA48" s="2920"/>
      <c r="AB48" s="2920"/>
      <c r="AC48" s="2920"/>
    </row>
    <row r="49" spans="1:29" s="113" customFormat="1" ht="15">
      <c r="A49" s="466"/>
      <c r="B49" s="467"/>
      <c r="C49" s="1292">
        <v>100</v>
      </c>
      <c r="D49" s="469"/>
      <c r="E49" s="469"/>
      <c r="F49" s="469"/>
      <c r="G49" s="469"/>
      <c r="H49" s="469"/>
      <c r="I49" s="469"/>
      <c r="J49" s="469"/>
      <c r="K49" s="469"/>
      <c r="L49" s="469"/>
      <c r="M49" s="470"/>
      <c r="N49" s="469"/>
      <c r="O49" s="470"/>
      <c r="P49" s="2939"/>
      <c r="Q49" s="2838"/>
      <c r="R49" s="2838"/>
      <c r="S49" s="2838"/>
      <c r="T49" s="2838"/>
      <c r="U49" s="2838"/>
      <c r="V49" s="2838"/>
      <c r="W49" s="2838"/>
      <c r="X49" s="2838"/>
      <c r="Y49" s="2838"/>
      <c r="Z49" s="2838"/>
      <c r="AA49" s="2838"/>
      <c r="AB49" s="2838"/>
      <c r="AC49" s="2838"/>
    </row>
    <row r="50" spans="1:29" s="113" customFormat="1" ht="15.75" thickBot="1">
      <c r="A50" s="472" t="s">
        <v>2164</v>
      </c>
      <c r="B50" s="473"/>
      <c r="C50" s="474"/>
      <c r="D50" s="475"/>
      <c r="E50" s="475"/>
      <c r="F50" s="475"/>
      <c r="G50" s="475"/>
      <c r="H50" s="475"/>
      <c r="I50" s="475"/>
      <c r="J50" s="475"/>
      <c r="K50" s="475"/>
      <c r="L50" s="475"/>
      <c r="M50" s="476"/>
      <c r="N50" s="475"/>
      <c r="O50" s="476"/>
      <c r="P50" s="2939"/>
      <c r="Q50" s="2918"/>
      <c r="R50" s="2838"/>
      <c r="S50" s="2838"/>
      <c r="T50" s="2838"/>
      <c r="U50" s="2838"/>
      <c r="V50" s="2838"/>
      <c r="W50" s="2838"/>
      <c r="X50" s="2838"/>
      <c r="Y50" s="2838"/>
      <c r="Z50" s="2838"/>
      <c r="AA50" s="2838"/>
      <c r="AB50" s="2838"/>
      <c r="AC50" s="2838"/>
    </row>
    <row r="51" spans="1:29" s="113" customFormat="1" ht="15">
      <c r="A51" s="478" t="s">
        <v>2129</v>
      </c>
      <c r="B51" s="467"/>
      <c r="C51" s="479" t="s">
        <v>2231</v>
      </c>
      <c r="D51" s="480"/>
      <c r="E51" s="480"/>
      <c r="F51" s="480"/>
      <c r="G51" s="480"/>
      <c r="H51" s="480"/>
      <c r="I51" s="480"/>
      <c r="J51" s="480"/>
      <c r="K51" s="480"/>
      <c r="L51" s="481"/>
      <c r="M51" s="482"/>
      <c r="N51" s="2931"/>
      <c r="O51" s="2931"/>
      <c r="P51" s="2940"/>
      <c r="Q51" s="2918"/>
      <c r="R51" s="2838"/>
      <c r="S51" s="2838"/>
      <c r="T51" s="2838"/>
      <c r="U51" s="2838"/>
      <c r="V51" s="2838"/>
      <c r="W51" s="2838"/>
      <c r="X51" s="2838"/>
      <c r="Y51" s="2838"/>
      <c r="Z51" s="2838"/>
      <c r="AA51" s="2838"/>
      <c r="AB51" s="2838"/>
      <c r="AC51" s="2838"/>
    </row>
    <row r="52" spans="1:29" s="113" customFormat="1" ht="15.75" thickBot="1">
      <c r="A52" s="478"/>
      <c r="B52" s="467"/>
      <c r="C52" s="595">
        <v>100</v>
      </c>
      <c r="D52" s="469"/>
      <c r="E52" s="469"/>
      <c r="F52" s="469"/>
      <c r="G52" s="469"/>
      <c r="H52" s="469"/>
      <c r="I52" s="469"/>
      <c r="J52" s="469"/>
      <c r="K52" s="469"/>
      <c r="L52" s="469"/>
      <c r="M52" s="471"/>
      <c r="N52" s="2931"/>
      <c r="O52" s="2931"/>
      <c r="P52" s="2939"/>
      <c r="Q52" s="2918"/>
      <c r="R52" s="2838"/>
      <c r="S52" s="2838"/>
      <c r="T52" s="2838"/>
      <c r="U52" s="2838"/>
      <c r="V52" s="2838"/>
      <c r="W52" s="2838"/>
      <c r="X52" s="2838"/>
      <c r="Y52" s="2838"/>
      <c r="Z52" s="2838"/>
      <c r="AA52" s="2838"/>
      <c r="AB52" s="2838"/>
      <c r="AC52" s="2838"/>
    </row>
    <row r="53" spans="1:29">
      <c r="A53" s="484" t="s">
        <v>2167</v>
      </c>
      <c r="B53" s="485" t="s">
        <v>2133</v>
      </c>
      <c r="C53" s="486">
        <f>C9</f>
        <v>0</v>
      </c>
      <c r="D53" s="487"/>
      <c r="E53" s="487"/>
      <c r="F53" s="487"/>
      <c r="G53" s="487"/>
      <c r="H53" s="487"/>
      <c r="I53" s="487"/>
      <c r="J53" s="487"/>
      <c r="K53" s="488"/>
      <c r="L53" s="489"/>
      <c r="M53" s="490"/>
      <c r="N53" s="2932"/>
      <c r="O53" s="2932"/>
      <c r="P53" s="2941"/>
      <c r="Q53" s="2918"/>
      <c r="R53" s="2904"/>
      <c r="S53" s="2904"/>
      <c r="T53" s="2904"/>
      <c r="U53" s="2904"/>
      <c r="V53" s="2904"/>
      <c r="W53" s="2904"/>
      <c r="X53" s="2904"/>
      <c r="Y53" s="2904"/>
      <c r="Z53" s="2904"/>
      <c r="AA53" s="2904"/>
      <c r="AB53" s="2904"/>
      <c r="AC53" s="2904"/>
    </row>
    <row r="54" spans="1:29" ht="15.75" thickBot="1">
      <c r="A54" s="491"/>
      <c r="B54" s="492"/>
      <c r="C54" s="493">
        <v>100</v>
      </c>
      <c r="D54" s="493"/>
      <c r="E54" s="493"/>
      <c r="F54" s="493"/>
      <c r="G54" s="493"/>
      <c r="H54" s="493"/>
      <c r="I54" s="493"/>
      <c r="J54" s="493"/>
      <c r="K54" s="493"/>
      <c r="L54" s="493"/>
      <c r="M54" s="494"/>
      <c r="N54" s="2933"/>
      <c r="O54" s="2933"/>
      <c r="P54" s="2941"/>
      <c r="Q54" s="2918"/>
      <c r="R54" s="2904"/>
      <c r="S54" s="2904"/>
      <c r="T54" s="2904"/>
      <c r="U54" s="2904"/>
      <c r="V54" s="2904"/>
      <c r="W54" s="2904"/>
      <c r="X54" s="2904"/>
      <c r="Y54" s="2904"/>
      <c r="Z54" s="2904"/>
      <c r="AA54" s="2904"/>
      <c r="AB54" s="2904"/>
      <c r="AC54" s="2904"/>
    </row>
    <row r="55" spans="1:29" ht="27.75" thickTop="1">
      <c r="A55" s="491"/>
      <c r="B55" s="495" t="s">
        <v>2136</v>
      </c>
      <c r="C55" s="496" t="s">
        <v>2168</v>
      </c>
      <c r="D55" s="496" t="s">
        <v>2169</v>
      </c>
      <c r="E55" s="496" t="s">
        <v>2170</v>
      </c>
      <c r="F55" s="496" t="s">
        <v>2171</v>
      </c>
      <c r="G55" s="496" t="s">
        <v>2172</v>
      </c>
      <c r="H55" s="496" t="s">
        <v>2173</v>
      </c>
      <c r="I55" s="496" t="s">
        <v>2174</v>
      </c>
      <c r="J55" s="496"/>
      <c r="K55" s="497"/>
      <c r="L55" s="498"/>
      <c r="M55" s="499"/>
      <c r="N55" s="2932"/>
      <c r="O55" s="2932"/>
      <c r="P55" s="2941"/>
      <c r="Q55" s="2918"/>
      <c r="R55" s="2904"/>
      <c r="S55" s="2904"/>
      <c r="T55" s="2904"/>
      <c r="U55" s="2904"/>
      <c r="V55" s="2904"/>
      <c r="W55" s="2904"/>
      <c r="X55" s="2904"/>
      <c r="Y55" s="2904"/>
      <c r="Z55" s="2904"/>
      <c r="AA55" s="2904"/>
      <c r="AB55" s="2904"/>
      <c r="AC55" s="290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33"/>
      <c r="O56" s="2933"/>
      <c r="P56" s="2941"/>
      <c r="Q56" s="2918"/>
      <c r="R56" s="2904"/>
      <c r="S56" s="2904"/>
      <c r="T56" s="2904"/>
      <c r="U56" s="2904"/>
      <c r="V56" s="2904"/>
      <c r="W56" s="2904"/>
      <c r="X56" s="2904"/>
      <c r="Y56" s="2904"/>
      <c r="Z56" s="2904"/>
      <c r="AA56" s="2904"/>
      <c r="AB56" s="2904"/>
      <c r="AC56" s="2904"/>
    </row>
    <row r="57" spans="1:29" ht="15.75" thickTop="1">
      <c r="A57" s="491"/>
      <c r="B57" s="616">
        <f>B11</f>
        <v>111</v>
      </c>
      <c r="C57" s="506"/>
      <c r="D57" s="506"/>
      <c r="E57" s="506"/>
      <c r="F57" s="506"/>
      <c r="G57" s="506"/>
      <c r="H57" s="506"/>
      <c r="I57" s="506"/>
      <c r="J57" s="506"/>
      <c r="K57" s="507"/>
      <c r="L57" s="508"/>
      <c r="M57" s="509"/>
      <c r="N57" s="2932"/>
      <c r="O57" s="2932"/>
      <c r="P57" s="2941"/>
      <c r="Q57" s="2918"/>
      <c r="R57" s="2904"/>
      <c r="S57" s="2904"/>
      <c r="T57" s="2904"/>
      <c r="U57" s="2904"/>
      <c r="V57" s="2904"/>
      <c r="W57" s="2904"/>
      <c r="X57" s="2904"/>
      <c r="Y57" s="2904"/>
      <c r="Z57" s="2904"/>
      <c r="AA57" s="2904"/>
      <c r="AB57" s="2904"/>
      <c r="AC57" s="2904"/>
    </row>
    <row r="58" spans="1:29" ht="15.75" thickBot="1">
      <c r="A58" s="491"/>
      <c r="B58" s="492"/>
      <c r="C58" s="517"/>
      <c r="D58" s="493"/>
      <c r="E58" s="493"/>
      <c r="F58" s="493"/>
      <c r="G58" s="493"/>
      <c r="H58" s="493"/>
      <c r="I58" s="493"/>
      <c r="J58" s="493"/>
      <c r="K58" s="493"/>
      <c r="L58" s="493"/>
      <c r="M58" s="494"/>
      <c r="N58" s="2933"/>
      <c r="O58" s="2933"/>
      <c r="P58" s="2941"/>
      <c r="Q58" s="2918"/>
      <c r="R58" s="2904"/>
      <c r="S58" s="2904"/>
      <c r="T58" s="2904"/>
      <c r="U58" s="2904"/>
      <c r="V58" s="2904"/>
      <c r="W58" s="2904"/>
      <c r="X58" s="2904"/>
      <c r="Y58" s="2904"/>
      <c r="Z58" s="2904"/>
      <c r="AA58" s="2904"/>
      <c r="AB58" s="2904"/>
      <c r="AC58" s="2904"/>
    </row>
    <row r="59" spans="1:29" s="430" customFormat="1" ht="15.75" thickTop="1">
      <c r="A59" s="510"/>
      <c r="B59" s="495">
        <f>B12</f>
        <v>111</v>
      </c>
      <c r="C59" s="506"/>
      <c r="D59" s="506"/>
      <c r="E59" s="506"/>
      <c r="F59" s="506"/>
      <c r="G59" s="511"/>
      <c r="H59" s="512"/>
      <c r="I59" s="512"/>
      <c r="J59" s="512"/>
      <c r="K59" s="512"/>
      <c r="L59" s="513"/>
      <c r="M59" s="514"/>
      <c r="N59" s="2934"/>
      <c r="O59" s="2934"/>
      <c r="P59" s="2942"/>
      <c r="Q59" s="2925"/>
      <c r="R59" s="2926"/>
      <c r="S59" s="2926"/>
      <c r="T59" s="2926"/>
      <c r="U59" s="2926"/>
      <c r="V59" s="2926"/>
      <c r="W59" s="2926"/>
      <c r="X59" s="2926"/>
      <c r="Y59" s="2926"/>
      <c r="Z59" s="2926"/>
      <c r="AA59" s="2926"/>
      <c r="AB59" s="2926"/>
      <c r="AC59" s="2926"/>
    </row>
    <row r="60" spans="1:29" s="430" customFormat="1" ht="15.75" thickBot="1">
      <c r="A60" s="510"/>
      <c r="B60" s="500"/>
      <c r="C60" s="517"/>
      <c r="D60" s="493"/>
      <c r="E60" s="493"/>
      <c r="F60" s="493"/>
      <c r="G60" s="493"/>
      <c r="H60" s="493"/>
      <c r="I60" s="493"/>
      <c r="J60" s="493"/>
      <c r="K60" s="493"/>
      <c r="L60" s="493"/>
      <c r="M60" s="494"/>
      <c r="N60" s="2933"/>
      <c r="O60" s="2933"/>
      <c r="P60" s="2942"/>
      <c r="Q60" s="2925"/>
      <c r="R60" s="2926"/>
      <c r="S60" s="2926"/>
      <c r="T60" s="2926"/>
      <c r="U60" s="2926"/>
      <c r="V60" s="2926"/>
      <c r="W60" s="2926"/>
      <c r="X60" s="2926"/>
      <c r="Y60" s="2926"/>
      <c r="Z60" s="2926"/>
      <c r="AA60" s="2926"/>
      <c r="AB60" s="2926"/>
      <c r="AC60" s="2926"/>
    </row>
    <row r="61" spans="1:29" s="430" customFormat="1" ht="15.75" thickTop="1">
      <c r="A61" s="510"/>
      <c r="B61" s="495">
        <f>B13</f>
        <v>111</v>
      </c>
      <c r="C61" s="511"/>
      <c r="D61" s="511"/>
      <c r="E61" s="511"/>
      <c r="F61" s="511"/>
      <c r="G61" s="511"/>
      <c r="H61" s="512"/>
      <c r="I61" s="512"/>
      <c r="J61" s="512"/>
      <c r="K61" s="512"/>
      <c r="L61" s="513"/>
      <c r="M61" s="514"/>
      <c r="N61" s="2934"/>
      <c r="O61" s="2934"/>
      <c r="P61" s="2943"/>
      <c r="Q61" s="2928"/>
      <c r="R61" s="2926"/>
      <c r="S61" s="2926"/>
      <c r="T61" s="2926"/>
      <c r="U61" s="2926"/>
      <c r="V61" s="2926"/>
      <c r="W61" s="2926"/>
      <c r="X61" s="2926"/>
      <c r="Y61" s="2926"/>
      <c r="Z61" s="2926"/>
      <c r="AA61" s="2926"/>
      <c r="AB61" s="2926"/>
      <c r="AC61" s="2926"/>
    </row>
    <row r="62" spans="1:29" s="430" customFormat="1" ht="15.75" thickBot="1">
      <c r="A62" s="510"/>
      <c r="B62" s="500"/>
      <c r="C62" s="517"/>
      <c r="D62" s="517"/>
      <c r="E62" s="517"/>
      <c r="F62" s="517"/>
      <c r="G62" s="517"/>
      <c r="H62" s="519"/>
      <c r="I62" s="519"/>
      <c r="J62" s="519"/>
      <c r="K62" s="519"/>
      <c r="L62" s="519"/>
      <c r="M62" s="520"/>
      <c r="N62" s="2934"/>
      <c r="O62" s="2934"/>
      <c r="P62" s="2942"/>
      <c r="Q62" s="2925"/>
      <c r="R62" s="2926"/>
      <c r="S62" s="2926"/>
      <c r="T62" s="2926"/>
      <c r="U62" s="2926"/>
      <c r="V62" s="2926"/>
      <c r="W62" s="2926"/>
      <c r="X62" s="2926"/>
      <c r="Y62" s="2926"/>
      <c r="Z62" s="2926"/>
      <c r="AA62" s="2926"/>
      <c r="AB62" s="2926"/>
      <c r="AC62" s="2926"/>
    </row>
    <row r="63" spans="1:29" ht="15" thickTop="1">
      <c r="A63" s="484" t="s">
        <v>2138</v>
      </c>
      <c r="B63" s="485" t="s">
        <v>2181</v>
      </c>
      <c r="C63" s="530" t="s">
        <v>2176</v>
      </c>
      <c r="D63" s="530" t="s">
        <v>2177</v>
      </c>
      <c r="E63" s="530" t="s">
        <v>2178</v>
      </c>
      <c r="F63" s="530" t="s">
        <v>2179</v>
      </c>
      <c r="G63" s="530" t="s">
        <v>2180</v>
      </c>
      <c r="H63" s="486"/>
      <c r="I63" s="486"/>
      <c r="J63" s="486"/>
      <c r="K63" s="531"/>
      <c r="L63" s="532"/>
      <c r="M63" s="533"/>
      <c r="N63" s="2932"/>
      <c r="O63" s="2932"/>
      <c r="P63" s="2945"/>
      <c r="Q63" s="2918"/>
      <c r="R63" s="2904"/>
      <c r="S63" s="2904"/>
      <c r="T63" s="2904"/>
      <c r="U63" s="2904"/>
      <c r="V63" s="2904"/>
      <c r="W63" s="2904"/>
      <c r="X63" s="2904"/>
      <c r="Y63" s="2904"/>
      <c r="Z63" s="2904"/>
      <c r="AA63" s="2904"/>
      <c r="AB63" s="2904"/>
      <c r="AC63" s="290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33"/>
      <c r="O64" s="2933"/>
      <c r="P64" s="2941"/>
      <c r="Q64" s="2918"/>
      <c r="R64" s="2904"/>
      <c r="S64" s="2904"/>
      <c r="T64" s="2904"/>
      <c r="U64" s="2904"/>
      <c r="V64" s="2904"/>
      <c r="W64" s="2904"/>
      <c r="X64" s="2904"/>
      <c r="Y64" s="2904"/>
      <c r="Z64" s="2904"/>
      <c r="AA64" s="2904"/>
      <c r="AB64" s="2904"/>
      <c r="AC64" s="2904"/>
    </row>
    <row r="65" spans="1:29" ht="15.75" thickTop="1">
      <c r="A65" s="491"/>
      <c r="B65" s="495" t="s">
        <v>2182</v>
      </c>
      <c r="C65" s="535" t="s">
        <v>2176</v>
      </c>
      <c r="D65" s="535" t="s">
        <v>2177</v>
      </c>
      <c r="E65" s="535" t="s">
        <v>2178</v>
      </c>
      <c r="F65" s="535" t="s">
        <v>2179</v>
      </c>
      <c r="G65" s="535" t="s">
        <v>2180</v>
      </c>
      <c r="H65" s="496"/>
      <c r="I65" s="496"/>
      <c r="J65" s="496"/>
      <c r="K65" s="497"/>
      <c r="L65" s="498"/>
      <c r="M65" s="499"/>
      <c r="N65" s="2932"/>
      <c r="O65" s="2932"/>
      <c r="P65" s="2941"/>
      <c r="Q65" s="2918"/>
      <c r="R65" s="2904"/>
      <c r="S65" s="2904"/>
      <c r="T65" s="2904"/>
      <c r="U65" s="2904"/>
      <c r="V65" s="2904"/>
      <c r="W65" s="2904"/>
      <c r="X65" s="2904"/>
      <c r="Y65" s="2904"/>
      <c r="Z65" s="2904"/>
      <c r="AA65" s="2904"/>
      <c r="AB65" s="2904"/>
      <c r="AC65" s="290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33"/>
      <c r="O66" s="2933"/>
      <c r="P66" s="2941"/>
      <c r="Q66" s="2918"/>
      <c r="R66" s="2904"/>
      <c r="S66" s="2904"/>
      <c r="T66" s="2904"/>
      <c r="U66" s="2904"/>
      <c r="V66" s="2904"/>
      <c r="W66" s="2904"/>
      <c r="X66" s="2904"/>
      <c r="Y66" s="2904"/>
      <c r="Z66" s="2904"/>
      <c r="AA66" s="2904"/>
      <c r="AB66" s="2904"/>
      <c r="AC66" s="2904"/>
    </row>
    <row r="67" spans="1:29" ht="15.75" thickTop="1">
      <c r="A67" s="491"/>
      <c r="B67" s="503" t="s">
        <v>2268</v>
      </c>
      <c r="C67" s="616" t="s">
        <v>2254</v>
      </c>
      <c r="D67" s="616" t="s">
        <v>2255</v>
      </c>
      <c r="E67" s="616" t="s">
        <v>2256</v>
      </c>
      <c r="F67" s="616" t="s">
        <v>2257</v>
      </c>
      <c r="G67" s="616" t="s">
        <v>2258</v>
      </c>
      <c r="H67" s="496"/>
      <c r="I67" s="496"/>
      <c r="J67" s="496"/>
      <c r="K67" s="496"/>
      <c r="L67" s="496"/>
      <c r="M67" s="1244"/>
      <c r="N67" s="2933"/>
      <c r="O67" s="2933"/>
      <c r="P67" s="2941"/>
      <c r="Q67" s="2918"/>
      <c r="R67" s="2904"/>
      <c r="S67" s="2904"/>
      <c r="T67" s="2904"/>
      <c r="U67" s="2904"/>
      <c r="V67" s="2904"/>
      <c r="W67" s="2904"/>
      <c r="X67" s="2904"/>
      <c r="Y67" s="2904"/>
      <c r="Z67" s="2904"/>
      <c r="AA67" s="2904"/>
      <c r="AB67" s="2904"/>
      <c r="AC67" s="290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33"/>
      <c r="O68" s="2933"/>
      <c r="P68" s="2941"/>
      <c r="Q68" s="2918"/>
      <c r="R68" s="2904"/>
      <c r="S68" s="2904"/>
      <c r="T68" s="2904"/>
      <c r="U68" s="2904"/>
      <c r="V68" s="2904"/>
      <c r="W68" s="2904"/>
      <c r="X68" s="2904"/>
      <c r="Y68" s="2904"/>
      <c r="Z68" s="2904"/>
      <c r="AA68" s="2904"/>
      <c r="AB68" s="2904"/>
      <c r="AC68" s="2904"/>
    </row>
    <row r="69" spans="1:29" ht="15.75" thickTop="1">
      <c r="A69" s="491"/>
      <c r="B69" s="495" t="s">
        <v>2188</v>
      </c>
      <c r="C69" s="535" t="s">
        <v>2176</v>
      </c>
      <c r="D69" s="535" t="s">
        <v>2177</v>
      </c>
      <c r="E69" s="535" t="s">
        <v>2178</v>
      </c>
      <c r="F69" s="535" t="s">
        <v>2179</v>
      </c>
      <c r="G69" s="535" t="s">
        <v>2180</v>
      </c>
      <c r="H69" s="496"/>
      <c r="I69" s="496"/>
      <c r="J69" s="496"/>
      <c r="K69" s="497"/>
      <c r="L69" s="498"/>
      <c r="M69" s="499"/>
      <c r="N69" s="2932"/>
      <c r="O69" s="2932"/>
      <c r="P69" s="2941"/>
      <c r="Q69" s="2918"/>
      <c r="R69" s="2904"/>
      <c r="S69" s="2904"/>
      <c r="T69" s="2904"/>
      <c r="U69" s="2904"/>
      <c r="V69" s="2904"/>
      <c r="W69" s="2904"/>
      <c r="X69" s="2904"/>
      <c r="Y69" s="2904"/>
      <c r="Z69" s="2904"/>
      <c r="AA69" s="2904"/>
      <c r="AB69" s="2904"/>
      <c r="AC69" s="290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33"/>
      <c r="O70" s="2933"/>
      <c r="P70" s="2941"/>
      <c r="Q70" s="2918"/>
      <c r="R70" s="2904"/>
      <c r="S70" s="2904"/>
      <c r="T70" s="2904"/>
      <c r="U70" s="2904"/>
      <c r="V70" s="2904"/>
      <c r="W70" s="2904"/>
      <c r="X70" s="2904"/>
      <c r="Y70" s="2904"/>
      <c r="Z70" s="2904"/>
      <c r="AA70" s="2904"/>
      <c r="AB70" s="2904"/>
      <c r="AC70" s="2904"/>
    </row>
    <row r="71" spans="1:29" ht="15.75" thickTop="1">
      <c r="A71" s="491"/>
      <c r="B71" s="495" t="s">
        <v>2308</v>
      </c>
      <c r="C71" s="511"/>
      <c r="D71" s="511"/>
      <c r="E71" s="511"/>
      <c r="F71" s="511"/>
      <c r="G71" s="511"/>
      <c r="H71" s="540"/>
      <c r="I71" s="540"/>
      <c r="J71" s="540"/>
      <c r="K71" s="541"/>
      <c r="L71" s="542"/>
      <c r="M71" s="543"/>
      <c r="N71" s="2932"/>
      <c r="O71" s="2932"/>
      <c r="P71" s="2941"/>
      <c r="Q71" s="2918"/>
      <c r="R71" s="2904"/>
      <c r="S71" s="2904"/>
      <c r="T71" s="2904"/>
      <c r="U71" s="2904"/>
      <c r="V71" s="2904"/>
      <c r="W71" s="2904"/>
      <c r="X71" s="2904"/>
      <c r="Y71" s="2904"/>
      <c r="Z71" s="2904"/>
      <c r="AA71" s="2904"/>
      <c r="AB71" s="2904"/>
      <c r="AC71" s="290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33"/>
      <c r="O72" s="2933"/>
      <c r="P72" s="2941"/>
      <c r="Q72" s="2918"/>
      <c r="R72" s="2904"/>
      <c r="S72" s="2904"/>
      <c r="T72" s="2904"/>
      <c r="U72" s="2904"/>
      <c r="V72" s="2904"/>
      <c r="W72" s="2904"/>
      <c r="X72" s="2904"/>
      <c r="Y72" s="2904"/>
      <c r="Z72" s="2904"/>
      <c r="AA72" s="2904"/>
      <c r="AB72" s="2904"/>
      <c r="AC72" s="2904"/>
    </row>
    <row r="73" spans="1:29" s="113" customFormat="1" ht="15.75" thickTop="1">
      <c r="A73" s="536"/>
      <c r="B73" s="495">
        <f>B23</f>
        <v>111</v>
      </c>
      <c r="C73" s="506"/>
      <c r="D73" s="506"/>
      <c r="E73" s="506"/>
      <c r="F73" s="506"/>
      <c r="G73" s="511"/>
      <c r="H73" s="511"/>
      <c r="I73" s="511"/>
      <c r="J73" s="511"/>
      <c r="K73" s="511"/>
      <c r="L73" s="537"/>
      <c r="M73" s="538"/>
      <c r="N73" s="2931"/>
      <c r="O73" s="2931"/>
      <c r="P73" s="2941"/>
      <c r="Q73" s="2918"/>
      <c r="R73" s="2838"/>
      <c r="S73" s="2838"/>
      <c r="T73" s="2838"/>
      <c r="U73" s="2838"/>
      <c r="V73" s="2838"/>
      <c r="W73" s="2838"/>
      <c r="X73" s="2838"/>
      <c r="Y73" s="2838"/>
      <c r="Z73" s="2838"/>
      <c r="AA73" s="2838"/>
      <c r="AB73" s="2838"/>
      <c r="AC73" s="2838"/>
    </row>
    <row r="74" spans="1:29" s="113" customFormat="1" ht="15.75" thickBot="1">
      <c r="A74" s="536"/>
      <c r="B74" s="500"/>
      <c r="C74" s="517"/>
      <c r="D74" s="493"/>
      <c r="E74" s="493"/>
      <c r="F74" s="493"/>
      <c r="G74" s="493"/>
      <c r="H74" s="493"/>
      <c r="I74" s="493"/>
      <c r="J74" s="493"/>
      <c r="K74" s="493"/>
      <c r="L74" s="493"/>
      <c r="M74" s="494"/>
      <c r="N74" s="2933"/>
      <c r="O74" s="2933"/>
      <c r="P74" s="2941"/>
      <c r="Q74" s="2918"/>
      <c r="R74" s="2838"/>
      <c r="S74" s="2838"/>
      <c r="T74" s="2838"/>
      <c r="U74" s="2838"/>
      <c r="V74" s="2838"/>
      <c r="W74" s="2838"/>
      <c r="X74" s="2838"/>
      <c r="Y74" s="2838"/>
      <c r="Z74" s="2838"/>
      <c r="AA74" s="2838"/>
      <c r="AB74" s="2838"/>
      <c r="AC74" s="2838"/>
    </row>
    <row r="75" spans="1:29" s="113" customFormat="1" ht="15.75" thickTop="1">
      <c r="A75" s="536"/>
      <c r="B75" s="495">
        <f>B24</f>
        <v>111</v>
      </c>
      <c r="C75" s="506"/>
      <c r="D75" s="506"/>
      <c r="E75" s="506"/>
      <c r="F75" s="506"/>
      <c r="G75" s="511"/>
      <c r="H75" s="511"/>
      <c r="I75" s="511"/>
      <c r="J75" s="511"/>
      <c r="K75" s="511"/>
      <c r="L75" s="511"/>
      <c r="M75" s="538"/>
      <c r="N75" s="2931"/>
      <c r="O75" s="2931"/>
      <c r="P75" s="2941"/>
      <c r="Q75" s="2918"/>
      <c r="R75" s="2838"/>
      <c r="S75" s="2838"/>
      <c r="T75" s="2838"/>
      <c r="U75" s="2838"/>
      <c r="V75" s="2838"/>
      <c r="W75" s="2838"/>
      <c r="X75" s="2838"/>
      <c r="Y75" s="2838"/>
      <c r="Z75" s="2838"/>
      <c r="AA75" s="2838"/>
      <c r="AB75" s="2838"/>
      <c r="AC75" s="2838"/>
    </row>
    <row r="76" spans="1:29" s="113" customFormat="1" ht="15.75" thickBot="1">
      <c r="A76" s="536"/>
      <c r="B76" s="500"/>
      <c r="C76" s="517"/>
      <c r="D76" s="493"/>
      <c r="E76" s="493"/>
      <c r="F76" s="493"/>
      <c r="G76" s="493"/>
      <c r="H76" s="493"/>
      <c r="I76" s="493"/>
      <c r="J76" s="493"/>
      <c r="K76" s="493"/>
      <c r="L76" s="493"/>
      <c r="M76" s="494"/>
      <c r="N76" s="2933"/>
      <c r="O76" s="2933"/>
      <c r="P76" s="2941"/>
      <c r="Q76" s="2918"/>
      <c r="R76" s="2838"/>
      <c r="S76" s="2838"/>
      <c r="T76" s="2838"/>
      <c r="U76" s="2838"/>
      <c r="V76" s="2838"/>
      <c r="W76" s="2838"/>
      <c r="X76" s="2838"/>
      <c r="Y76" s="2838"/>
      <c r="Z76" s="2838"/>
      <c r="AA76" s="2838"/>
      <c r="AB76" s="2838"/>
      <c r="AC76" s="2838"/>
    </row>
    <row r="77" spans="1:29" s="430" customFormat="1" ht="15.75" thickTop="1">
      <c r="A77" s="510"/>
      <c r="B77" s="495">
        <f>B25</f>
        <v>111</v>
      </c>
      <c r="C77" s="511"/>
      <c r="D77" s="511"/>
      <c r="E77" s="511"/>
      <c r="F77" s="511"/>
      <c r="G77" s="511"/>
      <c r="H77" s="512"/>
      <c r="I77" s="512"/>
      <c r="J77" s="512"/>
      <c r="K77" s="512"/>
      <c r="L77" s="513"/>
      <c r="M77" s="514"/>
      <c r="N77" s="2934"/>
      <c r="O77" s="2934"/>
      <c r="P77" s="2942"/>
      <c r="Q77" s="2925"/>
      <c r="R77" s="2926"/>
      <c r="S77" s="2926"/>
      <c r="T77" s="2926"/>
      <c r="U77" s="2926"/>
      <c r="V77" s="2926"/>
      <c r="W77" s="2926"/>
      <c r="X77" s="2926"/>
      <c r="Y77" s="2926"/>
      <c r="Z77" s="2926"/>
      <c r="AA77" s="2926"/>
      <c r="AB77" s="2926"/>
      <c r="AC77" s="2926"/>
    </row>
    <row r="78" spans="1:29" s="430" customFormat="1" ht="15.75" thickBot="1">
      <c r="A78" s="510"/>
      <c r="B78" s="500"/>
      <c r="C78" s="517"/>
      <c r="D78" s="517"/>
      <c r="E78" s="517"/>
      <c r="F78" s="517"/>
      <c r="G78" s="493"/>
      <c r="H78" s="493"/>
      <c r="I78" s="493"/>
      <c r="J78" s="493"/>
      <c r="K78" s="493"/>
      <c r="L78" s="493"/>
      <c r="M78" s="494"/>
      <c r="N78" s="2934"/>
      <c r="O78" s="2934"/>
      <c r="P78" s="2942"/>
      <c r="Q78" s="2925"/>
      <c r="R78" s="2926"/>
      <c r="S78" s="2926"/>
      <c r="T78" s="2926"/>
      <c r="U78" s="2926"/>
      <c r="V78" s="2926"/>
      <c r="W78" s="2926"/>
      <c r="X78" s="2926"/>
      <c r="Y78" s="2926"/>
      <c r="Z78" s="2926"/>
      <c r="AA78" s="2926"/>
      <c r="AB78" s="2926"/>
      <c r="AC78" s="2926"/>
    </row>
    <row r="79" spans="1:29" ht="27.75" thickTop="1">
      <c r="A79" s="484" t="s">
        <v>2142</v>
      </c>
      <c r="B79" s="485" t="s">
        <v>2309</v>
      </c>
      <c r="C79" s="486">
        <f>C26</f>
        <v>0</v>
      </c>
      <c r="D79" s="487"/>
      <c r="E79" s="487"/>
      <c r="F79" s="487"/>
      <c r="G79" s="487"/>
      <c r="H79" s="487"/>
      <c r="I79" s="487"/>
      <c r="J79" s="487"/>
      <c r="K79" s="488"/>
      <c r="L79" s="489"/>
      <c r="M79" s="490"/>
      <c r="N79" s="2932"/>
      <c r="O79" s="2932"/>
      <c r="P79" s="2941"/>
      <c r="Q79" s="2918"/>
      <c r="R79" s="2904"/>
      <c r="S79" s="2904"/>
      <c r="T79" s="2904"/>
      <c r="U79" s="2904"/>
      <c r="V79" s="2904"/>
      <c r="W79" s="2904"/>
      <c r="X79" s="2904"/>
      <c r="Y79" s="2904"/>
      <c r="Z79" s="2904"/>
      <c r="AA79" s="2904"/>
      <c r="AB79" s="2904"/>
      <c r="AC79" s="290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33"/>
      <c r="O80" s="2933"/>
      <c r="P80" s="2941"/>
      <c r="Q80" s="2918"/>
      <c r="R80" s="2904"/>
      <c r="S80" s="2904"/>
      <c r="T80" s="2904"/>
      <c r="U80" s="2904"/>
      <c r="V80" s="2904"/>
      <c r="W80" s="2904"/>
      <c r="X80" s="2904"/>
      <c r="Y80" s="2904"/>
      <c r="Z80" s="2904"/>
      <c r="AA80" s="2904"/>
      <c r="AB80" s="2904"/>
      <c r="AC80" s="2904"/>
    </row>
    <row r="81" spans="1:29" ht="15.75" thickTop="1">
      <c r="A81" s="491"/>
      <c r="B81" s="495" t="s">
        <v>2310</v>
      </c>
      <c r="C81" s="617"/>
      <c r="D81" s="617"/>
      <c r="E81" s="617"/>
      <c r="F81" s="617"/>
      <c r="G81" s="617"/>
      <c r="H81" s="617"/>
      <c r="I81" s="617"/>
      <c r="J81" s="617"/>
      <c r="K81" s="618"/>
      <c r="L81" s="619"/>
      <c r="M81" s="620"/>
      <c r="N81" s="2931"/>
      <c r="O81" s="2931"/>
      <c r="P81" s="2941"/>
      <c r="Q81" s="2918"/>
      <c r="R81" s="2904"/>
      <c r="S81" s="2904"/>
      <c r="T81" s="2904"/>
      <c r="U81" s="2904"/>
      <c r="V81" s="2904"/>
      <c r="W81" s="2904"/>
      <c r="X81" s="2904"/>
      <c r="Y81" s="2904"/>
      <c r="Z81" s="2904"/>
      <c r="AA81" s="2904"/>
      <c r="AB81" s="2904"/>
      <c r="AC81" s="2904"/>
    </row>
    <row r="82" spans="1:29" s="430" customFormat="1" ht="15.75" thickBot="1">
      <c r="A82" s="510"/>
      <c r="B82" s="500"/>
      <c r="C82" s="517"/>
      <c r="D82" s="493"/>
      <c r="E82" s="493"/>
      <c r="F82" s="493"/>
      <c r="G82" s="493"/>
      <c r="H82" s="493"/>
      <c r="I82" s="493"/>
      <c r="J82" s="493"/>
      <c r="K82" s="493"/>
      <c r="L82" s="493"/>
      <c r="M82" s="494"/>
      <c r="N82" s="2933"/>
      <c r="O82" s="2933"/>
      <c r="P82" s="2942"/>
      <c r="Q82" s="2925"/>
      <c r="R82" s="2926"/>
      <c r="S82" s="2926"/>
      <c r="T82" s="2926"/>
      <c r="U82" s="2926"/>
      <c r="V82" s="2926"/>
      <c r="W82" s="2926"/>
      <c r="X82" s="2926"/>
      <c r="Y82" s="2926"/>
      <c r="Z82" s="2926"/>
      <c r="AA82" s="2926"/>
      <c r="AB82" s="2926"/>
      <c r="AC82" s="2926"/>
    </row>
    <row r="83" spans="1:29" ht="15" thickTop="1">
      <c r="A83" s="556"/>
      <c r="B83" s="495" t="s">
        <v>2195</v>
      </c>
      <c r="C83" s="511"/>
      <c r="D83" s="511"/>
      <c r="E83" s="540"/>
      <c r="F83" s="540"/>
      <c r="G83" s="540"/>
      <c r="H83" s="540"/>
      <c r="I83" s="540"/>
      <c r="J83" s="540"/>
      <c r="K83" s="541"/>
      <c r="L83" s="542"/>
      <c r="M83" s="543"/>
      <c r="N83" s="2932"/>
      <c r="O83" s="2932"/>
      <c r="P83" s="2941"/>
      <c r="Q83" s="2918"/>
      <c r="R83" s="2904"/>
      <c r="S83" s="2904"/>
      <c r="T83" s="2904"/>
      <c r="U83" s="2904"/>
      <c r="V83" s="2904"/>
      <c r="W83" s="2904"/>
      <c r="X83" s="2904"/>
      <c r="Y83" s="2904"/>
      <c r="Z83" s="2904"/>
      <c r="AA83" s="2904"/>
      <c r="AB83" s="2904"/>
      <c r="AC83" s="290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33"/>
      <c r="O84" s="2933"/>
      <c r="P84" s="2941"/>
      <c r="Q84" s="2918"/>
      <c r="R84" s="2904"/>
      <c r="S84" s="2904"/>
      <c r="T84" s="2904"/>
      <c r="U84" s="2904"/>
      <c r="V84" s="2904"/>
      <c r="W84" s="2904"/>
      <c r="X84" s="2904"/>
      <c r="Y84" s="2904"/>
      <c r="Z84" s="2904"/>
      <c r="AA84" s="2904"/>
      <c r="AB84" s="2904"/>
      <c r="AC84" s="2904"/>
    </row>
    <row r="85" spans="1:29" ht="15" thickTop="1">
      <c r="A85" s="556"/>
      <c r="B85" s="495" t="s">
        <v>2311</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32"/>
      <c r="O85" s="2932"/>
      <c r="P85" s="2941"/>
      <c r="Q85" s="2918"/>
      <c r="R85" s="2904"/>
      <c r="S85" s="2904"/>
      <c r="T85" s="2904"/>
      <c r="U85" s="2904"/>
      <c r="V85" s="2904"/>
      <c r="W85" s="2904"/>
      <c r="X85" s="2904"/>
      <c r="Y85" s="2904"/>
      <c r="Z85" s="2904"/>
      <c r="AA85" s="2904"/>
      <c r="AB85" s="2904"/>
      <c r="AC85" s="2904"/>
    </row>
    <row r="86" spans="1:29">
      <c r="A86" s="556"/>
      <c r="B86" s="503"/>
      <c r="C86" s="560">
        <v>0.5</v>
      </c>
      <c r="D86" s="560">
        <v>0.6</v>
      </c>
      <c r="E86" s="560">
        <v>0.7</v>
      </c>
      <c r="F86" s="560">
        <v>0.8</v>
      </c>
      <c r="G86" s="560">
        <v>0.9</v>
      </c>
      <c r="H86" s="560">
        <v>1.0001</v>
      </c>
      <c r="I86" s="579"/>
      <c r="J86" s="579"/>
      <c r="K86" s="580"/>
      <c r="L86" s="581"/>
      <c r="M86" s="582"/>
      <c r="N86" s="2932"/>
      <c r="O86" s="2932"/>
      <c r="P86" s="2941"/>
      <c r="Q86" s="2918"/>
      <c r="R86" s="2904"/>
      <c r="S86" s="2904"/>
      <c r="T86" s="2904"/>
      <c r="U86" s="2904"/>
      <c r="V86" s="2904"/>
      <c r="W86" s="2904"/>
      <c r="X86" s="2904"/>
      <c r="Y86" s="2904"/>
      <c r="Z86" s="2904"/>
      <c r="AA86" s="2904"/>
      <c r="AB86" s="2904"/>
      <c r="AC86" s="290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33"/>
      <c r="O87" s="2933"/>
      <c r="P87" s="2941"/>
      <c r="Q87" s="2918"/>
      <c r="R87" s="2904"/>
      <c r="S87" s="2904"/>
      <c r="T87" s="2904"/>
      <c r="U87" s="2904"/>
      <c r="V87" s="2904"/>
      <c r="W87" s="2904"/>
      <c r="X87" s="2904"/>
      <c r="Y87" s="2904"/>
      <c r="Z87" s="2904"/>
      <c r="AA87" s="2904"/>
      <c r="AB87" s="2904"/>
      <c r="AC87" s="2904"/>
    </row>
    <row r="88" spans="1:29" ht="15" thickTop="1">
      <c r="A88" s="556"/>
      <c r="B88" s="503" t="s">
        <v>2312</v>
      </c>
      <c r="C88" s="487"/>
      <c r="D88" s="487"/>
      <c r="E88" s="487"/>
      <c r="F88" s="487"/>
      <c r="G88" s="487"/>
      <c r="H88" s="487"/>
      <c r="I88" s="487"/>
      <c r="J88" s="487"/>
      <c r="K88" s="488"/>
      <c r="L88" s="489"/>
      <c r="M88" s="490"/>
      <c r="N88" s="2932"/>
      <c r="O88" s="2932"/>
      <c r="P88" s="2941"/>
      <c r="Q88" s="2918"/>
      <c r="R88" s="2904"/>
      <c r="S88" s="2904"/>
      <c r="T88" s="2904"/>
      <c r="U88" s="2904"/>
      <c r="V88" s="2904"/>
      <c r="W88" s="2904"/>
      <c r="X88" s="2904"/>
      <c r="Y88" s="2904"/>
      <c r="Z88" s="2904"/>
      <c r="AA88" s="2904"/>
      <c r="AB88" s="2904"/>
      <c r="AC88" s="290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33"/>
      <c r="O89" s="2933"/>
      <c r="P89" s="2941"/>
      <c r="Q89" s="2918"/>
      <c r="R89" s="2904"/>
      <c r="S89" s="2904"/>
      <c r="T89" s="2904"/>
      <c r="U89" s="2904"/>
      <c r="V89" s="2904"/>
      <c r="W89" s="2904"/>
      <c r="X89" s="2904"/>
      <c r="Y89" s="2904"/>
      <c r="Z89" s="2904"/>
      <c r="AA89" s="2904"/>
      <c r="AB89" s="2904"/>
      <c r="AC89" s="2904"/>
    </row>
    <row r="90" spans="1:29" s="430" customFormat="1" ht="15" thickTop="1">
      <c r="A90" s="550"/>
      <c r="B90" s="495" t="s">
        <v>2313</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34"/>
      <c r="O90" s="2934"/>
      <c r="P90" s="2942"/>
      <c r="Q90" s="2925"/>
      <c r="R90" s="2926"/>
      <c r="S90" s="2926"/>
      <c r="T90" s="2926"/>
      <c r="U90" s="2926"/>
      <c r="V90" s="2926"/>
      <c r="W90" s="2926"/>
      <c r="X90" s="2926"/>
      <c r="Y90" s="2926"/>
      <c r="Z90" s="2926"/>
      <c r="AA90" s="2926"/>
      <c r="AB90" s="2926"/>
      <c r="AC90" s="2926"/>
    </row>
    <row r="91" spans="1:29" s="430" customFormat="1">
      <c r="A91" s="550"/>
      <c r="B91" s="503"/>
      <c r="C91" s="552"/>
      <c r="D91" s="552"/>
      <c r="E91" s="552"/>
      <c r="F91" s="552"/>
      <c r="G91" s="552"/>
      <c r="H91" s="552"/>
      <c r="I91" s="552"/>
      <c r="J91" s="553"/>
      <c r="K91" s="553"/>
      <c r="L91" s="554"/>
      <c r="M91" s="555"/>
      <c r="N91" s="2934"/>
      <c r="O91" s="2934"/>
      <c r="P91" s="2942"/>
      <c r="Q91" s="2925"/>
      <c r="R91" s="2926"/>
      <c r="S91" s="2926"/>
      <c r="T91" s="2926"/>
      <c r="U91" s="2926"/>
      <c r="V91" s="2926"/>
      <c r="W91" s="2926"/>
      <c r="X91" s="2926"/>
      <c r="Y91" s="2926"/>
      <c r="Z91" s="2926"/>
      <c r="AA91" s="2926"/>
      <c r="AB91" s="2926"/>
      <c r="AC91" s="2926"/>
    </row>
    <row r="92" spans="1:29" s="430" customFormat="1" ht="15.75" thickBot="1">
      <c r="A92" s="510"/>
      <c r="B92" s="500"/>
      <c r="C92" s="517"/>
      <c r="D92" s="493"/>
      <c r="E92" s="493"/>
      <c r="F92" s="493"/>
      <c r="G92" s="493"/>
      <c r="H92" s="493"/>
      <c r="I92" s="493"/>
      <c r="J92" s="493"/>
      <c r="K92" s="493"/>
      <c r="L92" s="493"/>
      <c r="M92" s="494"/>
      <c r="N92" s="2934"/>
      <c r="O92" s="2934"/>
      <c r="P92" s="2942"/>
      <c r="Q92" s="2925"/>
      <c r="R92" s="2926"/>
      <c r="S92" s="2926"/>
      <c r="T92" s="2926"/>
      <c r="U92" s="2926"/>
      <c r="V92" s="2926"/>
      <c r="W92" s="2926"/>
      <c r="X92" s="2926"/>
      <c r="Y92" s="2926"/>
      <c r="Z92" s="2926"/>
      <c r="AA92" s="2926"/>
      <c r="AB92" s="2926"/>
      <c r="AC92" s="2926"/>
    </row>
    <row r="93" spans="1:29" ht="15" thickTop="1">
      <c r="A93" s="556"/>
      <c r="B93" s="495" t="s">
        <v>2314</v>
      </c>
      <c r="C93" s="511"/>
      <c r="D93" s="511"/>
      <c r="E93" s="540"/>
      <c r="F93" s="540"/>
      <c r="G93" s="540"/>
      <c r="H93" s="540"/>
      <c r="I93" s="540"/>
      <c r="J93" s="540"/>
      <c r="K93" s="541"/>
      <c r="L93" s="542"/>
      <c r="M93" s="543"/>
      <c r="N93" s="2932"/>
      <c r="O93" s="2932"/>
      <c r="P93" s="2941"/>
      <c r="Q93" s="2918"/>
      <c r="R93" s="2904"/>
      <c r="S93" s="2904"/>
      <c r="T93" s="2904"/>
      <c r="U93" s="2904"/>
      <c r="V93" s="2904"/>
      <c r="W93" s="2904"/>
      <c r="X93" s="2904"/>
      <c r="Y93" s="2904"/>
      <c r="Z93" s="2904"/>
      <c r="AA93" s="2904"/>
      <c r="AB93" s="2904"/>
      <c r="AC93" s="290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33"/>
      <c r="O94" s="2933"/>
      <c r="P94" s="2941"/>
      <c r="Q94" s="2918"/>
      <c r="R94" s="2904"/>
      <c r="S94" s="2904"/>
      <c r="T94" s="2904"/>
      <c r="U94" s="2904"/>
      <c r="V94" s="2904"/>
      <c r="W94" s="2904"/>
      <c r="X94" s="2904"/>
      <c r="Y94" s="2904"/>
      <c r="Z94" s="2904"/>
      <c r="AA94" s="2904"/>
      <c r="AB94" s="2904"/>
      <c r="AC94" s="2904"/>
    </row>
    <row r="95" spans="1:29" ht="15" thickTop="1">
      <c r="A95" s="556"/>
      <c r="B95" s="495" t="s">
        <v>2315</v>
      </c>
      <c r="C95" s="487"/>
      <c r="D95" s="487"/>
      <c r="E95" s="487"/>
      <c r="F95" s="487"/>
      <c r="G95" s="487"/>
      <c r="H95" s="487"/>
      <c r="I95" s="487"/>
      <c r="J95" s="487"/>
      <c r="K95" s="488"/>
      <c r="L95" s="489"/>
      <c r="M95" s="490"/>
      <c r="N95" s="2932"/>
      <c r="O95" s="2932"/>
      <c r="P95" s="2941"/>
      <c r="Q95" s="2918"/>
      <c r="R95" s="2904"/>
      <c r="S95" s="2904"/>
      <c r="T95" s="2904"/>
      <c r="U95" s="2904"/>
      <c r="V95" s="2904"/>
      <c r="W95" s="2904"/>
      <c r="X95" s="2904"/>
      <c r="Y95" s="2904"/>
      <c r="Z95" s="2904"/>
      <c r="AA95" s="2904"/>
      <c r="AB95" s="2904"/>
      <c r="AC95" s="290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33"/>
      <c r="O96" s="2933"/>
      <c r="P96" s="2941"/>
      <c r="Q96" s="2918"/>
      <c r="R96" s="2904"/>
      <c r="S96" s="2904"/>
      <c r="T96" s="2904"/>
      <c r="U96" s="2904"/>
      <c r="V96" s="2904"/>
      <c r="W96" s="2904"/>
      <c r="X96" s="2904"/>
      <c r="Y96" s="2904"/>
      <c r="Z96" s="2904"/>
      <c r="AA96" s="2904"/>
      <c r="AB96" s="2904"/>
      <c r="AC96" s="2904"/>
    </row>
    <row r="97" spans="1:29" ht="15" thickTop="1">
      <c r="A97" s="556"/>
      <c r="B97" s="592">
        <f>B34</f>
        <v>111</v>
      </c>
      <c r="C97" s="506"/>
      <c r="D97" s="506"/>
      <c r="E97" s="506"/>
      <c r="F97" s="506"/>
      <c r="G97" s="511"/>
      <c r="H97" s="512"/>
      <c r="I97" s="512"/>
      <c r="J97" s="512"/>
      <c r="K97" s="512"/>
      <c r="L97" s="513"/>
      <c r="M97" s="514"/>
      <c r="N97" s="2933"/>
      <c r="O97" s="2933"/>
      <c r="P97" s="2946"/>
      <c r="Q97" s="2947"/>
      <c r="R97" s="2904"/>
      <c r="S97" s="2904"/>
      <c r="T97" s="2904"/>
      <c r="U97" s="2904"/>
      <c r="V97" s="2904"/>
      <c r="W97" s="2904"/>
      <c r="X97" s="2904"/>
      <c r="Y97" s="2904"/>
      <c r="Z97" s="2904"/>
      <c r="AA97" s="2904"/>
      <c r="AB97" s="2904"/>
      <c r="AC97" s="2904"/>
    </row>
    <row r="98" spans="1:29" ht="15.75" thickBot="1">
      <c r="A98" s="491"/>
      <c r="B98" s="500"/>
      <c r="C98" s="517"/>
      <c r="D98" s="493"/>
      <c r="E98" s="493"/>
      <c r="F98" s="493"/>
      <c r="G98" s="517"/>
      <c r="H98" s="519"/>
      <c r="I98" s="519"/>
      <c r="J98" s="519"/>
      <c r="K98" s="519"/>
      <c r="L98" s="519"/>
      <c r="M98" s="520"/>
      <c r="N98" s="2933"/>
      <c r="O98" s="2933"/>
      <c r="P98" s="2941"/>
      <c r="Q98" s="2918"/>
      <c r="R98" s="2904"/>
      <c r="S98" s="2904"/>
      <c r="T98" s="2904"/>
      <c r="U98" s="2904"/>
      <c r="V98" s="2904"/>
      <c r="W98" s="2904"/>
      <c r="X98" s="2904"/>
      <c r="Y98" s="2904"/>
      <c r="Z98" s="2904"/>
      <c r="AA98" s="2904"/>
      <c r="AB98" s="2904"/>
      <c r="AC98" s="2904"/>
    </row>
    <row r="99" spans="1:29" s="430" customFormat="1" ht="15" thickTop="1">
      <c r="A99" s="550"/>
      <c r="B99" s="495">
        <f>B35</f>
        <v>111</v>
      </c>
      <c r="C99" s="506"/>
      <c r="D99" s="506"/>
      <c r="E99" s="506"/>
      <c r="F99" s="506"/>
      <c r="G99" s="511"/>
      <c r="H99" s="512"/>
      <c r="I99" s="512"/>
      <c r="J99" s="512"/>
      <c r="K99" s="512"/>
      <c r="L99" s="513"/>
      <c r="M99" s="514"/>
      <c r="N99" s="2934"/>
      <c r="O99" s="2934"/>
      <c r="P99" s="2942"/>
      <c r="Q99" s="2925"/>
      <c r="R99" s="2926"/>
      <c r="S99" s="2926"/>
      <c r="T99" s="2926"/>
      <c r="U99" s="2926"/>
      <c r="V99" s="2926"/>
      <c r="W99" s="2926"/>
      <c r="X99" s="2926"/>
      <c r="Y99" s="2926"/>
      <c r="Z99" s="2926"/>
      <c r="AA99" s="2926"/>
      <c r="AB99" s="2926"/>
      <c r="AC99" s="2926"/>
    </row>
    <row r="100" spans="1:29" s="430" customFormat="1" ht="15.75" thickBot="1">
      <c r="A100" s="510"/>
      <c r="B100" s="492"/>
      <c r="C100" s="517"/>
      <c r="D100" s="493"/>
      <c r="E100" s="493"/>
      <c r="F100" s="493"/>
      <c r="G100" s="517"/>
      <c r="H100" s="519"/>
      <c r="I100" s="519"/>
      <c r="J100" s="519"/>
      <c r="K100" s="519"/>
      <c r="L100" s="519"/>
      <c r="M100" s="520"/>
      <c r="N100" s="2934"/>
      <c r="O100" s="2934"/>
      <c r="P100" s="2942"/>
      <c r="Q100" s="2925"/>
      <c r="R100" s="2926"/>
      <c r="S100" s="2926"/>
      <c r="T100" s="2926"/>
      <c r="U100" s="2926"/>
      <c r="V100" s="2926"/>
      <c r="W100" s="2926"/>
      <c r="X100" s="2926"/>
      <c r="Y100" s="2926"/>
      <c r="Z100" s="2926"/>
      <c r="AA100" s="2926"/>
      <c r="AB100" s="2926"/>
      <c r="AC100" s="2926"/>
    </row>
    <row r="101" spans="1:29" ht="15" thickTop="1">
      <c r="A101" s="556"/>
      <c r="B101" s="495">
        <f>B36</f>
        <v>111</v>
      </c>
      <c r="C101" s="511"/>
      <c r="D101" s="511"/>
      <c r="E101" s="511"/>
      <c r="F101" s="511"/>
      <c r="G101" s="511"/>
      <c r="H101" s="512"/>
      <c r="I101" s="512"/>
      <c r="J101" s="512"/>
      <c r="K101" s="512"/>
      <c r="L101" s="513"/>
      <c r="M101" s="514"/>
      <c r="N101" s="2932"/>
      <c r="O101" s="2932"/>
      <c r="P101" s="2941"/>
      <c r="Q101" s="2918"/>
      <c r="R101" s="2904"/>
      <c r="S101" s="2904"/>
      <c r="T101" s="2904"/>
      <c r="U101" s="2904"/>
      <c r="V101" s="2904"/>
      <c r="W101" s="2904"/>
      <c r="X101" s="2904"/>
      <c r="Y101" s="2904"/>
      <c r="Z101" s="2904"/>
      <c r="AA101" s="2904"/>
      <c r="AB101" s="2904"/>
      <c r="AC101" s="2904"/>
    </row>
    <row r="102" spans="1:29" ht="15.75" thickBot="1">
      <c r="A102" s="491"/>
      <c r="B102" s="500"/>
      <c r="C102" s="517"/>
      <c r="D102" s="517"/>
      <c r="E102" s="517"/>
      <c r="F102" s="517"/>
      <c r="G102" s="517"/>
      <c r="H102" s="519"/>
      <c r="I102" s="519"/>
      <c r="J102" s="519"/>
      <c r="K102" s="519"/>
      <c r="L102" s="519"/>
      <c r="M102" s="520"/>
      <c r="N102" s="2933"/>
      <c r="O102" s="2933"/>
      <c r="P102" s="2941"/>
      <c r="Q102" s="2918"/>
      <c r="R102" s="2904"/>
      <c r="S102" s="2904"/>
      <c r="T102" s="2904"/>
      <c r="U102" s="2904"/>
      <c r="V102" s="2904"/>
      <c r="W102" s="2904"/>
      <c r="X102" s="2904"/>
      <c r="Y102" s="2904"/>
      <c r="Z102" s="2904"/>
      <c r="AA102" s="2904"/>
      <c r="AB102" s="2904"/>
      <c r="AC102" s="2904"/>
    </row>
    <row r="103" spans="1:29" ht="15" thickTop="1">
      <c r="N103" s="2904"/>
      <c r="O103" s="2904"/>
      <c r="P103" s="2935"/>
      <c r="Q103" s="2904"/>
      <c r="R103" s="2904"/>
      <c r="S103" s="2904"/>
      <c r="T103" s="2904"/>
      <c r="U103" s="2904"/>
      <c r="V103" s="2904"/>
      <c r="W103" s="2904"/>
      <c r="X103" s="2904"/>
      <c r="Y103" s="2904"/>
      <c r="Z103" s="2904"/>
      <c r="AA103" s="2904"/>
      <c r="AB103" s="2904"/>
      <c r="AC103" s="290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Q72" sqref="Q72"/>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4" customFormat="1" ht="28.5" customHeight="1" thickBot="1">
      <c r="A1" s="1343" t="s">
        <v>2286</v>
      </c>
      <c r="B1" s="1344"/>
      <c r="C1" s="1345" t="s">
        <v>2109</v>
      </c>
      <c r="D1" s="1346"/>
      <c r="E1" s="1355"/>
      <c r="F1" s="2016"/>
      <c r="G1" s="1356" t="s">
        <v>2222</v>
      </c>
      <c r="H1" s="1355"/>
      <c r="I1" s="1355"/>
      <c r="J1" s="1355"/>
      <c r="K1" s="1357"/>
      <c r="L1" s="1358"/>
      <c r="M1" s="1359"/>
      <c r="N1" s="1359"/>
      <c r="O1" s="1359"/>
      <c r="P1" s="1345"/>
      <c r="Q1" s="1345"/>
      <c r="R1" s="1345"/>
      <c r="S1" s="1345"/>
      <c r="T1" s="1345"/>
      <c r="U1" s="1345"/>
      <c r="V1" s="1345"/>
      <c r="W1" s="1345"/>
      <c r="X1" s="1345"/>
      <c r="Y1" s="1345"/>
      <c r="Z1" s="1345"/>
      <c r="AA1" s="1345"/>
      <c r="AB1" s="1345"/>
      <c r="AC1" s="1353"/>
    </row>
    <row r="2" spans="1:29" s="358" customFormat="1" ht="28.5" customHeight="1" thickTop="1">
      <c r="A2" s="1342" t="s">
        <v>1906</v>
      </c>
      <c r="B2" s="1279" t="e">
        <f ca="1">IF(C2="——",ROUND(C37*D3/10000,0),ROUND(C37*D3/10000,0)-D2)</f>
        <v>#DIV/0!</v>
      </c>
      <c r="C2" s="2018"/>
      <c r="D2" s="1019" t="e">
        <f ca="1">SUMIF(INDIRECT("'"&amp;F2&amp;"'"&amp;"!A:A"),"承租人权益价值",INDIRECT("'"&amp;F2&amp;"'"&amp;"!c:c"))</f>
        <v>#REF!</v>
      </c>
      <c r="E2" s="2019" t="s">
        <v>1907</v>
      </c>
      <c r="F2" s="2020"/>
      <c r="G2" s="1020"/>
      <c r="H2" s="1020"/>
      <c r="I2" s="1020"/>
      <c r="J2" s="1020"/>
      <c r="K2" s="1022"/>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1908</v>
      </c>
      <c r="B3" s="566" t="e">
        <f ca="1">IF(C2="——",C37,ROUND(B2*10000/D3,0))</f>
        <v>#DIV/0!</v>
      </c>
      <c r="C3" s="360" t="s">
        <v>2223</v>
      </c>
      <c r="D3" s="359">
        <f>SUMIF('数据-汇总表'!$C19:$C33,D1,'数据-汇总表'!$E19:$E33)</f>
        <v>0</v>
      </c>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29" ht="15">
      <c r="A4" s="361" t="s">
        <v>2224</v>
      </c>
      <c r="B4" s="362"/>
      <c r="C4" s="3468" t="s">
        <v>2225</v>
      </c>
      <c r="D4" s="3469"/>
      <c r="E4" s="3470" t="s">
        <v>2226</v>
      </c>
      <c r="F4" s="3471"/>
      <c r="G4" s="3468" t="s">
        <v>2227</v>
      </c>
      <c r="H4" s="3469"/>
      <c r="I4" s="3468" t="s">
        <v>2228</v>
      </c>
      <c r="J4" s="3469"/>
      <c r="K4" s="567" t="s">
        <v>2229</v>
      </c>
      <c r="L4" s="2894"/>
      <c r="M4" s="2895"/>
      <c r="N4" s="2895"/>
      <c r="O4" s="2895"/>
      <c r="P4" s="3472" t="s">
        <v>2230</v>
      </c>
      <c r="Q4" s="3473"/>
      <c r="R4" s="3455" t="s">
        <v>2226</v>
      </c>
      <c r="S4" s="3456"/>
      <c r="T4" s="3455" t="s">
        <v>2227</v>
      </c>
      <c r="U4" s="3456"/>
      <c r="V4" s="3480" t="s">
        <v>2228</v>
      </c>
      <c r="W4" s="3480"/>
      <c r="X4" s="1490"/>
      <c r="Y4" s="3455" t="s">
        <v>2230</v>
      </c>
      <c r="Z4" s="3456"/>
      <c r="AA4" s="3450" t="s">
        <v>2226</v>
      </c>
      <c r="AB4" s="3451" t="s">
        <v>2227</v>
      </c>
      <c r="AC4" s="3450" t="s">
        <v>2228</v>
      </c>
    </row>
    <row r="5" spans="1:29" ht="15">
      <c r="A5" s="364"/>
      <c r="B5" s="365"/>
      <c r="C5" s="3461" t="s">
        <v>2121</v>
      </c>
      <c r="D5" s="3462"/>
      <c r="E5" s="3459" t="s">
        <v>2122</v>
      </c>
      <c r="F5" s="3460"/>
      <c r="G5" s="3461" t="s">
        <v>2123</v>
      </c>
      <c r="H5" s="3462"/>
      <c r="I5" s="3461" t="s">
        <v>2124</v>
      </c>
      <c r="J5" s="3462"/>
      <c r="K5" s="567"/>
      <c r="L5" s="2894"/>
      <c r="M5" s="2895"/>
      <c r="N5" s="2895"/>
      <c r="O5" s="2895"/>
      <c r="P5" s="3474"/>
      <c r="Q5" s="3475"/>
      <c r="R5" s="3457"/>
      <c r="S5" s="3458"/>
      <c r="T5" s="3457"/>
      <c r="U5" s="3458"/>
      <c r="V5" s="3480"/>
      <c r="W5" s="3480"/>
      <c r="X5" s="1490"/>
      <c r="Y5" s="3457"/>
      <c r="Z5" s="3458"/>
      <c r="AA5" s="3451"/>
      <c r="AB5" s="3451"/>
      <c r="AC5" s="3451"/>
    </row>
    <row r="6" spans="1:29" ht="15.75" thickBot="1">
      <c r="A6" s="366"/>
      <c r="B6" s="367"/>
      <c r="C6" s="3463" t="s">
        <v>2125</v>
      </c>
      <c r="D6" s="3464"/>
      <c r="E6" s="3465" t="s">
        <v>2125</v>
      </c>
      <c r="F6" s="3466"/>
      <c r="G6" s="3463" t="s">
        <v>2125</v>
      </c>
      <c r="H6" s="3464"/>
      <c r="I6" s="3463" t="s">
        <v>2125</v>
      </c>
      <c r="J6" s="3464"/>
      <c r="K6" s="567" t="s">
        <v>2126</v>
      </c>
      <c r="L6" s="2894"/>
      <c r="M6" s="2895"/>
      <c r="N6" s="2895"/>
      <c r="O6" s="2895"/>
      <c r="P6" s="3476"/>
      <c r="Q6" s="3477"/>
      <c r="R6" s="3457"/>
      <c r="S6" s="3458"/>
      <c r="T6" s="3478"/>
      <c r="U6" s="3479"/>
      <c r="V6" s="3480"/>
      <c r="W6" s="3480"/>
      <c r="X6" s="1490"/>
      <c r="Y6" s="3478"/>
      <c r="Z6" s="3479"/>
      <c r="AA6" s="3452"/>
      <c r="AB6" s="3452"/>
      <c r="AC6" s="3452"/>
    </row>
    <row r="7" spans="1:29" s="113" customFormat="1" ht="15.75" thickBot="1">
      <c r="A7" s="368" t="s">
        <v>2127</v>
      </c>
      <c r="B7" s="369"/>
      <c r="C7" s="370">
        <f>'数据-取费表'!B2</f>
        <v>44869</v>
      </c>
      <c r="D7" s="371">
        <v>100</v>
      </c>
      <c r="E7" s="372"/>
      <c r="F7" s="373">
        <f>SUMIF(46:46,YEAR(E7)&amp;"-"&amp;MONTH(E7),47:47)</f>
        <v>0</v>
      </c>
      <c r="G7" s="2111"/>
      <c r="H7" s="371">
        <f>SUMIF(46:46,YEAR(G7)&amp;"-"&amp;MONTH(G7),47:47)</f>
        <v>0</v>
      </c>
      <c r="I7" s="372"/>
      <c r="J7" s="371">
        <f>SUMIF(46:46,YEAR(I7)&amp;"-"&amp;MONTH(I7),47:47)</f>
        <v>0</v>
      </c>
      <c r="K7" s="568"/>
      <c r="L7" s="2896"/>
      <c r="M7" s="2897"/>
      <c r="N7" s="2897"/>
      <c r="O7" s="2897"/>
      <c r="P7" s="3453" t="s">
        <v>2128</v>
      </c>
      <c r="Q7" s="3481"/>
      <c r="R7" s="710" t="s">
        <v>17</v>
      </c>
      <c r="S7" s="711">
        <f t="shared" ref="S7:S14" si="0">F7</f>
        <v>0</v>
      </c>
      <c r="T7" s="710" t="s">
        <v>17</v>
      </c>
      <c r="U7" s="711">
        <f t="shared" ref="U7:U14" si="1">H7</f>
        <v>0</v>
      </c>
      <c r="V7" s="710" t="s">
        <v>17</v>
      </c>
      <c r="W7" s="711">
        <f t="shared" ref="W7:W14" si="2">J7</f>
        <v>0</v>
      </c>
      <c r="X7" s="712"/>
      <c r="Y7" s="3453" t="s">
        <v>2128</v>
      </c>
      <c r="Z7" s="3454"/>
      <c r="AA7" s="713" t="e">
        <f>D7/F7</f>
        <v>#DIV/0!</v>
      </c>
      <c r="AB7" s="713" t="e">
        <f>D7/H7</f>
        <v>#DIV/0!</v>
      </c>
      <c r="AC7" s="713" t="e">
        <f>D7/J7</f>
        <v>#DIV/0!</v>
      </c>
    </row>
    <row r="8" spans="1:29" s="113" customFormat="1" ht="15.75" thickBot="1">
      <c r="A8" s="368" t="s">
        <v>2129</v>
      </c>
      <c r="B8" s="369"/>
      <c r="C8" s="374" t="s">
        <v>2231</v>
      </c>
      <c r="D8" s="371">
        <v>100</v>
      </c>
      <c r="E8" s="374"/>
      <c r="F8" s="373">
        <f>SUMIF(49:49,E8,50:50)-SUMIF(49:49,C8,50:50)+100</f>
        <v>0</v>
      </c>
      <c r="G8" s="374"/>
      <c r="H8" s="371">
        <f>SUMIF(49:49,G8,50:50)-SUMIF(49:49,C8,50:50)+100</f>
        <v>0</v>
      </c>
      <c r="I8" s="374"/>
      <c r="J8" s="371">
        <f>SUMIF(49:49,I8,50:50)-SUMIF(49:49,C8,50:50)+100</f>
        <v>0</v>
      </c>
      <c r="K8" s="568"/>
      <c r="L8" s="2896"/>
      <c r="M8" s="2897"/>
      <c r="N8" s="2897"/>
      <c r="O8" s="2897"/>
      <c r="P8" s="3453" t="s">
        <v>2131</v>
      </c>
      <c r="Q8" s="3454"/>
      <c r="R8" s="710" t="s">
        <v>17</v>
      </c>
      <c r="S8" s="711">
        <f t="shared" si="0"/>
        <v>0</v>
      </c>
      <c r="T8" s="710" t="s">
        <v>17</v>
      </c>
      <c r="U8" s="711">
        <f t="shared" si="1"/>
        <v>0</v>
      </c>
      <c r="V8" s="710" t="s">
        <v>17</v>
      </c>
      <c r="W8" s="711">
        <f t="shared" si="2"/>
        <v>0</v>
      </c>
      <c r="X8" s="712"/>
      <c r="Y8" s="3453" t="s">
        <v>2131</v>
      </c>
      <c r="Z8" s="3454"/>
      <c r="AA8" s="713" t="e">
        <f t="shared" ref="AA8:AA34" si="3">D8/F8</f>
        <v>#DIV/0!</v>
      </c>
      <c r="AB8" s="713" t="e">
        <f t="shared" ref="AB8:AB34" si="4">D8/H8</f>
        <v>#DIV/0!</v>
      </c>
      <c r="AC8" s="713" t="e">
        <f t="shared" ref="AC8:AC34" si="5">D8/J8</f>
        <v>#DIV/0!</v>
      </c>
    </row>
    <row r="9" spans="1:29" s="113" customFormat="1">
      <c r="A9" s="375" t="s">
        <v>2132</v>
      </c>
      <c r="B9" s="67" t="s">
        <v>2133</v>
      </c>
      <c r="C9" s="376"/>
      <c r="D9" s="131">
        <v>100</v>
      </c>
      <c r="E9" s="379"/>
      <c r="F9" s="378">
        <f>SUMIF(51:51,E9,52:52)-SUMIF(51:51,C9,52:52)+100</f>
        <v>100</v>
      </c>
      <c r="G9" s="379"/>
      <c r="H9" s="131">
        <f>SUMIF(51:51,G9,52:52)-SUMIF(51:51,C9,52:52)+100</f>
        <v>100</v>
      </c>
      <c r="I9" s="379"/>
      <c r="J9" s="131">
        <f>SUMIF(51:51,I9,52:52)-SUMIF(51:51,C9,52:52)+100</f>
        <v>100</v>
      </c>
      <c r="K9" s="568"/>
      <c r="L9" s="2896"/>
      <c r="M9" s="2897"/>
      <c r="N9" s="2897"/>
      <c r="O9" s="2951"/>
      <c r="P9" s="3485" t="s">
        <v>2134</v>
      </c>
      <c r="Q9" s="1478" t="str">
        <f t="shared" ref="Q9:Q14" si="6">B9</f>
        <v>用途</v>
      </c>
      <c r="R9" s="710" t="s">
        <v>17</v>
      </c>
      <c r="S9" s="711">
        <f t="shared" si="0"/>
        <v>100</v>
      </c>
      <c r="T9" s="710" t="s">
        <v>17</v>
      </c>
      <c r="U9" s="711">
        <f t="shared" si="1"/>
        <v>100</v>
      </c>
      <c r="V9" s="710" t="s">
        <v>17</v>
      </c>
      <c r="W9" s="711">
        <f t="shared" si="2"/>
        <v>100</v>
      </c>
      <c r="X9" s="712"/>
      <c r="Y9" s="3397" t="s">
        <v>2135</v>
      </c>
      <c r="Z9" s="55" t="str">
        <f t="shared" ref="Z9:Z14" si="7">Q9</f>
        <v>用途</v>
      </c>
      <c r="AA9" s="713">
        <f t="shared" si="3"/>
        <v>1</v>
      </c>
      <c r="AB9" s="713">
        <f t="shared" si="4"/>
        <v>1</v>
      </c>
      <c r="AC9" s="713">
        <f t="shared" si="5"/>
        <v>1</v>
      </c>
    </row>
    <row r="10" spans="1:29" s="386" customFormat="1" ht="27">
      <c r="A10" s="380"/>
      <c r="B10" s="381" t="s">
        <v>2136</v>
      </c>
      <c r="C10" s="382"/>
      <c r="D10" s="132">
        <v>100</v>
      </c>
      <c r="E10" s="382"/>
      <c r="F10" s="384">
        <f>SUMIF(53:53,E10,54:54)-SUMIF(53:53,C10,54:54)+100</f>
        <v>100</v>
      </c>
      <c r="G10" s="382"/>
      <c r="H10" s="132">
        <f>SUMIF(53:53,G10,54:54)-SUMIF(53:53,C10,54:54)+100</f>
        <v>100</v>
      </c>
      <c r="I10" s="382"/>
      <c r="J10" s="132">
        <f>SUMIF(53:53,I10,54:54)-SUMIF(53:53,C10,54:54)+100</f>
        <v>100</v>
      </c>
      <c r="K10" s="569"/>
      <c r="L10" s="2898"/>
      <c r="M10" s="2899"/>
      <c r="N10" s="2899"/>
      <c r="O10" s="2952"/>
      <c r="P10" s="3485"/>
      <c r="Q10" s="1478" t="str">
        <f t="shared" si="6"/>
        <v>土地使用年限（年）</v>
      </c>
      <c r="R10" s="710" t="s">
        <v>17</v>
      </c>
      <c r="S10" s="711">
        <f t="shared" si="0"/>
        <v>100</v>
      </c>
      <c r="T10" s="710" t="s">
        <v>17</v>
      </c>
      <c r="U10" s="711">
        <f t="shared" si="1"/>
        <v>100</v>
      </c>
      <c r="V10" s="710" t="s">
        <v>17</v>
      </c>
      <c r="W10" s="711">
        <f t="shared" si="2"/>
        <v>100</v>
      </c>
      <c r="X10" s="712"/>
      <c r="Y10" s="3397"/>
      <c r="Z10" s="55" t="str">
        <f t="shared" si="7"/>
        <v>土地使用年限（年）</v>
      </c>
      <c r="AA10" s="713">
        <f t="shared" si="3"/>
        <v>1</v>
      </c>
      <c r="AB10" s="713">
        <f t="shared" si="4"/>
        <v>1</v>
      </c>
      <c r="AC10" s="713">
        <f t="shared" si="5"/>
        <v>1</v>
      </c>
    </row>
    <row r="11" spans="1:29" ht="15">
      <c r="A11" s="387"/>
      <c r="B11" s="2030">
        <v>111</v>
      </c>
      <c r="C11" s="391"/>
      <c r="D11" s="132">
        <v>100</v>
      </c>
      <c r="E11" s="428"/>
      <c r="F11" s="384">
        <f>SUMIF(55:55,E11,56:56)-SUMIF(55:55,C11,56:56)+100</f>
        <v>100</v>
      </c>
      <c r="G11" s="428"/>
      <c r="H11" s="132">
        <f>SUMIF(55:55,G11,56:56)-SUMIF(55:55,C11,56:56)+100</f>
        <v>100</v>
      </c>
      <c r="I11" s="428"/>
      <c r="J11" s="132">
        <f>SUMIF(55:55,I11,56:56)-SUMIF(55:55,C11,56:56)+100</f>
        <v>100</v>
      </c>
      <c r="K11" s="570"/>
      <c r="L11" s="2900"/>
      <c r="M11" s="2895"/>
      <c r="N11" s="2895"/>
      <c r="O11" s="2953"/>
      <c r="P11" s="3485"/>
      <c r="Q11" s="1478">
        <f t="shared" si="6"/>
        <v>111</v>
      </c>
      <c r="R11" s="710" t="s">
        <v>17</v>
      </c>
      <c r="S11" s="711">
        <f t="shared" si="0"/>
        <v>100</v>
      </c>
      <c r="T11" s="710" t="s">
        <v>17</v>
      </c>
      <c r="U11" s="711">
        <f t="shared" si="1"/>
        <v>100</v>
      </c>
      <c r="V11" s="710" t="s">
        <v>17</v>
      </c>
      <c r="W11" s="711">
        <f t="shared" si="2"/>
        <v>100</v>
      </c>
      <c r="X11" s="712"/>
      <c r="Y11" s="3397"/>
      <c r="Z11" s="55">
        <f t="shared" si="7"/>
        <v>111</v>
      </c>
      <c r="AA11" s="713">
        <f t="shared" si="3"/>
        <v>1</v>
      </c>
      <c r="AB11" s="713">
        <f t="shared" si="4"/>
        <v>1</v>
      </c>
      <c r="AC11" s="713">
        <f t="shared" si="5"/>
        <v>1</v>
      </c>
    </row>
    <row r="12" spans="1:29" s="113" customFormat="1" ht="15">
      <c r="A12" s="390"/>
      <c r="B12" s="2030">
        <v>111</v>
      </c>
      <c r="C12" s="391"/>
      <c r="D12" s="392">
        <v>100</v>
      </c>
      <c r="E12" s="428"/>
      <c r="F12" s="384">
        <f>SUMIF(57:57,E12,58:58)-SUMIF(57:57,C12,58:58)+100</f>
        <v>100</v>
      </c>
      <c r="G12" s="428"/>
      <c r="H12" s="132">
        <f>SUMIF(57:57,G12,58:58)-SUMIF(57:57,C12,58:58)+100</f>
        <v>100</v>
      </c>
      <c r="I12" s="428"/>
      <c r="J12" s="132">
        <f>SUMIF(57:57,I12,58:58)-SUMIF(57:57,C12,58:58)+100</f>
        <v>100</v>
      </c>
      <c r="K12" s="570"/>
      <c r="L12" s="2896"/>
      <c r="M12" s="2897"/>
      <c r="N12" s="2897"/>
      <c r="O12" s="2951"/>
      <c r="P12" s="3485"/>
      <c r="Q12" s="1478">
        <f t="shared" si="6"/>
        <v>111</v>
      </c>
      <c r="R12" s="710" t="s">
        <v>17</v>
      </c>
      <c r="S12" s="711">
        <f t="shared" si="0"/>
        <v>100</v>
      </c>
      <c r="T12" s="710" t="s">
        <v>17</v>
      </c>
      <c r="U12" s="711">
        <f t="shared" si="1"/>
        <v>100</v>
      </c>
      <c r="V12" s="710" t="s">
        <v>17</v>
      </c>
      <c r="W12" s="711">
        <f t="shared" si="2"/>
        <v>100</v>
      </c>
      <c r="X12" s="712"/>
      <c r="Y12" s="3397"/>
      <c r="Z12" s="55">
        <f t="shared" si="7"/>
        <v>111</v>
      </c>
      <c r="AA12" s="713">
        <f>D12/F12</f>
        <v>1</v>
      </c>
      <c r="AB12" s="713">
        <f>D12/H12</f>
        <v>1</v>
      </c>
      <c r="AC12" s="713">
        <f>D12/J12</f>
        <v>1</v>
      </c>
    </row>
    <row r="13" spans="1:29" ht="15.75" thickBot="1">
      <c r="A13" s="387"/>
      <c r="B13" s="2030">
        <v>111</v>
      </c>
      <c r="C13" s="393"/>
      <c r="D13" s="394">
        <v>100</v>
      </c>
      <c r="E13" s="428"/>
      <c r="F13" s="384">
        <f>SUMIF(59:59,E13,60:60)-SUMIF(59:59,C13,60:60)+100</f>
        <v>100</v>
      </c>
      <c r="G13" s="2112"/>
      <c r="H13" s="397">
        <f>SUMIF(59:59,G13,60:60)-SUMIF(59:59,C13,60:60)+100</f>
        <v>100</v>
      </c>
      <c r="I13" s="428"/>
      <c r="J13" s="394">
        <f>SUMIF(59:59,I13,60:60)-SUMIF(59:59,C13,60:60)+100</f>
        <v>100</v>
      </c>
      <c r="K13" s="570"/>
      <c r="L13" s="2901"/>
      <c r="M13" s="2895"/>
      <c r="N13" s="2895"/>
      <c r="O13" s="2953"/>
      <c r="P13" s="3485"/>
      <c r="Q13" s="1478">
        <f t="shared" si="6"/>
        <v>111</v>
      </c>
      <c r="R13" s="710" t="s">
        <v>17</v>
      </c>
      <c r="S13" s="711">
        <f t="shared" si="0"/>
        <v>100</v>
      </c>
      <c r="T13" s="710" t="s">
        <v>17</v>
      </c>
      <c r="U13" s="711">
        <f t="shared" si="1"/>
        <v>100</v>
      </c>
      <c r="V13" s="710" t="s">
        <v>17</v>
      </c>
      <c r="W13" s="711">
        <f t="shared" si="2"/>
        <v>100</v>
      </c>
      <c r="X13" s="712"/>
      <c r="Y13" s="3397"/>
      <c r="Z13" s="55">
        <f t="shared" si="7"/>
        <v>111</v>
      </c>
      <c r="AA13" s="713">
        <f t="shared" si="3"/>
        <v>1</v>
      </c>
      <c r="AB13" s="713">
        <f t="shared" si="4"/>
        <v>1</v>
      </c>
      <c r="AC13" s="713">
        <f t="shared" si="5"/>
        <v>1</v>
      </c>
    </row>
    <row r="14" spans="1:29" ht="85.5">
      <c r="A14" s="399" t="s">
        <v>2138</v>
      </c>
      <c r="B14" s="65" t="s">
        <v>2288</v>
      </c>
      <c r="C14" s="2108"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01"/>
      <c r="M14" s="2895"/>
      <c r="N14" s="2895"/>
      <c r="O14" s="2953"/>
      <c r="P14" s="3487" t="s">
        <v>2139</v>
      </c>
      <c r="Q14" s="1487" t="str">
        <f t="shared" si="6"/>
        <v>交通便捷度</v>
      </c>
      <c r="R14" s="714" t="s">
        <v>17</v>
      </c>
      <c r="S14" s="715">
        <f t="shared" si="0"/>
        <v>100</v>
      </c>
      <c r="T14" s="714" t="s">
        <v>17</v>
      </c>
      <c r="U14" s="715">
        <f t="shared" si="1"/>
        <v>100</v>
      </c>
      <c r="V14" s="714" t="s">
        <v>17</v>
      </c>
      <c r="W14" s="715">
        <f t="shared" si="2"/>
        <v>100</v>
      </c>
      <c r="X14" s="1490"/>
      <c r="Y14" s="3487" t="s">
        <v>2139</v>
      </c>
      <c r="Z14" s="1491" t="str">
        <f t="shared" si="7"/>
        <v>交通便捷度</v>
      </c>
      <c r="AA14" s="1488">
        <f t="shared" si="3"/>
        <v>1</v>
      </c>
      <c r="AB14" s="1488">
        <f t="shared" si="4"/>
        <v>1</v>
      </c>
      <c r="AC14" s="1488">
        <f t="shared" si="5"/>
        <v>1</v>
      </c>
    </row>
    <row r="15" spans="1:29" ht="15">
      <c r="A15" s="387"/>
      <c r="B15" s="405"/>
      <c r="C15" s="406"/>
      <c r="D15" s="407"/>
      <c r="E15" s="406"/>
      <c r="F15" s="408"/>
      <c r="G15" s="406"/>
      <c r="H15" s="409"/>
      <c r="I15" s="406"/>
      <c r="J15" s="407"/>
      <c r="K15" s="572"/>
      <c r="L15" s="2901"/>
      <c r="M15" s="2895"/>
      <c r="N15" s="2895"/>
      <c r="O15" s="2953"/>
      <c r="P15" s="3488"/>
      <c r="Q15" s="1487"/>
      <c r="R15" s="714"/>
      <c r="S15" s="715"/>
      <c r="T15" s="714"/>
      <c r="U15" s="715"/>
      <c r="V15" s="714"/>
      <c r="W15" s="715"/>
      <c r="X15" s="1490"/>
      <c r="Y15" s="3488"/>
      <c r="Z15" s="1491"/>
      <c r="AA15" s="1488">
        <v>1</v>
      </c>
      <c r="AB15" s="1488">
        <v>1</v>
      </c>
      <c r="AC15" s="1488">
        <v>1</v>
      </c>
    </row>
    <row r="16" spans="1:29" ht="42.75">
      <c r="A16" s="387"/>
      <c r="B16" s="410" t="s">
        <v>2267</v>
      </c>
      <c r="C16" s="2037"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01"/>
      <c r="M16" s="2895"/>
      <c r="N16" s="2895"/>
      <c r="O16" s="2953"/>
      <c r="P16" s="3488"/>
      <c r="Q16" s="1487" t="str">
        <f>B16</f>
        <v>公共配套设施</v>
      </c>
      <c r="R16" s="714" t="s">
        <v>17</v>
      </c>
      <c r="S16" s="715">
        <f>F16</f>
        <v>100</v>
      </c>
      <c r="T16" s="714" t="s">
        <v>17</v>
      </c>
      <c r="U16" s="715">
        <f>H16</f>
        <v>100</v>
      </c>
      <c r="V16" s="714" t="s">
        <v>17</v>
      </c>
      <c r="W16" s="715">
        <f>J16</f>
        <v>100</v>
      </c>
      <c r="X16" s="1490"/>
      <c r="Y16" s="3488"/>
      <c r="Z16" s="1491" t="str">
        <f>Q16</f>
        <v>公共配套设施</v>
      </c>
      <c r="AA16" s="1488">
        <f t="shared" si="3"/>
        <v>1</v>
      </c>
      <c r="AB16" s="1488">
        <f t="shared" si="4"/>
        <v>1</v>
      </c>
      <c r="AC16" s="1488">
        <f t="shared" si="5"/>
        <v>1</v>
      </c>
    </row>
    <row r="17" spans="1:29" ht="15">
      <c r="A17" s="387"/>
      <c r="B17" s="415"/>
      <c r="C17" s="2038"/>
      <c r="D17" s="407"/>
      <c r="E17" s="406"/>
      <c r="F17" s="408"/>
      <c r="G17" s="406"/>
      <c r="H17" s="407"/>
      <c r="I17" s="406"/>
      <c r="J17" s="407"/>
      <c r="K17" s="572"/>
      <c r="L17" s="2901"/>
      <c r="M17" s="2895"/>
      <c r="N17" s="2895"/>
      <c r="O17" s="2953"/>
      <c r="P17" s="3488"/>
      <c r="Q17" s="1487"/>
      <c r="R17" s="714"/>
      <c r="S17" s="715"/>
      <c r="T17" s="714"/>
      <c r="U17" s="715"/>
      <c r="V17" s="714"/>
      <c r="W17" s="715"/>
      <c r="X17" s="1490"/>
      <c r="Y17" s="3488"/>
      <c r="Z17" s="1491"/>
      <c r="AA17" s="1488">
        <v>1</v>
      </c>
      <c r="AB17" s="1488">
        <v>1</v>
      </c>
      <c r="AC17" s="1488">
        <v>1</v>
      </c>
    </row>
    <row r="18" spans="1:29" ht="28.5">
      <c r="A18" s="387"/>
      <c r="B18" s="1246" t="s">
        <v>2268</v>
      </c>
      <c r="C18" s="2037"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01"/>
      <c r="M18" s="2895"/>
      <c r="N18" s="2895"/>
      <c r="O18" s="2953"/>
      <c r="P18" s="3488"/>
      <c r="Q18" s="1487" t="str">
        <f>B18</f>
        <v>基础设施水平</v>
      </c>
      <c r="R18" s="714" t="s">
        <v>17</v>
      </c>
      <c r="S18" s="715">
        <f>F18</f>
        <v>100</v>
      </c>
      <c r="T18" s="714" t="s">
        <v>17</v>
      </c>
      <c r="U18" s="715">
        <f>H18</f>
        <v>100</v>
      </c>
      <c r="V18" s="714" t="s">
        <v>17</v>
      </c>
      <c r="W18" s="715">
        <f>J18</f>
        <v>100</v>
      </c>
      <c r="X18" s="1490"/>
      <c r="Y18" s="3488"/>
      <c r="Z18" s="1491" t="str">
        <f>Q18</f>
        <v>基础设施水平</v>
      </c>
      <c r="AA18" s="1488">
        <f t="shared" ref="AA18" si="8">D18/F18</f>
        <v>1</v>
      </c>
      <c r="AB18" s="1488">
        <f t="shared" ref="AB18" si="9">D18/H18</f>
        <v>1</v>
      </c>
      <c r="AC18" s="1488">
        <f t="shared" ref="AC18" si="10">D18/J18</f>
        <v>1</v>
      </c>
    </row>
    <row r="19" spans="1:29" ht="15">
      <c r="A19" s="387"/>
      <c r="B19" s="1246"/>
      <c r="C19" s="2038"/>
      <c r="D19" s="409"/>
      <c r="E19" s="2038"/>
      <c r="F19" s="412"/>
      <c r="G19" s="2038"/>
      <c r="H19" s="407"/>
      <c r="I19" s="406"/>
      <c r="J19" s="407"/>
      <c r="K19" s="1245"/>
      <c r="L19" s="2901"/>
      <c r="M19" s="2895"/>
      <c r="N19" s="2895"/>
      <c r="O19" s="2953"/>
      <c r="P19" s="3488"/>
      <c r="Q19" s="1487"/>
      <c r="R19" s="714"/>
      <c r="S19" s="715"/>
      <c r="T19" s="714"/>
      <c r="U19" s="715"/>
      <c r="V19" s="714"/>
      <c r="W19" s="715"/>
      <c r="X19" s="1490"/>
      <c r="Y19" s="3488"/>
      <c r="Z19" s="1491"/>
      <c r="AA19" s="1488">
        <v>1</v>
      </c>
      <c r="AB19" s="1488">
        <v>1</v>
      </c>
      <c r="AC19" s="1488">
        <v>1</v>
      </c>
    </row>
    <row r="20" spans="1:29" ht="57">
      <c r="A20" s="387"/>
      <c r="B20" s="410" t="s">
        <v>2289</v>
      </c>
      <c r="C20" s="2037"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01"/>
      <c r="M20" s="2895"/>
      <c r="N20" s="2895"/>
      <c r="O20" s="2953"/>
      <c r="P20" s="3488"/>
      <c r="Q20" s="1487" t="str">
        <f>B20</f>
        <v>自然及人文环境</v>
      </c>
      <c r="R20" s="714" t="s">
        <v>17</v>
      </c>
      <c r="S20" s="715">
        <f>F20</f>
        <v>100</v>
      </c>
      <c r="T20" s="714" t="s">
        <v>17</v>
      </c>
      <c r="U20" s="715">
        <f>H20</f>
        <v>100</v>
      </c>
      <c r="V20" s="714" t="s">
        <v>17</v>
      </c>
      <c r="W20" s="715">
        <f>J20</f>
        <v>100</v>
      </c>
      <c r="X20" s="1490"/>
      <c r="Y20" s="3488"/>
      <c r="Z20" s="1491" t="str">
        <f>Q20</f>
        <v>自然及人文环境</v>
      </c>
      <c r="AA20" s="1488">
        <f t="shared" si="3"/>
        <v>1</v>
      </c>
      <c r="AB20" s="1488">
        <f t="shared" si="4"/>
        <v>1</v>
      </c>
      <c r="AC20" s="1488">
        <f t="shared" si="5"/>
        <v>1</v>
      </c>
    </row>
    <row r="21" spans="1:29" ht="15">
      <c r="A21" s="387"/>
      <c r="B21" s="415"/>
      <c r="C21" s="406"/>
      <c r="D21" s="407"/>
      <c r="E21" s="406"/>
      <c r="F21" s="408"/>
      <c r="G21" s="406"/>
      <c r="H21" s="407"/>
      <c r="I21" s="406"/>
      <c r="J21" s="407"/>
      <c r="K21" s="572"/>
      <c r="L21" s="2901"/>
      <c r="M21" s="2895"/>
      <c r="N21" s="2895"/>
      <c r="O21" s="2953"/>
      <c r="P21" s="3488"/>
      <c r="Q21" s="1487"/>
      <c r="R21" s="714"/>
      <c r="S21" s="715"/>
      <c r="T21" s="714"/>
      <c r="U21" s="715"/>
      <c r="V21" s="714"/>
      <c r="W21" s="715"/>
      <c r="X21" s="1490"/>
      <c r="Y21" s="3488"/>
      <c r="Z21" s="1491"/>
      <c r="AA21" s="1488">
        <v>1</v>
      </c>
      <c r="AB21" s="1488">
        <v>1</v>
      </c>
      <c r="AC21" s="1488">
        <v>1</v>
      </c>
    </row>
    <row r="22" spans="1:29" ht="15">
      <c r="A22" s="387"/>
      <c r="B22" s="410" t="s">
        <v>2290</v>
      </c>
      <c r="C22" s="573"/>
      <c r="D22" s="409">
        <v>100</v>
      </c>
      <c r="E22" s="573"/>
      <c r="F22" s="420">
        <f>SUMIF(69:69,E22,70:70)-SUMIF(69:69,C22,70:70)+100</f>
        <v>100</v>
      </c>
      <c r="G22" s="573"/>
      <c r="H22" s="394">
        <f>SUMIF(69:69,G22,70:70)-SUMIF(69:69,C22,70:70)+100</f>
        <v>100</v>
      </c>
      <c r="I22" s="573"/>
      <c r="J22" s="394">
        <f>SUMIF(69:69,I22,70:70)-SUMIF(69:69,C22,70:70)+100</f>
        <v>100</v>
      </c>
      <c r="K22" s="569"/>
      <c r="L22" s="2901"/>
      <c r="M22" s="2895"/>
      <c r="N22" s="2895"/>
      <c r="O22" s="2953"/>
      <c r="P22" s="3488"/>
      <c r="Q22" s="1487" t="str">
        <f>B22</f>
        <v>楼层</v>
      </c>
      <c r="R22" s="714" t="s">
        <v>17</v>
      </c>
      <c r="S22" s="715">
        <f>F22</f>
        <v>100</v>
      </c>
      <c r="T22" s="714" t="s">
        <v>17</v>
      </c>
      <c r="U22" s="715">
        <f>H22</f>
        <v>100</v>
      </c>
      <c r="V22" s="714" t="s">
        <v>17</v>
      </c>
      <c r="W22" s="715">
        <f>J22</f>
        <v>100</v>
      </c>
      <c r="X22" s="1490"/>
      <c r="Y22" s="3488"/>
      <c r="Z22" s="1491" t="str">
        <f>Q22</f>
        <v>楼层</v>
      </c>
      <c r="AA22" s="1488">
        <f t="shared" si="3"/>
        <v>1</v>
      </c>
      <c r="AB22" s="1488">
        <f t="shared" si="4"/>
        <v>1</v>
      </c>
      <c r="AC22" s="1488">
        <f t="shared" si="5"/>
        <v>1</v>
      </c>
    </row>
    <row r="23" spans="1:29" ht="15">
      <c r="A23" s="364"/>
      <c r="B23" s="2030">
        <v>111</v>
      </c>
      <c r="C23" s="391"/>
      <c r="D23" s="394">
        <v>100</v>
      </c>
      <c r="E23" s="393"/>
      <c r="F23" s="420">
        <f>SUMIF(71:71,E23,72:72)-SUMIF(71:71,C23,72:72)+100</f>
        <v>100</v>
      </c>
      <c r="G23" s="393"/>
      <c r="H23" s="394">
        <f>SUMIF(71:71,G23,72:72)-SUMIF(71:71,C23,72:72)+100</f>
        <v>100</v>
      </c>
      <c r="I23" s="393"/>
      <c r="J23" s="394">
        <f>SUMIF(71:71,I23,72:72)-SUMIF(71:71,C23,72:72)+100</f>
        <v>100</v>
      </c>
      <c r="K23" s="570"/>
      <c r="L23" s="2901"/>
      <c r="M23" s="2895"/>
      <c r="N23" s="2895"/>
      <c r="O23" s="2953"/>
      <c r="P23" s="3488"/>
      <c r="Q23" s="1487">
        <f>B23</f>
        <v>111</v>
      </c>
      <c r="R23" s="714" t="s">
        <v>17</v>
      </c>
      <c r="S23" s="715">
        <f>F23</f>
        <v>100</v>
      </c>
      <c r="T23" s="714" t="s">
        <v>17</v>
      </c>
      <c r="U23" s="715">
        <f>H23</f>
        <v>100</v>
      </c>
      <c r="V23" s="714" t="s">
        <v>17</v>
      </c>
      <c r="W23" s="715">
        <f>J23</f>
        <v>100</v>
      </c>
      <c r="X23" s="1490"/>
      <c r="Y23" s="3488"/>
      <c r="Z23" s="1491">
        <f>Q23</f>
        <v>111</v>
      </c>
      <c r="AA23" s="1488">
        <f t="shared" si="3"/>
        <v>1</v>
      </c>
      <c r="AB23" s="1488">
        <f t="shared" si="4"/>
        <v>1</v>
      </c>
      <c r="AC23" s="1488">
        <f t="shared" si="5"/>
        <v>1</v>
      </c>
    </row>
    <row r="24" spans="1:29" ht="15">
      <c r="A24" s="387"/>
      <c r="B24" s="2030">
        <v>111</v>
      </c>
      <c r="C24" s="391"/>
      <c r="D24" s="394">
        <v>100</v>
      </c>
      <c r="E24" s="393"/>
      <c r="F24" s="420">
        <f>SUMIF(73:73,E24,74:74)-SUMIF(73:73,C24,74:74)+100</f>
        <v>100</v>
      </c>
      <c r="G24" s="393"/>
      <c r="H24" s="394">
        <f>SUMIF(73:73,G24,74:74)-SUMIF(73:73,C24,74:74)+100</f>
        <v>100</v>
      </c>
      <c r="I24" s="393"/>
      <c r="J24" s="394">
        <f>SUMIF(73:73,I24,74:74)-SUMIF(73:73,C24,74:74)+100</f>
        <v>100</v>
      </c>
      <c r="K24" s="570"/>
      <c r="L24" s="2901"/>
      <c r="M24" s="2895"/>
      <c r="N24" s="2895"/>
      <c r="O24" s="2953"/>
      <c r="P24" s="3488"/>
      <c r="Q24" s="1487">
        <f t="shared" ref="Q24:Q34" si="11">B24</f>
        <v>111</v>
      </c>
      <c r="R24" s="714" t="s">
        <v>17</v>
      </c>
      <c r="S24" s="715">
        <f>F24</f>
        <v>100</v>
      </c>
      <c r="T24" s="714" t="s">
        <v>17</v>
      </c>
      <c r="U24" s="715">
        <f>H24</f>
        <v>100</v>
      </c>
      <c r="V24" s="714" t="s">
        <v>17</v>
      </c>
      <c r="W24" s="715">
        <f>J24</f>
        <v>100</v>
      </c>
      <c r="X24" s="1490"/>
      <c r="Y24" s="3488"/>
      <c r="Z24" s="1491">
        <f>Q24</f>
        <v>111</v>
      </c>
      <c r="AA24" s="1488">
        <f t="shared" si="3"/>
        <v>1</v>
      </c>
      <c r="AB24" s="1488">
        <f t="shared" si="4"/>
        <v>1</v>
      </c>
      <c r="AC24" s="1488">
        <f t="shared" si="5"/>
        <v>1</v>
      </c>
    </row>
    <row r="25" spans="1:29" s="113" customFormat="1" ht="15.75" thickBot="1">
      <c r="A25" s="390"/>
      <c r="B25" s="2030">
        <v>111</v>
      </c>
      <c r="C25" s="2113"/>
      <c r="D25" s="621">
        <v>100</v>
      </c>
      <c r="E25" s="2113"/>
      <c r="F25" s="622">
        <f>SUMIF(75:75,E25,76:76)-SUMIF(75:75,C25,76:76)+100</f>
        <v>100</v>
      </c>
      <c r="G25" s="2113"/>
      <c r="H25" s="621">
        <f>SUMIF(75:75,G25,76:76)-SUMIF(75:75,C25,76:76)+100</f>
        <v>100</v>
      </c>
      <c r="I25" s="2113"/>
      <c r="J25" s="621">
        <f>SUMIF(75:75,I25,76:76)-SUMIF(75:75,C25,76:76)+100</f>
        <v>100</v>
      </c>
      <c r="K25" s="570"/>
      <c r="L25" s="2896"/>
      <c r="M25" s="2897"/>
      <c r="N25" s="2897"/>
      <c r="O25" s="2951"/>
      <c r="P25" s="3488"/>
      <c r="Q25" s="1478">
        <f t="shared" si="11"/>
        <v>111</v>
      </c>
      <c r="R25" s="710" t="s">
        <v>17</v>
      </c>
      <c r="S25" s="711">
        <f>F25</f>
        <v>100</v>
      </c>
      <c r="T25" s="710" t="s">
        <v>17</v>
      </c>
      <c r="U25" s="711">
        <f>H25</f>
        <v>100</v>
      </c>
      <c r="V25" s="710" t="s">
        <v>17</v>
      </c>
      <c r="W25" s="711">
        <f>J25</f>
        <v>100</v>
      </c>
      <c r="X25" s="712"/>
      <c r="Y25" s="3488"/>
      <c r="Z25" s="55">
        <f>Q25</f>
        <v>111</v>
      </c>
      <c r="AA25" s="1488">
        <f>D25/F25</f>
        <v>1</v>
      </c>
      <c r="AB25" s="1488">
        <f>D25/H25</f>
        <v>1</v>
      </c>
      <c r="AC25" s="1488">
        <f>D25/J25</f>
        <v>1</v>
      </c>
    </row>
    <row r="26" spans="1:29" ht="28.5">
      <c r="A26" s="425" t="s">
        <v>2142</v>
      </c>
      <c r="B26" s="67" t="s">
        <v>2293</v>
      </c>
      <c r="C26" s="2104"/>
      <c r="D26" s="426">
        <v>100</v>
      </c>
      <c r="E26" s="2104"/>
      <c r="F26" s="623">
        <f>SUMIF(77:77,E26,78:78)-SUMIF(77:77,C26,78:78)+100</f>
        <v>100</v>
      </c>
      <c r="G26" s="2104"/>
      <c r="H26" s="426">
        <f>SUMIF(77:77,G26,78:78)-SUMIF(77:77,C26,78:78)+100</f>
        <v>100</v>
      </c>
      <c r="I26" s="2104"/>
      <c r="J26" s="426">
        <f>SUMIF(77:77,I26,78:78)-SUMIF(77:77,C26,78:78)+100</f>
        <v>100</v>
      </c>
      <c r="K26" s="569"/>
      <c r="L26" s="2901"/>
      <c r="M26" s="2895"/>
      <c r="N26" s="2895"/>
      <c r="O26" s="2953"/>
      <c r="P26" s="3511" t="s">
        <v>2144</v>
      </c>
      <c r="Q26" s="1487" t="str">
        <f t="shared" si="11"/>
        <v>公共部分装修</v>
      </c>
      <c r="R26" s="714" t="s">
        <v>17</v>
      </c>
      <c r="S26" s="715">
        <f t="shared" ref="S26:S34" si="12">F26</f>
        <v>100</v>
      </c>
      <c r="T26" s="714" t="s">
        <v>17</v>
      </c>
      <c r="U26" s="715">
        <f t="shared" ref="U26:U34" si="13">H26</f>
        <v>100</v>
      </c>
      <c r="V26" s="714" t="s">
        <v>17</v>
      </c>
      <c r="W26" s="715">
        <f t="shared" ref="W26:W34" si="14">J26</f>
        <v>100</v>
      </c>
      <c r="X26" s="1490"/>
      <c r="Y26" s="3492" t="s">
        <v>2144</v>
      </c>
      <c r="Z26" s="1491" t="str">
        <f t="shared" ref="Z26:Z34" si="15">Q26</f>
        <v>公共部分装修</v>
      </c>
      <c r="AA26" s="1488">
        <f t="shared" si="3"/>
        <v>1</v>
      </c>
      <c r="AB26" s="1488">
        <f t="shared" si="4"/>
        <v>1</v>
      </c>
      <c r="AC26" s="1488">
        <f t="shared" si="5"/>
        <v>1</v>
      </c>
    </row>
    <row r="27" spans="1:29" s="430" customFormat="1" ht="15">
      <c r="A27" s="427"/>
      <c r="B27" s="381" t="s">
        <v>2294</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00"/>
      <c r="M27" s="2902"/>
      <c r="N27" s="2902"/>
      <c r="O27" s="2954"/>
      <c r="P27" s="3492"/>
      <c r="Q27" s="716" t="str">
        <f t="shared" si="11"/>
        <v>成新率</v>
      </c>
      <c r="R27" s="717" t="s">
        <v>17</v>
      </c>
      <c r="S27" s="718" t="e">
        <f t="shared" si="12"/>
        <v>#N/A</v>
      </c>
      <c r="T27" s="717" t="s">
        <v>17</v>
      </c>
      <c r="U27" s="718" t="e">
        <f t="shared" si="13"/>
        <v>#N/A</v>
      </c>
      <c r="V27" s="717" t="s">
        <v>17</v>
      </c>
      <c r="W27" s="718" t="e">
        <f t="shared" si="14"/>
        <v>#N/A</v>
      </c>
      <c r="X27" s="719"/>
      <c r="Y27" s="3492"/>
      <c r="Z27" s="720" t="str">
        <f t="shared" si="15"/>
        <v>成新率</v>
      </c>
      <c r="AA27" s="1488" t="e">
        <f t="shared" si="3"/>
        <v>#N/A</v>
      </c>
      <c r="AB27" s="1488" t="e">
        <f t="shared" si="4"/>
        <v>#N/A</v>
      </c>
      <c r="AC27" s="1488" t="e">
        <f t="shared" si="5"/>
        <v>#N/A</v>
      </c>
    </row>
    <row r="28" spans="1:29" ht="15">
      <c r="A28" s="431"/>
      <c r="B28" s="381" t="s">
        <v>2295</v>
      </c>
      <c r="C28" s="419"/>
      <c r="D28" s="394">
        <v>100</v>
      </c>
      <c r="E28" s="419"/>
      <c r="F28" s="420">
        <f>SUMIF(82:82,E28,83:83)-SUMIF(82:82,C28,83:83)+100</f>
        <v>100</v>
      </c>
      <c r="G28" s="419"/>
      <c r="H28" s="394">
        <f>SUMIF(82:82,G28,83:83)-SUMIF(82:82,C28,83:83)+100</f>
        <v>100</v>
      </c>
      <c r="I28" s="419"/>
      <c r="J28" s="394">
        <f>SUMIF(82:82,I28,83:83)-SUMIF(82:82,C28,83:83)+100</f>
        <v>100</v>
      </c>
      <c r="K28" s="569"/>
      <c r="L28" s="2901"/>
      <c r="M28" s="2895"/>
      <c r="N28" s="2895"/>
      <c r="O28" s="2953"/>
      <c r="P28" s="3492"/>
      <c r="Q28" s="1487" t="str">
        <f t="shared" si="11"/>
        <v>物业等级</v>
      </c>
      <c r="R28" s="714" t="s">
        <v>17</v>
      </c>
      <c r="S28" s="715">
        <f t="shared" si="12"/>
        <v>100</v>
      </c>
      <c r="T28" s="714" t="s">
        <v>17</v>
      </c>
      <c r="U28" s="715">
        <f t="shared" si="13"/>
        <v>100</v>
      </c>
      <c r="V28" s="714" t="s">
        <v>17</v>
      </c>
      <c r="W28" s="715">
        <f t="shared" si="14"/>
        <v>100</v>
      </c>
      <c r="X28" s="1490"/>
      <c r="Y28" s="3492"/>
      <c r="Z28" s="1491" t="str">
        <f t="shared" si="15"/>
        <v>物业等级</v>
      </c>
      <c r="AA28" s="1488">
        <f t="shared" si="3"/>
        <v>1</v>
      </c>
      <c r="AB28" s="1488">
        <f t="shared" si="4"/>
        <v>1</v>
      </c>
      <c r="AC28" s="1488">
        <f t="shared" si="5"/>
        <v>1</v>
      </c>
    </row>
    <row r="29" spans="1:29" ht="15">
      <c r="A29" s="431"/>
      <c r="B29" s="381" t="s">
        <v>2316</v>
      </c>
      <c r="C29" s="613"/>
      <c r="D29" s="394">
        <v>100</v>
      </c>
      <c r="E29" s="613"/>
      <c r="F29" s="420">
        <f>SUMIF(84:84,E29,85:85)-SUMIF(84:84,C29,85:85)+100</f>
        <v>100</v>
      </c>
      <c r="G29" s="613"/>
      <c r="H29" s="394">
        <f>SUMIF(84:84,G29,85:85)-SUMIF(84:84,C29,85:85)+100</f>
        <v>100</v>
      </c>
      <c r="I29" s="613"/>
      <c r="J29" s="394">
        <f>SUMIF(84:84,I29,85:85)-SUMIF(84:84,C29,85:85)+100</f>
        <v>100</v>
      </c>
      <c r="K29" s="569"/>
      <c r="L29" s="2901"/>
      <c r="M29" s="2895"/>
      <c r="N29" s="2895"/>
      <c r="O29" s="2953"/>
      <c r="P29" s="3492"/>
      <c r="Q29" s="1487" t="str">
        <f t="shared" si="11"/>
        <v>有无电梯</v>
      </c>
      <c r="R29" s="714" t="s">
        <v>17</v>
      </c>
      <c r="S29" s="715">
        <f t="shared" si="12"/>
        <v>100</v>
      </c>
      <c r="T29" s="714" t="s">
        <v>17</v>
      </c>
      <c r="U29" s="715">
        <f t="shared" si="13"/>
        <v>100</v>
      </c>
      <c r="V29" s="714" t="s">
        <v>17</v>
      </c>
      <c r="W29" s="715">
        <f t="shared" si="14"/>
        <v>100</v>
      </c>
      <c r="X29" s="1490"/>
      <c r="Y29" s="3492"/>
      <c r="Z29" s="1491" t="str">
        <f t="shared" si="15"/>
        <v>有无电梯</v>
      </c>
      <c r="AA29" s="1488">
        <f t="shared" si="3"/>
        <v>1</v>
      </c>
      <c r="AB29" s="1488">
        <f t="shared" si="4"/>
        <v>1</v>
      </c>
      <c r="AC29" s="1488">
        <f t="shared" si="5"/>
        <v>1</v>
      </c>
    </row>
    <row r="30" spans="1:29" ht="15">
      <c r="A30" s="431"/>
      <c r="B30" s="381" t="s">
        <v>2317</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01"/>
      <c r="M30" s="2895"/>
      <c r="N30" s="2895"/>
      <c r="O30" s="2953"/>
      <c r="P30" s="3492"/>
      <c r="Q30" s="1487" t="str">
        <f t="shared" si="11"/>
        <v>建筑面积</v>
      </c>
      <c r="R30" s="714" t="s">
        <v>17</v>
      </c>
      <c r="S30" s="715" t="e">
        <f t="shared" si="12"/>
        <v>#N/A</v>
      </c>
      <c r="T30" s="714" t="s">
        <v>17</v>
      </c>
      <c r="U30" s="715" t="e">
        <f t="shared" si="13"/>
        <v>#N/A</v>
      </c>
      <c r="V30" s="714" t="s">
        <v>17</v>
      </c>
      <c r="W30" s="715" t="e">
        <f t="shared" si="14"/>
        <v>#N/A</v>
      </c>
      <c r="X30" s="1490"/>
      <c r="Y30" s="3492"/>
      <c r="Z30" s="1491" t="str">
        <f t="shared" si="15"/>
        <v>建筑面积</v>
      </c>
      <c r="AA30" s="1488" t="e">
        <f t="shared" si="3"/>
        <v>#N/A</v>
      </c>
      <c r="AB30" s="1488" t="e">
        <f t="shared" si="4"/>
        <v>#N/A</v>
      </c>
      <c r="AC30" s="1488" t="e">
        <f t="shared" si="5"/>
        <v>#N/A</v>
      </c>
    </row>
    <row r="31" spans="1:29" s="113" customFormat="1" ht="15">
      <c r="A31" s="432"/>
      <c r="B31" s="381" t="s">
        <v>2318</v>
      </c>
      <c r="C31" s="613"/>
      <c r="D31" s="132">
        <v>100</v>
      </c>
      <c r="E31" s="613"/>
      <c r="F31" s="420">
        <f>SUMIF(89:89,E31,90:90)-SUMIF(89:89,C31,90:90)+100</f>
        <v>100</v>
      </c>
      <c r="G31" s="613"/>
      <c r="H31" s="394">
        <f>SUMIF(89:89,G31,90:90)-SUMIF(89:89,C31,90:90)+100</f>
        <v>100</v>
      </c>
      <c r="I31" s="613"/>
      <c r="J31" s="394">
        <f>SUMIF(89:89,I31,90:90)-SUMIF(89:89,C31,90:90)+100</f>
        <v>100</v>
      </c>
      <c r="K31" s="569"/>
      <c r="L31" s="2896"/>
      <c r="M31" s="2897"/>
      <c r="N31" s="2897"/>
      <c r="O31" s="2951"/>
      <c r="P31" s="3492"/>
      <c r="Q31" s="1478" t="str">
        <f t="shared" si="11"/>
        <v>是否封闭</v>
      </c>
      <c r="R31" s="710" t="s">
        <v>17</v>
      </c>
      <c r="S31" s="711">
        <f t="shared" si="12"/>
        <v>100</v>
      </c>
      <c r="T31" s="710" t="s">
        <v>17</v>
      </c>
      <c r="U31" s="711">
        <f t="shared" si="13"/>
        <v>100</v>
      </c>
      <c r="V31" s="710" t="s">
        <v>17</v>
      </c>
      <c r="W31" s="711">
        <f t="shared" si="14"/>
        <v>100</v>
      </c>
      <c r="X31" s="712"/>
      <c r="Y31" s="3492"/>
      <c r="Z31" s="55" t="str">
        <f t="shared" si="15"/>
        <v>是否封闭</v>
      </c>
      <c r="AA31" s="713">
        <f t="shared" si="3"/>
        <v>1</v>
      </c>
      <c r="AB31" s="713">
        <f t="shared" si="4"/>
        <v>1</v>
      </c>
      <c r="AC31" s="713">
        <f t="shared" si="5"/>
        <v>1</v>
      </c>
    </row>
    <row r="32" spans="1:29" ht="15">
      <c r="A32" s="431"/>
      <c r="B32" s="2030">
        <v>111</v>
      </c>
      <c r="C32" s="391"/>
      <c r="D32" s="394">
        <v>100</v>
      </c>
      <c r="E32" s="428"/>
      <c r="F32" s="420">
        <f>SUMIF(91:91,E32,92:92)-SUMIF(91:91,C32,92:92)+100</f>
        <v>100</v>
      </c>
      <c r="G32" s="428"/>
      <c r="H32" s="394">
        <f>SUMIF(91:91,G32,92:92)-SUMIF(91:91,C32,92:92)+100</f>
        <v>100</v>
      </c>
      <c r="I32" s="428"/>
      <c r="J32" s="394">
        <f>SUMIF(91:91,I32,92:92)-SUMIF(91:91,C32,92:92)+100</f>
        <v>100</v>
      </c>
      <c r="K32" s="570"/>
      <c r="L32" s="2901"/>
      <c r="M32" s="2895"/>
      <c r="N32" s="2895"/>
      <c r="O32" s="2953"/>
      <c r="P32" s="3492" t="s">
        <v>2144</v>
      </c>
      <c r="Q32" s="1487">
        <f t="shared" si="11"/>
        <v>111</v>
      </c>
      <c r="R32" s="714" t="s">
        <v>17</v>
      </c>
      <c r="S32" s="715">
        <f t="shared" si="12"/>
        <v>100</v>
      </c>
      <c r="T32" s="714" t="s">
        <v>17</v>
      </c>
      <c r="U32" s="715">
        <f t="shared" si="13"/>
        <v>100</v>
      </c>
      <c r="V32" s="714" t="s">
        <v>17</v>
      </c>
      <c r="W32" s="715">
        <f t="shared" si="14"/>
        <v>100</v>
      </c>
      <c r="X32" s="1490"/>
      <c r="Y32" s="3492" t="s">
        <v>2144</v>
      </c>
      <c r="Z32" s="1491">
        <f t="shared" si="15"/>
        <v>111</v>
      </c>
      <c r="AA32" s="1488">
        <f t="shared" si="3"/>
        <v>1</v>
      </c>
      <c r="AB32" s="1488">
        <f t="shared" si="4"/>
        <v>1</v>
      </c>
      <c r="AC32" s="1488">
        <f t="shared" si="5"/>
        <v>1</v>
      </c>
    </row>
    <row r="33" spans="1:30" ht="15">
      <c r="A33" s="431"/>
      <c r="B33" s="2030">
        <v>111</v>
      </c>
      <c r="C33" s="391"/>
      <c r="D33" s="394">
        <v>100</v>
      </c>
      <c r="E33" s="428"/>
      <c r="F33" s="420">
        <f>SUMIF(93:93,E33,94:94)-SUMIF(93:93,C33,94:94)+100</f>
        <v>100</v>
      </c>
      <c r="G33" s="428"/>
      <c r="H33" s="394">
        <f>SUMIF(93:93,G33,94:94)-SUMIF(93:93,C33,94:94)+100</f>
        <v>100</v>
      </c>
      <c r="I33" s="428"/>
      <c r="J33" s="394">
        <f>SUMIF(93:93,I33,94:94)-SUMIF(93:93,C33,94:94)+100</f>
        <v>100</v>
      </c>
      <c r="K33" s="570"/>
      <c r="L33" s="2901"/>
      <c r="M33" s="2895"/>
      <c r="N33" s="2895"/>
      <c r="O33" s="2953"/>
      <c r="P33" s="3492"/>
      <c r="Q33" s="1487">
        <f t="shared" si="11"/>
        <v>111</v>
      </c>
      <c r="R33" s="714" t="s">
        <v>17</v>
      </c>
      <c r="S33" s="715">
        <f t="shared" si="12"/>
        <v>100</v>
      </c>
      <c r="T33" s="714" t="s">
        <v>17</v>
      </c>
      <c r="U33" s="715">
        <f t="shared" si="13"/>
        <v>100</v>
      </c>
      <c r="V33" s="714" t="s">
        <v>17</v>
      </c>
      <c r="W33" s="715">
        <f t="shared" si="14"/>
        <v>100</v>
      </c>
      <c r="X33" s="1490"/>
      <c r="Y33" s="3492"/>
      <c r="Z33" s="1491">
        <f t="shared" si="15"/>
        <v>111</v>
      </c>
      <c r="AA33" s="1488">
        <f t="shared" si="3"/>
        <v>1</v>
      </c>
      <c r="AB33" s="1488">
        <f t="shared" si="4"/>
        <v>1</v>
      </c>
      <c r="AC33" s="1488">
        <f t="shared" si="5"/>
        <v>1</v>
      </c>
    </row>
    <row r="34" spans="1:30" ht="15.75" thickBot="1">
      <c r="A34" s="437"/>
      <c r="B34" s="2032">
        <v>111</v>
      </c>
      <c r="C34" s="396"/>
      <c r="D34" s="397">
        <v>100</v>
      </c>
      <c r="E34" s="2112"/>
      <c r="F34" s="398">
        <f>SUMIF(95:95,E34,96:96)-SUMIF(95:95,C34,96:96)+100</f>
        <v>100</v>
      </c>
      <c r="G34" s="2112"/>
      <c r="H34" s="397">
        <f>SUMIF(95:95,G34,96:96)-SUMIF(95:95,C34,96:96)+100</f>
        <v>100</v>
      </c>
      <c r="I34" s="2112"/>
      <c r="J34" s="397">
        <f>SUMIF(95:95,I34,96:96)-SUMIF(95:95,C34,96:96)+100</f>
        <v>100</v>
      </c>
      <c r="K34" s="570"/>
      <c r="L34" s="2901"/>
      <c r="M34" s="2895"/>
      <c r="N34" s="2895"/>
      <c r="O34" s="2953"/>
      <c r="P34" s="3492"/>
      <c r="Q34" s="1487">
        <f t="shared" si="11"/>
        <v>111</v>
      </c>
      <c r="R34" s="714" t="s">
        <v>17</v>
      </c>
      <c r="S34" s="715">
        <f t="shared" si="12"/>
        <v>100</v>
      </c>
      <c r="T34" s="714" t="s">
        <v>17</v>
      </c>
      <c r="U34" s="715">
        <f t="shared" si="13"/>
        <v>100</v>
      </c>
      <c r="V34" s="714" t="s">
        <v>17</v>
      </c>
      <c r="W34" s="715">
        <f t="shared" si="14"/>
        <v>100</v>
      </c>
      <c r="X34" s="1490"/>
      <c r="Y34" s="3492"/>
      <c r="Z34" s="1491">
        <f t="shared" si="15"/>
        <v>111</v>
      </c>
      <c r="AA34" s="1488">
        <f t="shared" si="3"/>
        <v>1</v>
      </c>
      <c r="AB34" s="1488">
        <f t="shared" si="4"/>
        <v>1</v>
      </c>
      <c r="AC34" s="1488">
        <f t="shared" si="5"/>
        <v>1</v>
      </c>
    </row>
    <row r="35" spans="1:30" ht="15">
      <c r="A35" s="438" t="s">
        <v>2156</v>
      </c>
      <c r="B35" s="439"/>
      <c r="C35" s="1269" t="s">
        <v>1</v>
      </c>
      <c r="D35" s="1270"/>
      <c r="E35" s="1271"/>
      <c r="F35" s="1272"/>
      <c r="G35" s="1273"/>
      <c r="H35" s="1274"/>
      <c r="I35" s="1271"/>
      <c r="J35" s="1274"/>
      <c r="K35" s="723"/>
      <c r="L35" s="2903"/>
      <c r="M35" s="2904"/>
      <c r="N35" s="2895"/>
      <c r="O35" s="2904"/>
      <c r="P35" s="3485" t="str">
        <f>A35</f>
        <v>成交单价（元/平方米）</v>
      </c>
      <c r="Q35" s="3485"/>
      <c r="R35" s="3486">
        <f>E35</f>
        <v>0</v>
      </c>
      <c r="S35" s="3486"/>
      <c r="T35" s="3486">
        <f>G35</f>
        <v>0</v>
      </c>
      <c r="U35" s="3486"/>
      <c r="V35" s="3486">
        <f>I35</f>
        <v>0</v>
      </c>
      <c r="W35" s="3486"/>
      <c r="X35" s="699"/>
      <c r="Y35" s="721"/>
      <c r="Z35" s="699"/>
      <c r="AA35" s="699"/>
      <c r="AB35" s="699"/>
      <c r="AC35" s="699"/>
    </row>
    <row r="36" spans="1:30" ht="15.75" thickBot="1">
      <c r="A36" s="445" t="s">
        <v>2248</v>
      </c>
      <c r="B36" s="446"/>
      <c r="C36" s="1275" t="e">
        <f>R37</f>
        <v>#DIV/0!</v>
      </c>
      <c r="D36" s="2489" t="s">
        <v>2638</v>
      </c>
      <c r="E36" s="1276" t="e">
        <f>R36</f>
        <v>#DIV/0!</v>
      </c>
      <c r="F36" s="2490"/>
      <c r="G36" s="1275" t="e">
        <f>T36</f>
        <v>#DIV/0!</v>
      </c>
      <c r="H36" s="2490"/>
      <c r="I36" s="1276" t="e">
        <f>V36</f>
        <v>#DIV/0!</v>
      </c>
      <c r="J36" s="2490"/>
      <c r="K36" s="2492">
        <f>F36+H36+J36</f>
        <v>0</v>
      </c>
      <c r="L36" s="2903"/>
      <c r="M36" s="2904"/>
      <c r="N36" s="2895"/>
      <c r="O36" s="2904"/>
      <c r="P36" s="3485" t="str">
        <f>A36</f>
        <v>比较价值（元/平方米）</v>
      </c>
      <c r="Q36" s="3485"/>
      <c r="R36" s="3486" t="e">
        <f>IF(F1="售价",ROUND(PRODUCT(R35,AA7:AA34),0),ROUND(PRODUCT(R35,AA7:AA34),1))</f>
        <v>#DIV/0!</v>
      </c>
      <c r="S36" s="3486"/>
      <c r="T36" s="3486" t="e">
        <f>IF(F1="售价",ROUND(PRODUCT(T35,AB7:AB34),0),ROUND(PRODUCT(T35,AB7:AB34),1))</f>
        <v>#DIV/0!</v>
      </c>
      <c r="U36" s="3486"/>
      <c r="V36" s="3486" t="e">
        <f>IF(F1="售价",ROUND(PRODUCT(V35,AC7:AC34),0),ROUND(PRODUCT(V35,AC7:AC34),1))</f>
        <v>#DIV/0!</v>
      </c>
      <c r="W36" s="3486"/>
      <c r="X36" s="699"/>
      <c r="Y36" s="699"/>
      <c r="Z36" s="699"/>
      <c r="AA36" s="699"/>
      <c r="AB36" s="699"/>
      <c r="AC36" s="699"/>
    </row>
    <row r="37" spans="1:30" ht="15.75" thickBot="1">
      <c r="A37" s="449" t="s">
        <v>2249</v>
      </c>
      <c r="B37" s="450"/>
      <c r="C37" s="1278" t="e">
        <f>R37</f>
        <v>#DIV/0!</v>
      </c>
      <c r="D37" s="1278"/>
      <c r="E37" s="1278"/>
      <c r="F37" s="1278"/>
      <c r="G37" s="1278"/>
      <c r="H37" s="1278"/>
      <c r="I37" s="1278"/>
      <c r="J37" s="1278"/>
      <c r="K37" s="724"/>
      <c r="L37" s="2903"/>
      <c r="M37" s="2904"/>
      <c r="N37" s="2904"/>
      <c r="O37" s="2904"/>
      <c r="P37" s="3482" t="str">
        <f>A37</f>
        <v>估价对象XX用房的比较价值（楼面单价，元/平方米）</v>
      </c>
      <c r="Q37" s="3483"/>
      <c r="R37" s="3512" t="e">
        <f>IF(F1="售价",ROUND(IF(D36="简单平均",AVERAGE(R36:W36),R36*F36+T36*H36+V36*J36),0),ROUND(IF(D36="简单平均",AVERAGE(R36:V36),R36*F36+T36*H36+V36*J36),1))</f>
        <v>#DIV/0!</v>
      </c>
      <c r="S37" s="3512"/>
      <c r="T37" s="3512"/>
      <c r="U37" s="3512"/>
      <c r="V37" s="3512"/>
      <c r="W37" s="3512"/>
      <c r="X37" s="699"/>
      <c r="Y37" s="699"/>
      <c r="Z37" s="699"/>
      <c r="AA37" s="699"/>
      <c r="AB37" s="699"/>
      <c r="AC37" s="699"/>
    </row>
    <row r="38" spans="1:30">
      <c r="A38" s="2904"/>
      <c r="B38" s="2904"/>
      <c r="C38" s="2904"/>
      <c r="D38" s="2904"/>
      <c r="E38" s="2904"/>
      <c r="F38" s="2904"/>
      <c r="G38" s="2908"/>
      <c r="H38" s="2904"/>
      <c r="I38" s="2904"/>
      <c r="J38" s="2904"/>
      <c r="K38" s="2909"/>
      <c r="L38" s="2905"/>
      <c r="M38" s="2904"/>
      <c r="N38" s="2904"/>
      <c r="O38" s="2904"/>
      <c r="P38" s="2904"/>
      <c r="Q38" s="2904"/>
      <c r="R38" s="2904"/>
      <c r="S38" s="2904"/>
      <c r="T38" s="2904"/>
      <c r="U38" s="2904"/>
      <c r="V38" s="2904"/>
      <c r="W38" s="2904"/>
      <c r="X38" s="2904"/>
      <c r="Y38" s="2904"/>
      <c r="Z38" s="2904"/>
      <c r="AA38" s="2904"/>
      <c r="AB38" s="2904"/>
      <c r="AC38" s="2904"/>
      <c r="AD38" s="2904"/>
    </row>
    <row r="39" spans="1:30">
      <c r="A39" s="2904"/>
      <c r="B39" s="2904"/>
      <c r="C39" s="2904"/>
      <c r="D39" s="2904"/>
      <c r="E39" s="2904"/>
      <c r="F39" s="2904"/>
      <c r="G39" s="2904"/>
      <c r="H39" s="2904"/>
      <c r="I39" s="2904"/>
      <c r="J39" s="2904"/>
      <c r="K39" s="2909"/>
      <c r="L39" s="2905"/>
      <c r="M39" s="2904"/>
      <c r="N39" s="2904"/>
      <c r="O39" s="2904"/>
      <c r="P39" s="2904"/>
      <c r="Q39" s="2904"/>
      <c r="R39" s="2904"/>
      <c r="S39" s="2904"/>
      <c r="T39" s="2904"/>
      <c r="U39" s="2904"/>
      <c r="V39" s="2904"/>
      <c r="W39" s="2904"/>
      <c r="X39" s="2904"/>
      <c r="Y39" s="2904"/>
      <c r="Z39" s="2904"/>
      <c r="AA39" s="2904"/>
      <c r="AB39" s="2904"/>
      <c r="AC39" s="2904"/>
      <c r="AD39" s="2904"/>
    </row>
    <row r="40" spans="1:30" ht="13.5" customHeight="1">
      <c r="A40" s="2904"/>
      <c r="B40" s="2904"/>
      <c r="C40" s="454" t="s">
        <v>2250</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9"/>
      <c r="L40" s="2905"/>
      <c r="M40" s="2904"/>
      <c r="N40" s="2904"/>
      <c r="O40" s="2904"/>
      <c r="P40" s="2904"/>
      <c r="Q40" s="2904"/>
      <c r="R40" s="2904"/>
      <c r="S40" s="2904"/>
      <c r="T40" s="2904"/>
      <c r="U40" s="2904"/>
      <c r="V40" s="2904"/>
      <c r="W40" s="2904"/>
      <c r="X40" s="2904"/>
      <c r="Y40" s="2904"/>
      <c r="Z40" s="2904"/>
      <c r="AA40" s="2904"/>
      <c r="AB40" s="2904"/>
      <c r="AC40" s="2904"/>
      <c r="AD40" s="2904"/>
    </row>
    <row r="41" spans="1:30" ht="13.5" customHeight="1">
      <c r="A41" s="2904"/>
      <c r="B41" s="2904"/>
      <c r="C41" s="454" t="s">
        <v>2251</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9"/>
      <c r="L41" s="2905"/>
      <c r="M41" s="2904"/>
      <c r="N41" s="2904"/>
      <c r="O41" s="2904"/>
      <c r="P41" s="2904"/>
      <c r="Q41" s="2904"/>
      <c r="R41" s="2904"/>
      <c r="S41" s="2904"/>
      <c r="T41" s="2904"/>
      <c r="U41" s="2904"/>
      <c r="V41" s="2904"/>
      <c r="W41" s="2904"/>
      <c r="X41" s="2904"/>
      <c r="Y41" s="2904"/>
      <c r="Z41" s="2904"/>
      <c r="AA41" s="2904"/>
      <c r="AB41" s="2904"/>
      <c r="AC41" s="2904"/>
      <c r="AD41" s="2904"/>
    </row>
    <row r="42" spans="1:30" s="459" customFormat="1" ht="13.5" customHeight="1">
      <c r="A42" s="2907"/>
      <c r="B42" s="2907"/>
      <c r="C42" s="454" t="s">
        <v>2252</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12"/>
      <c r="L42" s="2906"/>
      <c r="M42" s="2907"/>
      <c r="N42" s="2907"/>
      <c r="O42" s="2907"/>
      <c r="P42" s="2907"/>
      <c r="Q42" s="2907"/>
      <c r="R42" s="2907"/>
      <c r="S42" s="2907"/>
      <c r="T42" s="2907"/>
      <c r="U42" s="2907"/>
      <c r="V42" s="2907"/>
      <c r="W42" s="2907"/>
      <c r="X42" s="2907"/>
      <c r="Y42" s="2907"/>
      <c r="Z42" s="2907"/>
      <c r="AA42" s="2907"/>
      <c r="AB42" s="2907"/>
      <c r="AC42" s="2907"/>
      <c r="AD42" s="2907"/>
    </row>
    <row r="43" spans="1:30" s="459" customFormat="1">
      <c r="A43" s="2907"/>
      <c r="B43" s="2910"/>
      <c r="C43" s="2911"/>
      <c r="D43" s="2907"/>
      <c r="E43" s="2907"/>
      <c r="F43" s="2907"/>
      <c r="G43" s="2907"/>
      <c r="H43" s="2907"/>
      <c r="I43" s="2907"/>
      <c r="J43" s="2907"/>
      <c r="K43" s="2912"/>
      <c r="L43" s="2906"/>
      <c r="M43" s="2907"/>
      <c r="N43" s="2907"/>
      <c r="O43" s="2907"/>
      <c r="P43" s="2907"/>
      <c r="Q43" s="2907"/>
      <c r="R43" s="2907"/>
      <c r="S43" s="2907"/>
      <c r="T43" s="2907"/>
      <c r="U43" s="2907"/>
      <c r="V43" s="2907"/>
      <c r="W43" s="2907"/>
      <c r="X43" s="2907"/>
      <c r="Y43" s="2907"/>
      <c r="Z43" s="2907"/>
      <c r="AA43" s="2907"/>
      <c r="AB43" s="2907"/>
      <c r="AC43" s="2907"/>
      <c r="AD43" s="2907"/>
    </row>
    <row r="44" spans="1:30">
      <c r="A44" s="2904"/>
      <c r="B44" s="2910"/>
      <c r="C44" s="2911"/>
      <c r="D44" s="2904"/>
      <c r="E44" s="2904"/>
      <c r="F44" s="2904"/>
      <c r="G44" s="2904"/>
      <c r="H44" s="2904"/>
      <c r="I44" s="2904"/>
      <c r="J44" s="2904"/>
      <c r="K44" s="2909"/>
      <c r="L44" s="2905"/>
      <c r="M44" s="2904"/>
      <c r="N44" s="2904"/>
      <c r="O44" s="2904"/>
      <c r="P44" s="2904"/>
      <c r="Q44" s="2904"/>
      <c r="R44" s="2904"/>
      <c r="S44" s="2904"/>
      <c r="T44" s="2904"/>
      <c r="U44" s="2904"/>
      <c r="V44" s="2904"/>
      <c r="W44" s="2904"/>
      <c r="X44" s="2904"/>
      <c r="Y44" s="2904"/>
      <c r="Z44" s="2904"/>
      <c r="AA44" s="2904"/>
      <c r="AB44" s="2904"/>
      <c r="AC44" s="2904"/>
      <c r="AD44" s="2904"/>
    </row>
    <row r="45" spans="1:30" ht="21.75" thickBot="1">
      <c r="A45" s="703" t="s">
        <v>2253</v>
      </c>
      <c r="B45" s="699"/>
      <c r="C45" s="704"/>
      <c r="D45" s="704"/>
      <c r="E45" s="704"/>
      <c r="F45" s="705"/>
      <c r="G45" s="705"/>
      <c r="H45" s="704"/>
      <c r="I45" s="704"/>
      <c r="J45" s="704"/>
      <c r="K45" s="706"/>
      <c r="L45" s="707"/>
      <c r="M45" s="704"/>
      <c r="N45" s="2948"/>
      <c r="O45" s="2948"/>
      <c r="P45" s="2948"/>
      <c r="Q45" s="2918"/>
      <c r="R45" s="2904"/>
      <c r="S45" s="2904"/>
      <c r="T45" s="2904"/>
      <c r="U45" s="2904"/>
      <c r="V45" s="2904"/>
      <c r="W45" s="2904"/>
      <c r="X45" s="2904"/>
      <c r="Y45" s="2904"/>
      <c r="Z45" s="2904"/>
      <c r="AA45" s="2904"/>
      <c r="AB45" s="2904"/>
      <c r="AC45" s="2904"/>
      <c r="AD45" s="2904"/>
    </row>
    <row r="46" spans="1:30" s="465" customFormat="1" ht="15">
      <c r="A46" s="462" t="s">
        <v>2127</v>
      </c>
      <c r="B46" s="463"/>
      <c r="C46" s="1299" t="str">
        <f>YEAR(C7)&amp;"-"&amp;MONTH(C7)</f>
        <v>2022-11</v>
      </c>
      <c r="D46" s="1300">
        <f>EDATE(C46,-1)</f>
        <v>44835</v>
      </c>
      <c r="E46" s="1300">
        <f t="shared" ref="E46:O46" si="16">EDATE(D46,-1)</f>
        <v>44805</v>
      </c>
      <c r="F46" s="1300">
        <f t="shared" si="16"/>
        <v>44774</v>
      </c>
      <c r="G46" s="1300">
        <f t="shared" si="16"/>
        <v>44743</v>
      </c>
      <c r="H46" s="1300">
        <f t="shared" si="16"/>
        <v>44713</v>
      </c>
      <c r="I46" s="1300">
        <f t="shared" si="16"/>
        <v>44682</v>
      </c>
      <c r="J46" s="1300">
        <f t="shared" si="16"/>
        <v>44652</v>
      </c>
      <c r="K46" s="1300">
        <f t="shared" si="16"/>
        <v>44621</v>
      </c>
      <c r="L46" s="1300">
        <f t="shared" si="16"/>
        <v>44593</v>
      </c>
      <c r="M46" s="1300">
        <f t="shared" si="16"/>
        <v>44562</v>
      </c>
      <c r="N46" s="1300">
        <f t="shared" si="16"/>
        <v>44531</v>
      </c>
      <c r="O46" s="1300">
        <f t="shared" si="16"/>
        <v>44501</v>
      </c>
      <c r="P46" s="2955"/>
      <c r="Q46" s="2920"/>
      <c r="R46" s="2920"/>
      <c r="S46" s="2920"/>
      <c r="T46" s="2920"/>
      <c r="U46" s="2920"/>
      <c r="V46" s="2920"/>
      <c r="W46" s="2920"/>
      <c r="X46" s="2920"/>
      <c r="Y46" s="2920"/>
      <c r="Z46" s="2920"/>
      <c r="AA46" s="2920"/>
      <c r="AB46" s="2920"/>
      <c r="AC46" s="2920"/>
      <c r="AD46" s="2920"/>
    </row>
    <row r="47" spans="1:30" s="113" customFormat="1" ht="15">
      <c r="A47" s="466"/>
      <c r="B47" s="467"/>
      <c r="C47" s="1298">
        <v>100</v>
      </c>
      <c r="D47" s="469"/>
      <c r="E47" s="469"/>
      <c r="F47" s="469"/>
      <c r="G47" s="469"/>
      <c r="H47" s="469"/>
      <c r="I47" s="469"/>
      <c r="J47" s="469"/>
      <c r="K47" s="469"/>
      <c r="L47" s="469"/>
      <c r="M47" s="470"/>
      <c r="N47" s="469"/>
      <c r="O47" s="471"/>
      <c r="P47" s="2918"/>
      <c r="Q47" s="2838"/>
      <c r="R47" s="2838"/>
      <c r="S47" s="2838"/>
      <c r="T47" s="2838"/>
      <c r="U47" s="2838"/>
      <c r="V47" s="2838"/>
      <c r="W47" s="2838"/>
      <c r="X47" s="2838"/>
      <c r="Y47" s="2838"/>
      <c r="Z47" s="2838"/>
      <c r="AA47" s="2838"/>
      <c r="AB47" s="2838"/>
      <c r="AC47" s="2838"/>
      <c r="AD47" s="2838"/>
    </row>
    <row r="48" spans="1:30" s="113" customFormat="1" ht="15.75" thickBot="1">
      <c r="A48" s="472" t="s">
        <v>2164</v>
      </c>
      <c r="B48" s="473"/>
      <c r="C48" s="474"/>
      <c r="D48" s="475"/>
      <c r="E48" s="475"/>
      <c r="F48" s="475"/>
      <c r="G48" s="475"/>
      <c r="H48" s="475"/>
      <c r="I48" s="475"/>
      <c r="J48" s="475"/>
      <c r="K48" s="475"/>
      <c r="L48" s="475"/>
      <c r="M48" s="476"/>
      <c r="N48" s="475"/>
      <c r="O48" s="477"/>
      <c r="P48" s="2918"/>
      <c r="Q48" s="2918"/>
      <c r="R48" s="2838"/>
      <c r="S48" s="2838"/>
      <c r="T48" s="2838"/>
      <c r="U48" s="2838"/>
      <c r="V48" s="2838"/>
      <c r="W48" s="2838"/>
      <c r="X48" s="2838"/>
      <c r="Y48" s="2838"/>
      <c r="Z48" s="2838"/>
      <c r="AA48" s="2838"/>
      <c r="AB48" s="2838"/>
      <c r="AC48" s="2838"/>
      <c r="AD48" s="2838"/>
    </row>
    <row r="49" spans="1:30" s="113" customFormat="1" ht="15">
      <c r="A49" s="478" t="s">
        <v>2129</v>
      </c>
      <c r="B49" s="467"/>
      <c r="C49" s="479" t="s">
        <v>2231</v>
      </c>
      <c r="D49" s="480"/>
      <c r="E49" s="480"/>
      <c r="F49" s="480"/>
      <c r="G49" s="480"/>
      <c r="H49" s="480"/>
      <c r="I49" s="480"/>
      <c r="J49" s="480"/>
      <c r="K49" s="480"/>
      <c r="L49" s="481"/>
      <c r="M49" s="482"/>
      <c r="N49" s="2931"/>
      <c r="O49" s="2931"/>
      <c r="P49" s="2956"/>
      <c r="Q49" s="2918"/>
      <c r="R49" s="2838"/>
      <c r="S49" s="2838"/>
      <c r="T49" s="2838"/>
      <c r="U49" s="2838"/>
      <c r="V49" s="2838"/>
      <c r="W49" s="2838"/>
      <c r="X49" s="2838"/>
      <c r="Y49" s="2838"/>
      <c r="Z49" s="2838"/>
      <c r="AA49" s="2838"/>
      <c r="AB49" s="2838"/>
      <c r="AC49" s="2838"/>
      <c r="AD49" s="2838"/>
    </row>
    <row r="50" spans="1:30" s="113" customFormat="1" ht="15.75" thickBot="1">
      <c r="A50" s="478"/>
      <c r="B50" s="467"/>
      <c r="C50" s="595">
        <v>100</v>
      </c>
      <c r="D50" s="469"/>
      <c r="E50" s="469"/>
      <c r="F50" s="469"/>
      <c r="G50" s="469"/>
      <c r="H50" s="469"/>
      <c r="I50" s="469"/>
      <c r="J50" s="469"/>
      <c r="K50" s="469"/>
      <c r="L50" s="469"/>
      <c r="M50" s="471"/>
      <c r="N50" s="2931"/>
      <c r="O50" s="2931"/>
      <c r="P50" s="2918"/>
      <c r="Q50" s="2918"/>
      <c r="R50" s="2838"/>
      <c r="S50" s="2838"/>
      <c r="T50" s="2838"/>
      <c r="U50" s="2838"/>
      <c r="V50" s="2838"/>
      <c r="W50" s="2838"/>
      <c r="X50" s="2838"/>
      <c r="Y50" s="2838"/>
      <c r="Z50" s="2838"/>
      <c r="AA50" s="2838"/>
      <c r="AB50" s="2838"/>
      <c r="AC50" s="2838"/>
      <c r="AD50" s="2838"/>
    </row>
    <row r="51" spans="1:30">
      <c r="A51" s="484" t="s">
        <v>2167</v>
      </c>
      <c r="B51" s="485" t="s">
        <v>2133</v>
      </c>
      <c r="C51" s="486">
        <f>C9</f>
        <v>0</v>
      </c>
      <c r="D51" s="487"/>
      <c r="E51" s="487"/>
      <c r="F51" s="487"/>
      <c r="G51" s="487"/>
      <c r="H51" s="487"/>
      <c r="I51" s="487"/>
      <c r="J51" s="487"/>
      <c r="K51" s="488"/>
      <c r="L51" s="489"/>
      <c r="M51" s="490"/>
      <c r="N51" s="2932"/>
      <c r="O51" s="2932"/>
      <c r="P51" s="2957"/>
      <c r="Q51" s="2918"/>
      <c r="R51" s="2904"/>
      <c r="S51" s="2904"/>
      <c r="T51" s="2904"/>
      <c r="U51" s="2904"/>
      <c r="V51" s="2904"/>
      <c r="W51" s="2904"/>
      <c r="X51" s="2904"/>
      <c r="Y51" s="2904"/>
      <c r="Z51" s="2904"/>
      <c r="AA51" s="2904"/>
      <c r="AB51" s="2904"/>
      <c r="AC51" s="2904"/>
      <c r="AD51" s="2904"/>
    </row>
    <row r="52" spans="1:30" ht="15.75" thickBot="1">
      <c r="A52" s="491"/>
      <c r="B52" s="492"/>
      <c r="C52" s="493">
        <v>100</v>
      </c>
      <c r="D52" s="493"/>
      <c r="E52" s="493"/>
      <c r="F52" s="493"/>
      <c r="G52" s="493"/>
      <c r="H52" s="493"/>
      <c r="I52" s="493"/>
      <c r="J52" s="493"/>
      <c r="K52" s="493"/>
      <c r="L52" s="493"/>
      <c r="M52" s="494"/>
      <c r="N52" s="2933"/>
      <c r="O52" s="2933"/>
      <c r="P52" s="2957"/>
      <c r="Q52" s="2918"/>
      <c r="R52" s="2904"/>
      <c r="S52" s="2904"/>
      <c r="T52" s="2904"/>
      <c r="U52" s="2904"/>
      <c r="V52" s="2904"/>
      <c r="W52" s="2904"/>
      <c r="X52" s="2904"/>
      <c r="Y52" s="2904"/>
      <c r="Z52" s="2904"/>
      <c r="AA52" s="2904"/>
      <c r="AB52" s="2904"/>
      <c r="AC52" s="2904"/>
      <c r="AD52" s="2904"/>
    </row>
    <row r="53" spans="1:30" ht="27.75" thickTop="1">
      <c r="A53" s="491"/>
      <c r="B53" s="495" t="s">
        <v>2136</v>
      </c>
      <c r="C53" s="496" t="s">
        <v>2168</v>
      </c>
      <c r="D53" s="496" t="s">
        <v>2169</v>
      </c>
      <c r="E53" s="496" t="s">
        <v>2170</v>
      </c>
      <c r="F53" s="496" t="s">
        <v>2171</v>
      </c>
      <c r="G53" s="496" t="s">
        <v>2172</v>
      </c>
      <c r="H53" s="496" t="s">
        <v>2173</v>
      </c>
      <c r="I53" s="496" t="s">
        <v>2174</v>
      </c>
      <c r="J53" s="496"/>
      <c r="K53" s="497"/>
      <c r="L53" s="498"/>
      <c r="M53" s="499"/>
      <c r="N53" s="2932"/>
      <c r="O53" s="2932"/>
      <c r="P53" s="2957"/>
      <c r="Q53" s="2918"/>
      <c r="R53" s="2904"/>
      <c r="S53" s="2904"/>
      <c r="T53" s="2904"/>
      <c r="U53" s="2904"/>
      <c r="V53" s="2904"/>
      <c r="W53" s="2904"/>
      <c r="X53" s="2904"/>
      <c r="Y53" s="2904"/>
      <c r="Z53" s="2904"/>
      <c r="AA53" s="2904"/>
      <c r="AB53" s="2904"/>
      <c r="AC53" s="2904"/>
      <c r="AD53" s="290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33"/>
      <c r="O54" s="2933"/>
      <c r="P54" s="2957"/>
      <c r="Q54" s="2918"/>
      <c r="R54" s="2904"/>
      <c r="S54" s="2904"/>
      <c r="T54" s="2904"/>
      <c r="U54" s="2904"/>
      <c r="V54" s="2904"/>
      <c r="W54" s="2904"/>
      <c r="X54" s="2904"/>
      <c r="Y54" s="2904"/>
      <c r="Z54" s="2904"/>
      <c r="AA54" s="2904"/>
      <c r="AB54" s="2904"/>
      <c r="AC54" s="2904"/>
      <c r="AD54" s="2904"/>
    </row>
    <row r="55" spans="1:30" ht="15.75" thickTop="1">
      <c r="A55" s="491"/>
      <c r="B55" s="616">
        <f>B11</f>
        <v>111</v>
      </c>
      <c r="C55" s="506"/>
      <c r="D55" s="506"/>
      <c r="E55" s="506"/>
      <c r="F55" s="506"/>
      <c r="G55" s="506"/>
      <c r="H55" s="506"/>
      <c r="I55" s="506"/>
      <c r="J55" s="506"/>
      <c r="K55" s="507"/>
      <c r="L55" s="508"/>
      <c r="M55" s="509"/>
      <c r="N55" s="2932"/>
      <c r="O55" s="2932"/>
      <c r="P55" s="2957"/>
      <c r="Q55" s="2918"/>
      <c r="R55" s="2904"/>
      <c r="S55" s="2904"/>
      <c r="T55" s="2904"/>
      <c r="U55" s="2904"/>
      <c r="V55" s="2904"/>
      <c r="W55" s="2904"/>
      <c r="X55" s="2904"/>
      <c r="Y55" s="2904"/>
      <c r="Z55" s="2904"/>
      <c r="AA55" s="2904"/>
      <c r="AB55" s="2904"/>
      <c r="AC55" s="2904"/>
      <c r="AD55" s="2904"/>
    </row>
    <row r="56" spans="1:30" ht="15.75" thickBot="1">
      <c r="A56" s="491"/>
      <c r="B56" s="492"/>
      <c r="C56" s="517"/>
      <c r="D56" s="493"/>
      <c r="E56" s="493"/>
      <c r="F56" s="493"/>
      <c r="G56" s="493"/>
      <c r="H56" s="493"/>
      <c r="I56" s="493"/>
      <c r="J56" s="493"/>
      <c r="K56" s="493"/>
      <c r="L56" s="493"/>
      <c r="M56" s="494"/>
      <c r="N56" s="2933"/>
      <c r="O56" s="2933"/>
      <c r="P56" s="2957"/>
      <c r="Q56" s="2918"/>
      <c r="R56" s="2904"/>
      <c r="S56" s="2904"/>
      <c r="T56" s="2904"/>
      <c r="U56" s="2904"/>
      <c r="V56" s="2904"/>
      <c r="W56" s="2904"/>
      <c r="X56" s="2904"/>
      <c r="Y56" s="2904"/>
      <c r="Z56" s="2904"/>
      <c r="AA56" s="2904"/>
      <c r="AB56" s="2904"/>
      <c r="AC56" s="2904"/>
      <c r="AD56" s="2904"/>
    </row>
    <row r="57" spans="1:30" s="430" customFormat="1" ht="15.75" thickTop="1">
      <c r="A57" s="510"/>
      <c r="B57" s="495">
        <f>B12</f>
        <v>111</v>
      </c>
      <c r="C57" s="506"/>
      <c r="D57" s="506"/>
      <c r="E57" s="506"/>
      <c r="F57" s="506"/>
      <c r="G57" s="511"/>
      <c r="H57" s="512"/>
      <c r="I57" s="512"/>
      <c r="J57" s="512"/>
      <c r="K57" s="512"/>
      <c r="L57" s="513"/>
      <c r="M57" s="514"/>
      <c r="N57" s="2934"/>
      <c r="O57" s="2934"/>
      <c r="P57" s="2958"/>
      <c r="Q57" s="2925"/>
      <c r="R57" s="2926"/>
      <c r="S57" s="2926"/>
      <c r="T57" s="2926"/>
      <c r="U57" s="2926"/>
      <c r="V57" s="2926"/>
      <c r="W57" s="2926"/>
      <c r="X57" s="2926"/>
      <c r="Y57" s="2926"/>
      <c r="Z57" s="2926"/>
      <c r="AA57" s="2926"/>
      <c r="AB57" s="2926"/>
      <c r="AC57" s="2926"/>
      <c r="AD57" s="2926"/>
    </row>
    <row r="58" spans="1:30" s="430" customFormat="1" ht="15.75" thickBot="1">
      <c r="A58" s="510"/>
      <c r="B58" s="500"/>
      <c r="C58" s="517"/>
      <c r="D58" s="493"/>
      <c r="E58" s="493"/>
      <c r="F58" s="493"/>
      <c r="G58" s="493"/>
      <c r="H58" s="493"/>
      <c r="I58" s="493"/>
      <c r="J58" s="493"/>
      <c r="K58" s="493"/>
      <c r="L58" s="493"/>
      <c r="M58" s="494"/>
      <c r="N58" s="2933"/>
      <c r="O58" s="2933"/>
      <c r="P58" s="2958"/>
      <c r="Q58" s="2925"/>
      <c r="R58" s="2926"/>
      <c r="S58" s="2926"/>
      <c r="T58" s="2926"/>
      <c r="U58" s="2926"/>
      <c r="V58" s="2926"/>
      <c r="W58" s="2926"/>
      <c r="X58" s="2926"/>
      <c r="Y58" s="2926"/>
      <c r="Z58" s="2926"/>
      <c r="AA58" s="2926"/>
      <c r="AB58" s="2926"/>
      <c r="AC58" s="2926"/>
      <c r="AD58" s="2926"/>
    </row>
    <row r="59" spans="1:30" s="430" customFormat="1" ht="15.75" thickTop="1">
      <c r="A59" s="510"/>
      <c r="B59" s="495">
        <f>B13</f>
        <v>111</v>
      </c>
      <c r="C59" s="506"/>
      <c r="D59" s="506"/>
      <c r="E59" s="506"/>
      <c r="F59" s="506"/>
      <c r="G59" s="511"/>
      <c r="H59" s="512"/>
      <c r="I59" s="512"/>
      <c r="J59" s="512"/>
      <c r="K59" s="512"/>
      <c r="L59" s="513"/>
      <c r="M59" s="514"/>
      <c r="N59" s="2934"/>
      <c r="O59" s="2934"/>
      <c r="P59" s="2902"/>
      <c r="Q59" s="2928"/>
      <c r="R59" s="2926"/>
      <c r="S59" s="2926"/>
      <c r="T59" s="2926"/>
      <c r="U59" s="2926"/>
      <c r="V59" s="2926"/>
      <c r="W59" s="2926"/>
      <c r="X59" s="2926"/>
      <c r="Y59" s="2926"/>
      <c r="Z59" s="2926"/>
      <c r="AA59" s="2926"/>
      <c r="AB59" s="2926"/>
      <c r="AC59" s="2926"/>
      <c r="AD59" s="2926"/>
    </row>
    <row r="60" spans="1:30" s="430" customFormat="1" ht="15.75" thickBot="1">
      <c r="A60" s="510"/>
      <c r="B60" s="500"/>
      <c r="C60" s="517"/>
      <c r="D60" s="517"/>
      <c r="E60" s="517"/>
      <c r="F60" s="517"/>
      <c r="G60" s="517"/>
      <c r="H60" s="519"/>
      <c r="I60" s="519"/>
      <c r="J60" s="519"/>
      <c r="K60" s="519"/>
      <c r="L60" s="519"/>
      <c r="M60" s="520"/>
      <c r="N60" s="2934"/>
      <c r="O60" s="2934"/>
      <c r="P60" s="2958"/>
      <c r="Q60" s="2925"/>
      <c r="R60" s="2926"/>
      <c r="S60" s="2926"/>
      <c r="T60" s="2926"/>
      <c r="U60" s="2926"/>
      <c r="V60" s="2926"/>
      <c r="W60" s="2926"/>
      <c r="X60" s="2926"/>
      <c r="Y60" s="2926"/>
      <c r="Z60" s="2926"/>
      <c r="AA60" s="2926"/>
      <c r="AB60" s="2926"/>
      <c r="AC60" s="2926"/>
      <c r="AD60" s="2926"/>
    </row>
    <row r="61" spans="1:30" ht="15" thickTop="1">
      <c r="A61" s="484" t="s">
        <v>2138</v>
      </c>
      <c r="B61" s="485" t="s">
        <v>2181</v>
      </c>
      <c r="C61" s="530" t="s">
        <v>2176</v>
      </c>
      <c r="D61" s="530" t="s">
        <v>2177</v>
      </c>
      <c r="E61" s="530" t="s">
        <v>2178</v>
      </c>
      <c r="F61" s="530" t="s">
        <v>2179</v>
      </c>
      <c r="G61" s="530" t="s">
        <v>2180</v>
      </c>
      <c r="H61" s="486"/>
      <c r="I61" s="486"/>
      <c r="J61" s="486"/>
      <c r="K61" s="531"/>
      <c r="L61" s="532"/>
      <c r="M61" s="533"/>
      <c r="N61" s="2932"/>
      <c r="O61" s="2932"/>
      <c r="P61" s="2959"/>
      <c r="Q61" s="2918"/>
      <c r="R61" s="2904"/>
      <c r="S61" s="2904"/>
      <c r="T61" s="2904"/>
      <c r="U61" s="2904"/>
      <c r="V61" s="2904"/>
      <c r="W61" s="2904"/>
      <c r="X61" s="2904"/>
      <c r="Y61" s="2904"/>
      <c r="Z61" s="2904"/>
      <c r="AA61" s="2904"/>
      <c r="AB61" s="2904"/>
      <c r="AC61" s="2904"/>
      <c r="AD61" s="290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33"/>
      <c r="O62" s="2933"/>
      <c r="P62" s="2957"/>
      <c r="Q62" s="2918"/>
      <c r="R62" s="2904"/>
      <c r="S62" s="2904"/>
      <c r="T62" s="2904"/>
      <c r="U62" s="2904"/>
      <c r="V62" s="2904"/>
      <c r="W62" s="2904"/>
      <c r="X62" s="2904"/>
      <c r="Y62" s="2904"/>
      <c r="Z62" s="2904"/>
      <c r="AA62" s="2904"/>
      <c r="AB62" s="2904"/>
      <c r="AC62" s="2904"/>
      <c r="AD62" s="2904"/>
    </row>
    <row r="63" spans="1:30" ht="27.75" thickTop="1">
      <c r="A63" s="491"/>
      <c r="B63" s="495" t="s">
        <v>2319</v>
      </c>
      <c r="C63" s="535" t="s">
        <v>2176</v>
      </c>
      <c r="D63" s="535" t="s">
        <v>2177</v>
      </c>
      <c r="E63" s="535" t="s">
        <v>2178</v>
      </c>
      <c r="F63" s="535" t="s">
        <v>2179</v>
      </c>
      <c r="G63" s="535" t="s">
        <v>2180</v>
      </c>
      <c r="H63" s="496"/>
      <c r="I63" s="496"/>
      <c r="J63" s="496"/>
      <c r="K63" s="497"/>
      <c r="L63" s="498"/>
      <c r="M63" s="499"/>
      <c r="N63" s="2932"/>
      <c r="O63" s="2932"/>
      <c r="P63" s="2957"/>
      <c r="Q63" s="2918"/>
      <c r="R63" s="2904"/>
      <c r="S63" s="2904"/>
      <c r="T63" s="2904"/>
      <c r="U63" s="2904"/>
      <c r="V63" s="2904"/>
      <c r="W63" s="2904"/>
      <c r="X63" s="2904"/>
      <c r="Y63" s="2904"/>
      <c r="Z63" s="2904"/>
      <c r="AA63" s="2904"/>
      <c r="AB63" s="2904"/>
      <c r="AC63" s="2904"/>
      <c r="AD63" s="290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33"/>
      <c r="O64" s="2933"/>
      <c r="P64" s="2957"/>
      <c r="Q64" s="2918"/>
      <c r="R64" s="2904"/>
      <c r="S64" s="2904"/>
      <c r="T64" s="2904"/>
      <c r="U64" s="2904"/>
      <c r="V64" s="2904"/>
      <c r="W64" s="2904"/>
      <c r="X64" s="2904"/>
      <c r="Y64" s="2904"/>
      <c r="Z64" s="2904"/>
      <c r="AA64" s="2904"/>
      <c r="AB64" s="2904"/>
      <c r="AC64" s="2904"/>
      <c r="AD64" s="2904"/>
    </row>
    <row r="65" spans="1:30" ht="15.75" thickTop="1">
      <c r="A65" s="491"/>
      <c r="B65" s="503" t="s">
        <v>2268</v>
      </c>
      <c r="C65" s="616" t="s">
        <v>2254</v>
      </c>
      <c r="D65" s="616" t="s">
        <v>2255</v>
      </c>
      <c r="E65" s="616" t="s">
        <v>2256</v>
      </c>
      <c r="F65" s="616" t="s">
        <v>2257</v>
      </c>
      <c r="G65" s="616" t="s">
        <v>2258</v>
      </c>
      <c r="H65" s="496"/>
      <c r="I65" s="496"/>
      <c r="J65" s="496"/>
      <c r="K65" s="496"/>
      <c r="L65" s="496"/>
      <c r="M65" s="1244"/>
      <c r="N65" s="2933"/>
      <c r="O65" s="2933"/>
      <c r="P65" s="2957"/>
      <c r="Q65" s="2918"/>
      <c r="R65" s="2904"/>
      <c r="S65" s="2904"/>
      <c r="T65" s="2904"/>
      <c r="U65" s="2904"/>
      <c r="V65" s="2904"/>
      <c r="W65" s="2904"/>
      <c r="X65" s="2904"/>
      <c r="Y65" s="2904"/>
      <c r="Z65" s="2904"/>
      <c r="AA65" s="2904"/>
      <c r="AB65" s="2904"/>
      <c r="AC65" s="2904"/>
      <c r="AD65" s="290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33"/>
      <c r="O66" s="2933"/>
      <c r="P66" s="2957"/>
      <c r="Q66" s="2918"/>
      <c r="R66" s="2904"/>
      <c r="S66" s="2904"/>
      <c r="T66" s="2904"/>
      <c r="U66" s="2904"/>
      <c r="V66" s="2904"/>
      <c r="W66" s="2904"/>
      <c r="X66" s="2904"/>
      <c r="Y66" s="2904"/>
      <c r="Z66" s="2904"/>
      <c r="AA66" s="2904"/>
      <c r="AB66" s="2904"/>
      <c r="AC66" s="2904"/>
      <c r="AD66" s="2904"/>
    </row>
    <row r="67" spans="1:30" ht="15.75" thickTop="1">
      <c r="A67" s="491"/>
      <c r="B67" s="495" t="s">
        <v>2188</v>
      </c>
      <c r="C67" s="535" t="s">
        <v>2176</v>
      </c>
      <c r="D67" s="535" t="s">
        <v>2177</v>
      </c>
      <c r="E67" s="535" t="s">
        <v>2178</v>
      </c>
      <c r="F67" s="535" t="s">
        <v>2179</v>
      </c>
      <c r="G67" s="535" t="s">
        <v>2180</v>
      </c>
      <c r="H67" s="496"/>
      <c r="I67" s="496"/>
      <c r="J67" s="496"/>
      <c r="K67" s="497"/>
      <c r="L67" s="498"/>
      <c r="M67" s="499"/>
      <c r="N67" s="2932"/>
      <c r="O67" s="2932"/>
      <c r="P67" s="2957"/>
      <c r="Q67" s="2918"/>
      <c r="R67" s="2904"/>
      <c r="S67" s="2904"/>
      <c r="T67" s="2904"/>
      <c r="U67" s="2904"/>
      <c r="V67" s="2904"/>
      <c r="W67" s="2904"/>
      <c r="X67" s="2904"/>
      <c r="Y67" s="2904"/>
      <c r="Z67" s="2904"/>
      <c r="AA67" s="2904"/>
      <c r="AB67" s="2904"/>
      <c r="AC67" s="2904"/>
      <c r="AD67" s="290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33"/>
      <c r="O68" s="2933"/>
      <c r="P68" s="2957"/>
      <c r="Q68" s="2918"/>
      <c r="R68" s="2904"/>
      <c r="S68" s="2904"/>
      <c r="T68" s="2904"/>
      <c r="U68" s="2904"/>
      <c r="V68" s="2904"/>
      <c r="W68" s="2904"/>
      <c r="X68" s="2904"/>
      <c r="Y68" s="2904"/>
      <c r="Z68" s="2904"/>
      <c r="AA68" s="2904"/>
      <c r="AB68" s="2904"/>
      <c r="AC68" s="2904"/>
      <c r="AD68" s="2904"/>
    </row>
    <row r="69" spans="1:30" ht="15.75" thickTop="1">
      <c r="A69" s="491"/>
      <c r="B69" s="495" t="s">
        <v>2308</v>
      </c>
      <c r="C69" s="511"/>
      <c r="D69" s="511"/>
      <c r="E69" s="511"/>
      <c r="F69" s="511"/>
      <c r="G69" s="511"/>
      <c r="H69" s="540"/>
      <c r="I69" s="540"/>
      <c r="J69" s="540"/>
      <c r="K69" s="541"/>
      <c r="L69" s="542"/>
      <c r="M69" s="543"/>
      <c r="N69" s="2932"/>
      <c r="O69" s="2932"/>
      <c r="P69" s="2957"/>
      <c r="Q69" s="2918"/>
      <c r="R69" s="2904"/>
      <c r="S69" s="2904"/>
      <c r="T69" s="2904"/>
      <c r="U69" s="2904"/>
      <c r="V69" s="2904"/>
      <c r="W69" s="2904"/>
      <c r="X69" s="2904"/>
      <c r="Y69" s="2904"/>
      <c r="Z69" s="2904"/>
      <c r="AA69" s="2904"/>
      <c r="AB69" s="2904"/>
      <c r="AC69" s="2904"/>
      <c r="AD69" s="2904"/>
    </row>
    <row r="70" spans="1:30" ht="15.75" thickBot="1">
      <c r="A70" s="491"/>
      <c r="B70" s="500"/>
      <c r="C70" s="501">
        <v>100</v>
      </c>
      <c r="D70" s="501">
        <f>C70-$K22</f>
        <v>100</v>
      </c>
      <c r="E70" s="501"/>
      <c r="F70" s="501"/>
      <c r="G70" s="501"/>
      <c r="H70" s="501"/>
      <c r="I70" s="501"/>
      <c r="J70" s="501"/>
      <c r="K70" s="501"/>
      <c r="L70" s="501"/>
      <c r="M70" s="502"/>
      <c r="N70" s="2933"/>
      <c r="O70" s="2933"/>
      <c r="P70" s="2957"/>
      <c r="Q70" s="2918"/>
      <c r="R70" s="2904"/>
      <c r="S70" s="2904"/>
      <c r="T70" s="2904"/>
      <c r="U70" s="2904"/>
      <c r="V70" s="2904"/>
      <c r="W70" s="2904"/>
      <c r="X70" s="2904"/>
      <c r="Y70" s="2904"/>
      <c r="Z70" s="2904"/>
      <c r="AA70" s="2904"/>
      <c r="AB70" s="2904"/>
      <c r="AC70" s="2904"/>
      <c r="AD70" s="2904"/>
    </row>
    <row r="71" spans="1:30" s="113" customFormat="1" ht="15.75" thickTop="1">
      <c r="A71" s="536"/>
      <c r="B71" s="495">
        <f>B23</f>
        <v>111</v>
      </c>
      <c r="C71" s="506"/>
      <c r="D71" s="506"/>
      <c r="E71" s="506"/>
      <c r="F71" s="506"/>
      <c r="G71" s="511"/>
      <c r="H71" s="511"/>
      <c r="I71" s="511"/>
      <c r="J71" s="511"/>
      <c r="K71" s="511"/>
      <c r="L71" s="537"/>
      <c r="M71" s="538"/>
      <c r="N71" s="2931"/>
      <c r="O71" s="2931"/>
      <c r="P71" s="2957"/>
      <c r="Q71" s="2918"/>
      <c r="R71" s="2838"/>
      <c r="S71" s="2838"/>
      <c r="T71" s="2838"/>
      <c r="U71" s="2838"/>
      <c r="V71" s="2838"/>
      <c r="W71" s="2838"/>
      <c r="X71" s="2838"/>
      <c r="Y71" s="2838"/>
      <c r="Z71" s="2838"/>
      <c r="AA71" s="2838"/>
      <c r="AB71" s="2838"/>
      <c r="AC71" s="2838"/>
      <c r="AD71" s="2838"/>
    </row>
    <row r="72" spans="1:30" s="113" customFormat="1" ht="15.75" thickBot="1">
      <c r="A72" s="536"/>
      <c r="B72" s="500"/>
      <c r="C72" s="517"/>
      <c r="D72" s="493"/>
      <c r="E72" s="493"/>
      <c r="F72" s="493"/>
      <c r="G72" s="493"/>
      <c r="H72" s="493"/>
      <c r="I72" s="493"/>
      <c r="J72" s="493"/>
      <c r="K72" s="493"/>
      <c r="L72" s="493"/>
      <c r="M72" s="494"/>
      <c r="N72" s="2933"/>
      <c r="O72" s="2933"/>
      <c r="P72" s="2957"/>
      <c r="Q72" s="2918"/>
      <c r="R72" s="2838"/>
      <c r="S72" s="2838"/>
      <c r="T72" s="2838"/>
      <c r="U72" s="2838"/>
      <c r="V72" s="2838"/>
      <c r="W72" s="2838"/>
      <c r="X72" s="2838"/>
      <c r="Y72" s="2838"/>
      <c r="Z72" s="2838"/>
      <c r="AA72" s="2838"/>
      <c r="AB72" s="2838"/>
      <c r="AC72" s="2838"/>
      <c r="AD72" s="2838"/>
    </row>
    <row r="73" spans="1:30" s="113" customFormat="1" ht="15.75" thickTop="1">
      <c r="A73" s="536"/>
      <c r="B73" s="495">
        <f>B24</f>
        <v>111</v>
      </c>
      <c r="C73" s="506"/>
      <c r="D73" s="506"/>
      <c r="E73" s="506"/>
      <c r="F73" s="506"/>
      <c r="G73" s="511"/>
      <c r="H73" s="511"/>
      <c r="I73" s="511"/>
      <c r="J73" s="511"/>
      <c r="K73" s="511"/>
      <c r="L73" s="511"/>
      <c r="M73" s="538"/>
      <c r="N73" s="2931"/>
      <c r="O73" s="2931"/>
      <c r="P73" s="2957"/>
      <c r="Q73" s="2918"/>
      <c r="R73" s="2838"/>
      <c r="S73" s="2838"/>
      <c r="T73" s="2838"/>
      <c r="U73" s="2838"/>
      <c r="V73" s="2838"/>
      <c r="W73" s="2838"/>
      <c r="X73" s="2838"/>
      <c r="Y73" s="2838"/>
      <c r="Z73" s="2838"/>
      <c r="AA73" s="2838"/>
      <c r="AB73" s="2838"/>
      <c r="AC73" s="2838"/>
      <c r="AD73" s="2838"/>
    </row>
    <row r="74" spans="1:30" s="113" customFormat="1" ht="15.75" thickBot="1">
      <c r="A74" s="536"/>
      <c r="B74" s="500"/>
      <c r="C74" s="517"/>
      <c r="D74" s="493"/>
      <c r="E74" s="493"/>
      <c r="F74" s="493"/>
      <c r="G74" s="493"/>
      <c r="H74" s="493"/>
      <c r="I74" s="493"/>
      <c r="J74" s="493"/>
      <c r="K74" s="493"/>
      <c r="L74" s="493"/>
      <c r="M74" s="494"/>
      <c r="N74" s="2933"/>
      <c r="O74" s="2933"/>
      <c r="P74" s="2957"/>
      <c r="Q74" s="2918"/>
      <c r="R74" s="2838"/>
      <c r="S74" s="2838"/>
      <c r="T74" s="2838"/>
      <c r="U74" s="2838"/>
      <c r="V74" s="2838"/>
      <c r="W74" s="2838"/>
      <c r="X74" s="2838"/>
      <c r="Y74" s="2838"/>
      <c r="Z74" s="2838"/>
      <c r="AA74" s="2838"/>
      <c r="AB74" s="2838"/>
      <c r="AC74" s="2838"/>
      <c r="AD74" s="2838"/>
    </row>
    <row r="75" spans="1:30" s="430" customFormat="1" ht="15.75" thickTop="1">
      <c r="A75" s="510"/>
      <c r="B75" s="495">
        <f>B25</f>
        <v>111</v>
      </c>
      <c r="C75" s="506"/>
      <c r="D75" s="506"/>
      <c r="E75" s="506"/>
      <c r="F75" s="506"/>
      <c r="G75" s="511"/>
      <c r="H75" s="512"/>
      <c r="I75" s="512"/>
      <c r="J75" s="512"/>
      <c r="K75" s="512"/>
      <c r="L75" s="513"/>
      <c r="M75" s="514"/>
      <c r="N75" s="2934"/>
      <c r="O75" s="2934"/>
      <c r="P75" s="2958"/>
      <c r="Q75" s="2925"/>
      <c r="R75" s="2926"/>
      <c r="S75" s="2926"/>
      <c r="T75" s="2926"/>
      <c r="U75" s="2926"/>
      <c r="V75" s="2926"/>
      <c r="W75" s="2926"/>
      <c r="X75" s="2926"/>
      <c r="Y75" s="2926"/>
      <c r="Z75" s="2926"/>
      <c r="AA75" s="2926"/>
      <c r="AB75" s="2926"/>
      <c r="AC75" s="2926"/>
      <c r="AD75" s="2926"/>
    </row>
    <row r="76" spans="1:30" s="430" customFormat="1" ht="15.75" thickBot="1">
      <c r="A76" s="510"/>
      <c r="B76" s="500"/>
      <c r="C76" s="517"/>
      <c r="D76" s="517"/>
      <c r="E76" s="517"/>
      <c r="F76" s="517"/>
      <c r="G76" s="493"/>
      <c r="H76" s="493"/>
      <c r="I76" s="493"/>
      <c r="J76" s="493"/>
      <c r="K76" s="493"/>
      <c r="L76" s="493"/>
      <c r="M76" s="494"/>
      <c r="N76" s="2934"/>
      <c r="O76" s="2934"/>
      <c r="P76" s="2958"/>
      <c r="Q76" s="2925"/>
      <c r="R76" s="2926"/>
      <c r="S76" s="2926"/>
      <c r="T76" s="2926"/>
      <c r="U76" s="2926"/>
      <c r="V76" s="2926"/>
      <c r="W76" s="2926"/>
      <c r="X76" s="2926"/>
      <c r="Y76" s="2926"/>
      <c r="Z76" s="2926"/>
      <c r="AA76" s="2926"/>
      <c r="AB76" s="2926"/>
      <c r="AC76" s="2926"/>
      <c r="AD76" s="2926"/>
    </row>
    <row r="77" spans="1:30" ht="15" thickTop="1">
      <c r="A77" s="484" t="s">
        <v>2142</v>
      </c>
      <c r="B77" s="485" t="s">
        <v>2195</v>
      </c>
      <c r="C77" s="511"/>
      <c r="D77" s="511"/>
      <c r="E77" s="487"/>
      <c r="F77" s="487"/>
      <c r="G77" s="487"/>
      <c r="H77" s="487"/>
      <c r="I77" s="487"/>
      <c r="J77" s="487"/>
      <c r="K77" s="488"/>
      <c r="L77" s="489"/>
      <c r="M77" s="490"/>
      <c r="N77" s="2932"/>
      <c r="O77" s="2932"/>
      <c r="P77" s="2957"/>
      <c r="Q77" s="2918"/>
      <c r="R77" s="2904"/>
      <c r="S77" s="2904"/>
      <c r="T77" s="2904"/>
      <c r="U77" s="2904"/>
      <c r="V77" s="2904"/>
      <c r="W77" s="2904"/>
      <c r="X77" s="2904"/>
      <c r="Y77" s="2904"/>
      <c r="Z77" s="2904"/>
      <c r="AA77" s="2904"/>
      <c r="AB77" s="2904"/>
      <c r="AC77" s="2904"/>
      <c r="AD77" s="290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33"/>
      <c r="O78" s="2933"/>
      <c r="P78" s="2957"/>
      <c r="Q78" s="2918"/>
      <c r="R78" s="2904"/>
      <c r="S78" s="2904"/>
      <c r="T78" s="2904"/>
      <c r="U78" s="2904"/>
      <c r="V78" s="2904"/>
      <c r="W78" s="2904"/>
      <c r="X78" s="2904"/>
      <c r="Y78" s="2904"/>
      <c r="Z78" s="2904"/>
      <c r="AA78" s="2904"/>
      <c r="AB78" s="2904"/>
      <c r="AC78" s="2904"/>
      <c r="AD78" s="2904"/>
    </row>
    <row r="79" spans="1:30" ht="15.75" thickTop="1">
      <c r="A79" s="491"/>
      <c r="B79" s="495" t="s">
        <v>2311</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31"/>
      <c r="O79" s="2931"/>
      <c r="P79" s="2957"/>
      <c r="Q79" s="2918"/>
      <c r="R79" s="2904"/>
      <c r="S79" s="2904"/>
      <c r="T79" s="2904"/>
      <c r="U79" s="2904"/>
      <c r="V79" s="2904"/>
      <c r="W79" s="2904"/>
      <c r="X79" s="2904"/>
      <c r="Y79" s="2904"/>
      <c r="Z79" s="2904"/>
      <c r="AA79" s="2904"/>
      <c r="AB79" s="2904"/>
      <c r="AC79" s="2904"/>
      <c r="AD79" s="2904"/>
    </row>
    <row r="80" spans="1:30" ht="15">
      <c r="A80" s="491"/>
      <c r="B80" s="503"/>
      <c r="C80" s="560">
        <v>0.5</v>
      </c>
      <c r="D80" s="560">
        <v>0.6</v>
      </c>
      <c r="E80" s="560">
        <v>0.7</v>
      </c>
      <c r="F80" s="560">
        <v>0.8</v>
      </c>
      <c r="G80" s="560">
        <v>0.9</v>
      </c>
      <c r="H80" s="560">
        <v>1.0001</v>
      </c>
      <c r="I80" s="616"/>
      <c r="J80" s="616"/>
      <c r="K80" s="624"/>
      <c r="L80" s="625"/>
      <c r="M80" s="626"/>
      <c r="N80" s="2931"/>
      <c r="O80" s="2931"/>
      <c r="P80" s="2957"/>
      <c r="Q80" s="2918"/>
      <c r="R80" s="2904"/>
      <c r="S80" s="2904"/>
      <c r="T80" s="2904"/>
      <c r="U80" s="2904"/>
      <c r="V80" s="2904"/>
      <c r="W80" s="2904"/>
      <c r="X80" s="2904"/>
      <c r="Y80" s="2904"/>
      <c r="Z80" s="2904"/>
      <c r="AA80" s="2904"/>
      <c r="AB80" s="2904"/>
      <c r="AC80" s="2904"/>
      <c r="AD80" s="290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33"/>
      <c r="O81" s="2933"/>
      <c r="P81" s="2958"/>
      <c r="Q81" s="2925"/>
      <c r="R81" s="2926"/>
      <c r="S81" s="2926"/>
      <c r="T81" s="2926"/>
      <c r="U81" s="2926"/>
      <c r="V81" s="2926"/>
      <c r="W81" s="2926"/>
      <c r="X81" s="2926"/>
      <c r="Y81" s="2926"/>
      <c r="Z81" s="2926"/>
      <c r="AA81" s="2926"/>
      <c r="AB81" s="2926"/>
      <c r="AC81" s="2926"/>
      <c r="AD81" s="2926"/>
    </row>
    <row r="82" spans="1:30" ht="15" thickTop="1">
      <c r="A82" s="556"/>
      <c r="B82" s="503" t="s">
        <v>2312</v>
      </c>
      <c r="C82" s="511"/>
      <c r="D82" s="511"/>
      <c r="E82" s="540"/>
      <c r="F82" s="540"/>
      <c r="G82" s="540"/>
      <c r="H82" s="540"/>
      <c r="I82" s="540"/>
      <c r="J82" s="540"/>
      <c r="K82" s="541"/>
      <c r="L82" s="542"/>
      <c r="M82" s="543"/>
      <c r="N82" s="2932"/>
      <c r="O82" s="2932"/>
      <c r="P82" s="2957"/>
      <c r="Q82" s="2918"/>
      <c r="R82" s="2904"/>
      <c r="S82" s="2904"/>
      <c r="T82" s="2904"/>
      <c r="U82" s="2904"/>
      <c r="V82" s="2904"/>
      <c r="W82" s="2904"/>
      <c r="X82" s="2904"/>
      <c r="Y82" s="2904"/>
      <c r="Z82" s="2904"/>
      <c r="AA82" s="2904"/>
      <c r="AB82" s="2904"/>
      <c r="AC82" s="2904"/>
      <c r="AD82" s="290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33"/>
      <c r="O83" s="2933"/>
      <c r="P83" s="2957"/>
      <c r="Q83" s="2918"/>
      <c r="R83" s="2904"/>
      <c r="S83" s="2904"/>
      <c r="T83" s="2904"/>
      <c r="U83" s="2904"/>
      <c r="V83" s="2904"/>
      <c r="W83" s="2904"/>
      <c r="X83" s="2904"/>
      <c r="Y83" s="2904"/>
      <c r="Z83" s="2904"/>
      <c r="AA83" s="2904"/>
      <c r="AB83" s="2904"/>
      <c r="AC83" s="2904"/>
      <c r="AD83" s="2904"/>
    </row>
    <row r="84" spans="1:30" ht="15" thickTop="1">
      <c r="A84" s="556"/>
      <c r="B84" s="495" t="s">
        <v>2320</v>
      </c>
      <c r="C84" s="511"/>
      <c r="D84" s="511"/>
      <c r="E84" s="511"/>
      <c r="F84" s="511"/>
      <c r="G84" s="511"/>
      <c r="H84" s="511"/>
      <c r="I84" s="540"/>
      <c r="J84" s="540"/>
      <c r="K84" s="541"/>
      <c r="L84" s="542"/>
      <c r="M84" s="543"/>
      <c r="N84" s="2932"/>
      <c r="O84" s="2932"/>
      <c r="P84" s="2957"/>
      <c r="Q84" s="2918"/>
      <c r="R84" s="2904"/>
      <c r="S84" s="2904"/>
      <c r="T84" s="2904"/>
      <c r="U84" s="2904"/>
      <c r="V84" s="2904"/>
      <c r="W84" s="2904"/>
      <c r="X84" s="2904"/>
      <c r="Y84" s="2904"/>
      <c r="Z84" s="2904"/>
      <c r="AA84" s="2904"/>
      <c r="AB84" s="2904"/>
      <c r="AC84" s="2904"/>
      <c r="AD84" s="290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33"/>
      <c r="O85" s="2933"/>
      <c r="P85" s="2957"/>
      <c r="Q85" s="2918"/>
      <c r="R85" s="2904"/>
      <c r="S85" s="2904"/>
      <c r="T85" s="2904"/>
      <c r="U85" s="2904"/>
      <c r="V85" s="2904"/>
      <c r="W85" s="2904"/>
      <c r="X85" s="2904"/>
      <c r="Y85" s="2904"/>
      <c r="Z85" s="2904"/>
      <c r="AA85" s="2904"/>
      <c r="AB85" s="2904"/>
      <c r="AC85" s="2904"/>
      <c r="AD85" s="2904"/>
    </row>
    <row r="86" spans="1:30" ht="15" thickTop="1">
      <c r="A86" s="556"/>
      <c r="B86" s="503" t="s">
        <v>2321</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32"/>
      <c r="O86" s="2932"/>
      <c r="P86" s="2957"/>
      <c r="Q86" s="2918"/>
      <c r="R86" s="2904"/>
      <c r="S86" s="2904"/>
      <c r="T86" s="2904"/>
      <c r="U86" s="2904"/>
      <c r="V86" s="2904"/>
      <c r="W86" s="2904"/>
      <c r="X86" s="2904"/>
      <c r="Y86" s="2904"/>
      <c r="Z86" s="2904"/>
      <c r="AA86" s="2904"/>
      <c r="AB86" s="2904"/>
      <c r="AC86" s="2904"/>
      <c r="AD86" s="2904"/>
    </row>
    <row r="87" spans="1:30">
      <c r="A87" s="556"/>
      <c r="B87" s="503"/>
      <c r="C87" s="552"/>
      <c r="D87" s="552"/>
      <c r="E87" s="552"/>
      <c r="F87" s="552"/>
      <c r="G87" s="552"/>
      <c r="H87" s="552"/>
      <c r="I87" s="552"/>
      <c r="J87" s="553"/>
      <c r="K87" s="553"/>
      <c r="L87" s="554"/>
      <c r="M87" s="555"/>
      <c r="N87" s="2932"/>
      <c r="O87" s="2932"/>
      <c r="P87" s="2957"/>
      <c r="Q87" s="2918"/>
      <c r="R87" s="2904"/>
      <c r="S87" s="2904"/>
      <c r="T87" s="2904"/>
      <c r="U87" s="2904"/>
      <c r="V87" s="2904"/>
      <c r="W87" s="2904"/>
      <c r="X87" s="2904"/>
      <c r="Y87" s="2904"/>
      <c r="Z87" s="2904"/>
      <c r="AA87" s="2904"/>
      <c r="AB87" s="2904"/>
      <c r="AC87" s="2904"/>
      <c r="AD87" s="2904"/>
    </row>
    <row r="88" spans="1:30" ht="15.75" thickBot="1">
      <c r="A88" s="491"/>
      <c r="B88" s="500"/>
      <c r="C88" s="517"/>
      <c r="D88" s="493"/>
      <c r="E88" s="493"/>
      <c r="F88" s="493"/>
      <c r="G88" s="493"/>
      <c r="H88" s="493"/>
      <c r="I88" s="493"/>
      <c r="J88" s="493"/>
      <c r="K88" s="493"/>
      <c r="L88" s="493"/>
      <c r="M88" s="493"/>
      <c r="N88" s="2933"/>
      <c r="O88" s="2933"/>
      <c r="P88" s="2957"/>
      <c r="Q88" s="2918"/>
      <c r="R88" s="2904"/>
      <c r="S88" s="2904"/>
      <c r="T88" s="2904"/>
      <c r="U88" s="2904"/>
      <c r="V88" s="2904"/>
      <c r="W88" s="2904"/>
      <c r="X88" s="2904"/>
      <c r="Y88" s="2904"/>
      <c r="Z88" s="2904"/>
      <c r="AA88" s="2904"/>
      <c r="AB88" s="2904"/>
      <c r="AC88" s="2904"/>
      <c r="AD88" s="2904"/>
    </row>
    <row r="89" spans="1:30" s="430" customFormat="1" ht="15" thickTop="1">
      <c r="A89" s="550"/>
      <c r="B89" s="495" t="s">
        <v>2322</v>
      </c>
      <c r="C89" s="511"/>
      <c r="D89" s="511"/>
      <c r="E89" s="511"/>
      <c r="F89" s="511"/>
      <c r="G89" s="511"/>
      <c r="H89" s="511"/>
      <c r="I89" s="511"/>
      <c r="J89" s="511"/>
      <c r="K89" s="511"/>
      <c r="L89" s="511"/>
      <c r="M89" s="538"/>
      <c r="N89" s="2934"/>
      <c r="O89" s="2934"/>
      <c r="P89" s="2958"/>
      <c r="Q89" s="2925"/>
      <c r="R89" s="2926"/>
      <c r="S89" s="2926"/>
      <c r="T89" s="2926"/>
      <c r="U89" s="2926"/>
      <c r="V89" s="2926"/>
      <c r="W89" s="2926"/>
      <c r="X89" s="2926"/>
      <c r="Y89" s="2926"/>
      <c r="Z89" s="2926"/>
      <c r="AA89" s="2926"/>
      <c r="AB89" s="2926"/>
      <c r="AC89" s="2926"/>
      <c r="AD89" s="2926"/>
    </row>
    <row r="90" spans="1:30" s="430" customFormat="1" ht="15.75" thickBot="1">
      <c r="A90" s="510"/>
      <c r="B90" s="500"/>
      <c r="C90" s="517"/>
      <c r="D90" s="493"/>
      <c r="E90" s="493"/>
      <c r="F90" s="493"/>
      <c r="G90" s="493"/>
      <c r="H90" s="493"/>
      <c r="I90" s="493"/>
      <c r="J90" s="493"/>
      <c r="K90" s="493"/>
      <c r="L90" s="493"/>
      <c r="M90" s="494"/>
      <c r="N90" s="2934"/>
      <c r="O90" s="2934"/>
      <c r="P90" s="2958"/>
      <c r="Q90" s="2925"/>
      <c r="R90" s="2926"/>
      <c r="S90" s="2926"/>
      <c r="T90" s="2926"/>
      <c r="U90" s="2926"/>
      <c r="V90" s="2926"/>
      <c r="W90" s="2926"/>
      <c r="X90" s="2926"/>
      <c r="Y90" s="2926"/>
      <c r="Z90" s="2926"/>
      <c r="AA90" s="2926"/>
      <c r="AB90" s="2926"/>
      <c r="AC90" s="2926"/>
      <c r="AD90" s="2926"/>
    </row>
    <row r="91" spans="1:30" ht="15" thickTop="1">
      <c r="A91" s="556"/>
      <c r="B91" s="495">
        <f>B32</f>
        <v>111</v>
      </c>
      <c r="C91" s="506"/>
      <c r="D91" s="506"/>
      <c r="E91" s="506"/>
      <c r="F91" s="506"/>
      <c r="G91" s="511"/>
      <c r="H91" s="512"/>
      <c r="I91" s="512"/>
      <c r="J91" s="512"/>
      <c r="K91" s="512"/>
      <c r="L91" s="513"/>
      <c r="M91" s="514"/>
      <c r="N91" s="2932"/>
      <c r="O91" s="2932"/>
      <c r="P91" s="2957"/>
      <c r="Q91" s="2918"/>
      <c r="R91" s="2904"/>
      <c r="S91" s="2904"/>
      <c r="T91" s="2904"/>
      <c r="U91" s="2904"/>
      <c r="V91" s="2904"/>
      <c r="W91" s="2904"/>
      <c r="X91" s="2904"/>
      <c r="Y91" s="2904"/>
      <c r="Z91" s="2904"/>
      <c r="AA91" s="2904"/>
      <c r="AB91" s="2904"/>
      <c r="AC91" s="2904"/>
      <c r="AD91" s="2904"/>
    </row>
    <row r="92" spans="1:30" ht="15.75" thickBot="1">
      <c r="A92" s="491"/>
      <c r="B92" s="500"/>
      <c r="C92" s="517"/>
      <c r="D92" s="493"/>
      <c r="E92" s="493"/>
      <c r="F92" s="493"/>
      <c r="G92" s="517"/>
      <c r="H92" s="519"/>
      <c r="I92" s="519"/>
      <c r="J92" s="519"/>
      <c r="K92" s="519"/>
      <c r="L92" s="519"/>
      <c r="M92" s="520"/>
      <c r="N92" s="2933"/>
      <c r="O92" s="2933"/>
      <c r="P92" s="2957"/>
      <c r="Q92" s="2918"/>
      <c r="R92" s="2904"/>
      <c r="S92" s="2904"/>
      <c r="T92" s="2904"/>
      <c r="U92" s="2904"/>
      <c r="V92" s="2904"/>
      <c r="W92" s="2904"/>
      <c r="X92" s="2904"/>
      <c r="Y92" s="2904"/>
      <c r="Z92" s="2904"/>
      <c r="AA92" s="2904"/>
      <c r="AB92" s="2904"/>
      <c r="AC92" s="2904"/>
      <c r="AD92" s="2904"/>
    </row>
    <row r="93" spans="1:30" ht="15" thickTop="1">
      <c r="A93" s="556"/>
      <c r="B93" s="495">
        <f>B33</f>
        <v>111</v>
      </c>
      <c r="C93" s="506"/>
      <c r="D93" s="506"/>
      <c r="E93" s="506"/>
      <c r="F93" s="506"/>
      <c r="G93" s="511"/>
      <c r="H93" s="512"/>
      <c r="I93" s="512"/>
      <c r="J93" s="512"/>
      <c r="K93" s="512"/>
      <c r="L93" s="513"/>
      <c r="M93" s="514"/>
      <c r="N93" s="2932"/>
      <c r="O93" s="2932"/>
      <c r="P93" s="2957"/>
      <c r="Q93" s="2918"/>
      <c r="R93" s="2904"/>
      <c r="S93" s="2904"/>
      <c r="T93" s="2904"/>
      <c r="U93" s="2904"/>
      <c r="V93" s="2904"/>
      <c r="W93" s="2904"/>
      <c r="X93" s="2904"/>
      <c r="Y93" s="2904"/>
      <c r="Z93" s="2904"/>
      <c r="AA93" s="2904"/>
      <c r="AB93" s="2904"/>
      <c r="AC93" s="2904"/>
      <c r="AD93" s="2904"/>
    </row>
    <row r="94" spans="1:30" ht="15.75" thickBot="1">
      <c r="A94" s="491"/>
      <c r="B94" s="500"/>
      <c r="C94" s="517"/>
      <c r="D94" s="493"/>
      <c r="E94" s="493"/>
      <c r="F94" s="493"/>
      <c r="G94" s="517"/>
      <c r="H94" s="519"/>
      <c r="I94" s="519"/>
      <c r="J94" s="519"/>
      <c r="K94" s="519"/>
      <c r="L94" s="519"/>
      <c r="M94" s="520"/>
      <c r="N94" s="2933"/>
      <c r="O94" s="2933"/>
      <c r="P94" s="2957"/>
      <c r="Q94" s="2918"/>
      <c r="R94" s="2904"/>
      <c r="S94" s="2904"/>
      <c r="T94" s="2904"/>
      <c r="U94" s="2904"/>
      <c r="V94" s="2904"/>
      <c r="W94" s="2904"/>
      <c r="X94" s="2904"/>
      <c r="Y94" s="2904"/>
      <c r="Z94" s="2904"/>
      <c r="AA94" s="2904"/>
      <c r="AB94" s="2904"/>
      <c r="AC94" s="2904"/>
      <c r="AD94" s="2904"/>
    </row>
    <row r="95" spans="1:30" ht="15" thickTop="1">
      <c r="A95" s="556"/>
      <c r="B95" s="592">
        <f>B34</f>
        <v>111</v>
      </c>
      <c r="C95" s="506"/>
      <c r="D95" s="506"/>
      <c r="E95" s="506"/>
      <c r="F95" s="506"/>
      <c r="G95" s="511"/>
      <c r="H95" s="512"/>
      <c r="I95" s="512"/>
      <c r="J95" s="512"/>
      <c r="K95" s="512"/>
      <c r="L95" s="513"/>
      <c r="M95" s="514"/>
      <c r="N95" s="2933"/>
      <c r="O95" s="2933"/>
      <c r="P95" s="2960"/>
      <c r="Q95" s="2947"/>
      <c r="R95" s="2904"/>
      <c r="S95" s="2904"/>
      <c r="T95" s="2904"/>
      <c r="U95" s="2904"/>
      <c r="V95" s="2904"/>
      <c r="W95" s="2904"/>
      <c r="X95" s="2904"/>
      <c r="Y95" s="2904"/>
      <c r="Z95" s="2904"/>
      <c r="AA95" s="2904"/>
      <c r="AB95" s="2904"/>
      <c r="AC95" s="2904"/>
      <c r="AD95" s="2904"/>
    </row>
    <row r="96" spans="1:30" ht="15.75" thickBot="1">
      <c r="A96" s="491"/>
      <c r="B96" s="500"/>
      <c r="C96" s="517"/>
      <c r="D96" s="517"/>
      <c r="E96" s="517"/>
      <c r="F96" s="517"/>
      <c r="G96" s="517"/>
      <c r="H96" s="519"/>
      <c r="I96" s="519"/>
      <c r="J96" s="519"/>
      <c r="K96" s="519"/>
      <c r="L96" s="519"/>
      <c r="M96" s="520"/>
      <c r="N96" s="2933"/>
      <c r="O96" s="2933"/>
      <c r="P96" s="2957"/>
      <c r="Q96" s="2918"/>
      <c r="R96" s="2904"/>
      <c r="S96" s="2904"/>
      <c r="T96" s="2904"/>
      <c r="U96" s="2904"/>
      <c r="V96" s="2904"/>
      <c r="W96" s="2904"/>
      <c r="X96" s="2904"/>
      <c r="Y96" s="2904"/>
      <c r="Z96" s="2904"/>
      <c r="AA96" s="2904"/>
      <c r="AB96" s="2904"/>
      <c r="AC96" s="2904"/>
      <c r="AD96" s="2904"/>
    </row>
    <row r="97" spans="1:30" ht="15" thickTop="1">
      <c r="N97" s="2904"/>
      <c r="O97" s="2904"/>
      <c r="P97" s="2904"/>
      <c r="Q97" s="2904"/>
      <c r="R97" s="2904"/>
      <c r="S97" s="2904"/>
      <c r="T97" s="2904"/>
      <c r="U97" s="2904"/>
      <c r="V97" s="2904"/>
      <c r="W97" s="2904"/>
      <c r="X97" s="2904"/>
      <c r="Y97" s="2904"/>
      <c r="Z97" s="2904"/>
      <c r="AA97" s="2904"/>
      <c r="AB97" s="2904"/>
      <c r="AC97" s="2904"/>
      <c r="AD97" s="2904"/>
    </row>
    <row r="98" spans="1:30">
      <c r="A98" s="1048"/>
      <c r="B98" s="1048"/>
      <c r="C98" s="1048"/>
      <c r="D98" s="1048"/>
      <c r="E98" s="1048"/>
      <c r="F98" s="1048"/>
      <c r="G98" s="1048"/>
      <c r="H98" s="1048"/>
      <c r="I98" s="1048"/>
      <c r="J98" s="1048"/>
      <c r="K98" s="1049"/>
      <c r="L98" s="1050"/>
      <c r="M98" s="1048"/>
      <c r="N98" s="2904"/>
      <c r="O98" s="2904"/>
      <c r="P98" s="2904"/>
      <c r="Q98" s="2904"/>
      <c r="R98" s="2904"/>
      <c r="S98" s="2904"/>
      <c r="T98" s="2904"/>
      <c r="U98" s="2904"/>
      <c r="V98" s="2904"/>
      <c r="W98" s="2904"/>
      <c r="X98" s="2904"/>
      <c r="Y98" s="2904"/>
      <c r="Z98" s="2904"/>
      <c r="AA98" s="2904"/>
      <c r="AB98" s="2904"/>
      <c r="AC98" s="2904"/>
      <c r="AD98" s="2904"/>
    </row>
    <row r="99" spans="1:30">
      <c r="A99" s="1048"/>
      <c r="B99" s="1048"/>
      <c r="C99" s="1048"/>
      <c r="D99" s="1048"/>
      <c r="E99" s="1048"/>
      <c r="F99" s="1048"/>
      <c r="G99" s="1048"/>
      <c r="H99" s="1048"/>
      <c r="I99" s="1048"/>
      <c r="J99" s="1048"/>
      <c r="K99" s="1049"/>
      <c r="L99" s="1050"/>
      <c r="M99" s="1048"/>
      <c r="N99" s="2904"/>
      <c r="O99" s="2904"/>
      <c r="P99" s="2904"/>
      <c r="Q99" s="2904"/>
      <c r="R99" s="2904"/>
      <c r="S99" s="2904"/>
      <c r="T99" s="2904"/>
      <c r="U99" s="2904"/>
      <c r="V99" s="2904"/>
      <c r="W99" s="2904"/>
      <c r="X99" s="2904"/>
      <c r="Y99" s="2904"/>
      <c r="Z99" s="2904"/>
      <c r="AA99" s="2904"/>
      <c r="AB99" s="2904"/>
      <c r="AC99" s="2904"/>
      <c r="AD99" s="2904"/>
    </row>
    <row r="100" spans="1:30">
      <c r="A100" s="1048"/>
      <c r="B100" s="1048"/>
      <c r="C100" s="1048"/>
      <c r="D100" s="1048"/>
      <c r="E100" s="1048"/>
      <c r="F100" s="1048"/>
      <c r="G100" s="1048"/>
      <c r="H100" s="1048"/>
      <c r="I100" s="1048"/>
      <c r="J100" s="1048"/>
      <c r="K100" s="1049"/>
      <c r="L100" s="1050"/>
      <c r="M100" s="1048"/>
      <c r="N100" s="2904"/>
      <c r="O100" s="2904"/>
      <c r="P100" s="2904"/>
      <c r="Q100" s="2904"/>
      <c r="R100" s="2904"/>
      <c r="S100" s="2904"/>
      <c r="T100" s="2904"/>
      <c r="U100" s="2904"/>
      <c r="V100" s="2904"/>
      <c r="W100" s="2904"/>
      <c r="X100" s="2904"/>
      <c r="Y100" s="2904"/>
      <c r="Z100" s="2904"/>
      <c r="AA100" s="2904"/>
      <c r="AB100" s="2904"/>
      <c r="AC100" s="2904"/>
      <c r="AD100" s="2904"/>
    </row>
    <row r="101" spans="1:30">
      <c r="A101" s="1048"/>
      <c r="B101" s="1048"/>
      <c r="C101" s="1048"/>
      <c r="D101" s="1048"/>
      <c r="E101" s="1048"/>
      <c r="F101" s="1048"/>
      <c r="G101" s="1048"/>
      <c r="H101" s="1048"/>
      <c r="I101" s="1048"/>
      <c r="J101" s="1048"/>
      <c r="K101" s="1049"/>
      <c r="L101" s="1050"/>
      <c r="M101" s="1048"/>
      <c r="N101" s="2904"/>
      <c r="O101" s="2904"/>
      <c r="P101" s="2904"/>
      <c r="Q101" s="2904"/>
      <c r="R101" s="2904"/>
      <c r="S101" s="2904"/>
      <c r="T101" s="2904"/>
      <c r="U101" s="2904"/>
      <c r="V101" s="2904"/>
      <c r="W101" s="2904"/>
      <c r="X101" s="2904"/>
      <c r="Y101" s="2904"/>
      <c r="Z101" s="2904"/>
      <c r="AA101" s="2904"/>
      <c r="AB101" s="2904"/>
      <c r="AC101" s="2904"/>
      <c r="AD101" s="2904"/>
    </row>
    <row r="102" spans="1:30">
      <c r="A102" s="1048"/>
      <c r="B102" s="1048"/>
      <c r="C102" s="1048"/>
      <c r="D102" s="1048"/>
      <c r="E102" s="1048"/>
      <c r="F102" s="1048"/>
      <c r="G102" s="1048"/>
      <c r="H102" s="1048"/>
      <c r="I102" s="1048"/>
      <c r="J102" s="1048"/>
      <c r="K102" s="1049"/>
      <c r="L102" s="1050"/>
      <c r="M102" s="1048"/>
      <c r="N102" s="2904"/>
      <c r="O102" s="2904"/>
      <c r="P102" s="2904"/>
      <c r="Q102" s="2904"/>
      <c r="R102" s="2904"/>
      <c r="S102" s="2904"/>
      <c r="T102" s="2904"/>
      <c r="U102" s="2904"/>
      <c r="V102" s="2904"/>
      <c r="W102" s="2904"/>
      <c r="X102" s="2904"/>
      <c r="Y102" s="2904"/>
      <c r="Z102" s="2904"/>
      <c r="AA102" s="2904"/>
      <c r="AB102" s="2904"/>
      <c r="AC102" s="2904"/>
      <c r="AD102" s="2904"/>
    </row>
    <row r="103" spans="1:30">
      <c r="A103" s="1048"/>
      <c r="B103" s="1048"/>
      <c r="C103" s="1048"/>
      <c r="D103" s="1048"/>
      <c r="E103" s="1048"/>
      <c r="F103" s="1048"/>
      <c r="G103" s="1048"/>
      <c r="H103" s="1048"/>
      <c r="I103" s="1048"/>
      <c r="J103" s="1048"/>
      <c r="K103" s="1049"/>
      <c r="L103" s="1050"/>
      <c r="M103" s="1048"/>
      <c r="N103" s="1048"/>
      <c r="O103" s="1048"/>
      <c r="P103" s="2904"/>
      <c r="Q103" s="2904"/>
      <c r="R103" s="2904"/>
      <c r="S103" s="2904"/>
      <c r="T103" s="2904"/>
      <c r="U103" s="2904"/>
      <c r="V103" s="2904"/>
      <c r="W103" s="2904"/>
      <c r="X103" s="2904"/>
      <c r="Y103" s="2904"/>
      <c r="Z103" s="2904"/>
      <c r="AA103" s="2904"/>
      <c r="AB103" s="2904"/>
      <c r="AC103" s="2904"/>
      <c r="AD103" s="2904"/>
    </row>
    <row r="104" spans="1:30">
      <c r="A104" s="1048"/>
      <c r="B104" s="1048"/>
      <c r="C104" s="1048"/>
      <c r="D104" s="1048"/>
      <c r="E104" s="1048"/>
      <c r="F104" s="1048"/>
      <c r="G104" s="1048"/>
      <c r="H104" s="1048"/>
      <c r="I104" s="1048"/>
      <c r="J104" s="1048"/>
      <c r="K104" s="1049"/>
      <c r="L104" s="1050"/>
      <c r="M104" s="1048"/>
      <c r="N104" s="1048"/>
      <c r="O104" s="1048"/>
      <c r="P104" s="1048"/>
      <c r="Q104" s="1048"/>
      <c r="R104" s="1048"/>
      <c r="S104" s="1048"/>
      <c r="T104" s="1048"/>
    </row>
    <row r="105" spans="1:30">
      <c r="A105" s="1048"/>
      <c r="B105" s="1048"/>
      <c r="C105" s="1048"/>
      <c r="D105" s="1048"/>
      <c r="E105" s="1048"/>
      <c r="F105" s="1048"/>
      <c r="G105" s="1048"/>
      <c r="H105" s="1048"/>
      <c r="I105" s="1048"/>
      <c r="J105" s="1048"/>
      <c r="K105" s="1049"/>
      <c r="L105" s="1050"/>
      <c r="M105" s="1048"/>
      <c r="N105" s="1048"/>
      <c r="O105" s="1048"/>
      <c r="P105" s="1048"/>
      <c r="Q105" s="1048"/>
      <c r="R105" s="1048"/>
      <c r="S105" s="1048"/>
      <c r="T105" s="1048"/>
    </row>
    <row r="106" spans="1:30">
      <c r="A106" s="1048"/>
      <c r="B106" s="1048"/>
      <c r="C106" s="1048"/>
      <c r="D106" s="1048"/>
      <c r="E106" s="1048"/>
      <c r="F106" s="1048"/>
      <c r="G106" s="1048"/>
      <c r="H106" s="1048"/>
      <c r="I106" s="1048"/>
      <c r="J106" s="1048"/>
      <c r="K106" s="1049"/>
      <c r="L106" s="1050"/>
      <c r="M106" s="1048"/>
      <c r="N106" s="1048"/>
      <c r="O106" s="1048"/>
      <c r="P106" s="1048"/>
      <c r="Q106" s="1048"/>
      <c r="R106" s="1048"/>
      <c r="S106" s="1048"/>
      <c r="T106" s="1048"/>
    </row>
    <row r="107" spans="1:30">
      <c r="A107" s="1048"/>
      <c r="B107" s="1048"/>
      <c r="C107" s="1048"/>
      <c r="D107" s="1048"/>
      <c r="E107" s="1048"/>
      <c r="F107" s="1048"/>
      <c r="G107" s="1048"/>
      <c r="H107" s="1048"/>
      <c r="I107" s="1048"/>
      <c r="J107" s="1048"/>
      <c r="K107" s="1049"/>
      <c r="L107" s="1050"/>
      <c r="M107" s="1048"/>
      <c r="N107" s="1048"/>
      <c r="O107" s="1048"/>
      <c r="P107" s="1048"/>
      <c r="Q107" s="1048"/>
      <c r="R107" s="1048"/>
      <c r="S107" s="1048"/>
      <c r="T107" s="1048"/>
    </row>
    <row r="108" spans="1:30">
      <c r="A108" s="1048"/>
      <c r="B108" s="1048"/>
      <c r="C108" s="1048"/>
      <c r="D108" s="1048"/>
      <c r="E108" s="1048"/>
      <c r="F108" s="1048"/>
      <c r="G108" s="1048"/>
      <c r="H108" s="1048"/>
      <c r="I108" s="1048"/>
      <c r="J108" s="1048"/>
      <c r="K108" s="1049"/>
      <c r="L108" s="1050"/>
      <c r="M108" s="1048"/>
      <c r="N108" s="1048"/>
      <c r="O108" s="1048"/>
      <c r="P108" s="1048"/>
      <c r="Q108" s="1048"/>
      <c r="R108" s="1048"/>
      <c r="S108" s="1048"/>
      <c r="T108" s="1048"/>
    </row>
    <row r="109" spans="1:30">
      <c r="A109" s="1048"/>
      <c r="B109" s="1048"/>
      <c r="C109" s="1048"/>
      <c r="D109" s="1048"/>
      <c r="E109" s="1048"/>
      <c r="F109" s="1048"/>
      <c r="G109" s="1048"/>
      <c r="H109" s="1048"/>
      <c r="I109" s="1048"/>
      <c r="J109" s="1048"/>
      <c r="K109" s="1049"/>
      <c r="L109" s="1050"/>
      <c r="M109" s="1048"/>
      <c r="N109" s="1048"/>
      <c r="O109" s="1048"/>
      <c r="P109" s="1048"/>
      <c r="Q109" s="1048"/>
      <c r="R109" s="1048"/>
      <c r="S109" s="1048"/>
      <c r="T109" s="1048"/>
    </row>
    <row r="110" spans="1:30">
      <c r="A110" s="1048"/>
      <c r="B110" s="1048"/>
      <c r="C110" s="1048"/>
      <c r="D110" s="1048"/>
      <c r="E110" s="1048"/>
      <c r="F110" s="1048"/>
      <c r="G110" s="1048"/>
      <c r="H110" s="1048"/>
      <c r="I110" s="1048"/>
      <c r="J110" s="1048"/>
      <c r="K110" s="1049"/>
      <c r="L110" s="1050"/>
      <c r="M110" s="1048"/>
      <c r="N110" s="1048"/>
      <c r="O110" s="1048"/>
      <c r="P110" s="1048"/>
      <c r="Q110" s="1048"/>
      <c r="R110" s="1048"/>
      <c r="S110" s="1048"/>
      <c r="T110" s="1048"/>
    </row>
    <row r="111" spans="1:30">
      <c r="A111" s="1048"/>
      <c r="B111" s="1048"/>
      <c r="C111" s="1048"/>
      <c r="D111" s="1048"/>
      <c r="E111" s="1048"/>
      <c r="F111" s="1048"/>
      <c r="G111" s="1048"/>
      <c r="H111" s="1048"/>
      <c r="I111" s="1048"/>
      <c r="J111" s="1048"/>
      <c r="K111" s="1049"/>
      <c r="L111" s="1050"/>
      <c r="M111" s="1048"/>
      <c r="N111" s="1048"/>
      <c r="O111" s="1048"/>
      <c r="P111" s="1048"/>
      <c r="Q111" s="1048"/>
      <c r="R111" s="1048"/>
      <c r="S111" s="1048"/>
      <c r="T111" s="1048"/>
    </row>
    <row r="112" spans="1:30">
      <c r="A112" s="1048"/>
      <c r="B112" s="1048"/>
      <c r="C112" s="1048"/>
      <c r="D112" s="1048"/>
      <c r="E112" s="1048"/>
      <c r="F112" s="1048"/>
      <c r="G112" s="1048"/>
      <c r="H112" s="1048"/>
      <c r="I112" s="1048"/>
      <c r="J112" s="1048"/>
      <c r="K112" s="1049"/>
      <c r="L112" s="1050"/>
      <c r="M112" s="1048"/>
      <c r="N112" s="1048"/>
      <c r="O112" s="1048"/>
      <c r="P112" s="1048"/>
      <c r="Q112" s="1048"/>
      <c r="R112" s="1048"/>
      <c r="S112" s="1048"/>
      <c r="T112" s="1048"/>
    </row>
    <row r="113" spans="1:20">
      <c r="A113" s="1048"/>
      <c r="B113" s="1048"/>
      <c r="C113" s="1048"/>
      <c r="D113" s="1048"/>
      <c r="E113" s="1048"/>
      <c r="F113" s="1048"/>
      <c r="G113" s="1048"/>
      <c r="H113" s="1048"/>
      <c r="I113" s="1048"/>
      <c r="J113" s="1048"/>
      <c r="K113" s="1049"/>
      <c r="L113" s="1050"/>
      <c r="M113" s="1048"/>
      <c r="N113" s="1048"/>
      <c r="O113" s="1048"/>
      <c r="P113" s="1048"/>
      <c r="Q113" s="1048"/>
      <c r="R113" s="1048"/>
      <c r="S113" s="1048"/>
      <c r="T113" s="1048"/>
    </row>
    <row r="114" spans="1:20">
      <c r="A114" s="1048"/>
      <c r="B114" s="1048"/>
      <c r="C114" s="1048"/>
      <c r="D114" s="1048"/>
      <c r="E114" s="1048"/>
      <c r="F114" s="1048"/>
      <c r="G114" s="1048"/>
      <c r="H114" s="1048"/>
      <c r="I114" s="1048"/>
      <c r="J114" s="1048"/>
      <c r="K114" s="1049"/>
      <c r="L114" s="1050"/>
      <c r="M114" s="1048"/>
      <c r="N114" s="1048"/>
      <c r="O114" s="1048"/>
      <c r="P114" s="1048"/>
      <c r="Q114" s="1048"/>
      <c r="R114" s="1048"/>
      <c r="S114" s="1048"/>
      <c r="T114" s="1048"/>
    </row>
    <row r="115" spans="1:20">
      <c r="A115" s="1048"/>
      <c r="B115" s="1048"/>
      <c r="C115" s="1048"/>
      <c r="D115" s="1048"/>
      <c r="E115" s="1048"/>
      <c r="F115" s="1048"/>
      <c r="G115" s="1048"/>
      <c r="H115" s="1048"/>
      <c r="I115" s="1048"/>
      <c r="J115" s="1048"/>
      <c r="K115" s="1049"/>
      <c r="L115" s="1050"/>
      <c r="M115" s="1048"/>
      <c r="N115" s="1048"/>
      <c r="O115" s="1048"/>
      <c r="P115" s="1048"/>
      <c r="Q115" s="1048"/>
      <c r="R115" s="1048"/>
      <c r="S115" s="1048"/>
      <c r="T115" s="1048"/>
    </row>
    <row r="116" spans="1:20">
      <c r="A116" s="1048"/>
      <c r="B116" s="1048"/>
      <c r="C116" s="1048"/>
      <c r="D116" s="1048"/>
      <c r="E116" s="1048"/>
      <c r="F116" s="1048"/>
      <c r="G116" s="1048"/>
      <c r="H116" s="1048"/>
      <c r="I116" s="1048"/>
      <c r="J116" s="1048"/>
      <c r="K116" s="1049"/>
      <c r="L116" s="1050"/>
      <c r="M116" s="1048"/>
      <c r="N116" s="1048"/>
      <c r="O116" s="1048"/>
      <c r="P116" s="1048"/>
      <c r="Q116" s="1048"/>
      <c r="R116" s="1048"/>
      <c r="S116" s="1048"/>
      <c r="T116" s="1048"/>
    </row>
    <row r="117" spans="1:20">
      <c r="A117" s="1048"/>
      <c r="B117" s="1048"/>
      <c r="C117" s="1048"/>
      <c r="D117" s="1048"/>
      <c r="E117" s="1048"/>
      <c r="F117" s="1048"/>
      <c r="G117" s="1048"/>
      <c r="H117" s="1048"/>
      <c r="I117" s="1048"/>
      <c r="J117" s="1048"/>
      <c r="K117" s="1049"/>
      <c r="L117" s="1050"/>
      <c r="M117" s="1048"/>
      <c r="N117" s="1048"/>
      <c r="O117" s="1048"/>
      <c r="P117" s="1048"/>
      <c r="Q117" s="1048"/>
      <c r="R117" s="1048"/>
      <c r="S117" s="1048"/>
      <c r="T117" s="1048"/>
    </row>
    <row r="118" spans="1:20">
      <c r="A118" s="1048"/>
      <c r="B118" s="1048"/>
      <c r="C118" s="1048"/>
      <c r="D118" s="1048"/>
      <c r="E118" s="1048"/>
      <c r="F118" s="1048"/>
      <c r="G118" s="1048"/>
      <c r="H118" s="1048"/>
      <c r="I118" s="1048"/>
      <c r="J118" s="1048"/>
      <c r="K118" s="1049"/>
      <c r="L118" s="1050"/>
      <c r="M118" s="1048"/>
      <c r="N118" s="1048"/>
      <c r="O118" s="1048"/>
      <c r="P118" s="1048"/>
      <c r="Q118" s="1048"/>
      <c r="R118" s="1048"/>
      <c r="S118" s="1048"/>
      <c r="T118" s="1048"/>
    </row>
    <row r="119" spans="1:20">
      <c r="A119" s="1048"/>
      <c r="B119" s="1048"/>
      <c r="C119" s="1048"/>
      <c r="D119" s="1048"/>
      <c r="E119" s="1048"/>
      <c r="F119" s="1048"/>
      <c r="G119" s="1048"/>
      <c r="H119" s="1048"/>
      <c r="I119" s="1048"/>
      <c r="J119" s="1048"/>
      <c r="K119" s="1049"/>
      <c r="L119" s="1050"/>
      <c r="M119" s="1048"/>
      <c r="N119" s="1048"/>
      <c r="O119" s="1048"/>
      <c r="P119" s="1048"/>
      <c r="Q119" s="1048"/>
      <c r="R119" s="1048"/>
      <c r="S119" s="1048"/>
      <c r="T119" s="1048"/>
    </row>
    <row r="120" spans="1:20">
      <c r="A120" s="1048"/>
      <c r="B120" s="1048"/>
      <c r="C120" s="1048"/>
      <c r="D120" s="1048"/>
      <c r="E120" s="1048"/>
      <c r="F120" s="1048"/>
      <c r="G120" s="1048"/>
      <c r="H120" s="1048"/>
      <c r="I120" s="1048"/>
      <c r="J120" s="1048"/>
      <c r="K120" s="1049"/>
      <c r="L120" s="1050"/>
      <c r="M120" s="1048"/>
      <c r="N120" s="1048"/>
      <c r="O120" s="1048"/>
      <c r="P120" s="1048"/>
      <c r="Q120" s="1048"/>
      <c r="R120" s="1048"/>
      <c r="S120" s="1048"/>
      <c r="T120" s="1048"/>
    </row>
    <row r="121" spans="1:20">
      <c r="A121" s="1048"/>
      <c r="B121" s="1048"/>
      <c r="C121" s="1048"/>
      <c r="D121" s="1048"/>
      <c r="E121" s="1048"/>
      <c r="F121" s="1048"/>
      <c r="G121" s="1048"/>
      <c r="H121" s="1048"/>
      <c r="I121" s="1048"/>
      <c r="J121" s="1048"/>
      <c r="K121" s="1049"/>
      <c r="L121" s="1050"/>
      <c r="M121" s="1048"/>
      <c r="N121" s="1048"/>
      <c r="O121" s="1048"/>
      <c r="P121" s="1048"/>
      <c r="Q121" s="1048"/>
      <c r="R121" s="1048"/>
      <c r="S121" s="1048"/>
      <c r="T121" s="1048"/>
    </row>
    <row r="122" spans="1:20">
      <c r="A122" s="1048"/>
      <c r="B122" s="1048"/>
      <c r="C122" s="1048"/>
      <c r="D122" s="1048"/>
      <c r="E122" s="1048"/>
      <c r="F122" s="1048"/>
      <c r="G122" s="1048"/>
      <c r="H122" s="1048"/>
      <c r="I122" s="1048"/>
      <c r="J122" s="1048"/>
      <c r="K122" s="1049"/>
      <c r="L122" s="1050"/>
      <c r="M122" s="1048"/>
      <c r="N122" s="1048"/>
      <c r="O122" s="1048"/>
      <c r="P122" s="1048"/>
      <c r="Q122" s="1048"/>
      <c r="R122" s="1048"/>
      <c r="S122" s="1048"/>
      <c r="T122" s="1048"/>
    </row>
    <row r="123" spans="1:20">
      <c r="A123" s="1048"/>
      <c r="B123" s="1048"/>
      <c r="C123" s="1048"/>
      <c r="D123" s="1048"/>
      <c r="E123" s="1048"/>
      <c r="F123" s="1048"/>
      <c r="G123" s="1048"/>
      <c r="H123" s="1048"/>
      <c r="I123" s="1048"/>
      <c r="J123" s="1048"/>
      <c r="K123" s="1049"/>
      <c r="L123" s="1050"/>
      <c r="M123" s="1048"/>
      <c r="N123" s="1048"/>
      <c r="O123" s="1048"/>
      <c r="P123" s="1048"/>
      <c r="Q123" s="1048"/>
      <c r="R123" s="1048"/>
      <c r="S123" s="1048"/>
      <c r="T123" s="1048"/>
    </row>
    <row r="124" spans="1:20">
      <c r="A124" s="1048"/>
      <c r="B124" s="1048"/>
      <c r="C124" s="1048"/>
      <c r="D124" s="1048"/>
      <c r="E124" s="1048"/>
      <c r="F124" s="1048"/>
      <c r="G124" s="1048"/>
      <c r="H124" s="1048"/>
      <c r="I124" s="1048"/>
      <c r="J124" s="1048"/>
      <c r="K124" s="1049"/>
      <c r="L124" s="1050"/>
      <c r="M124" s="1048"/>
      <c r="N124" s="1048"/>
      <c r="O124" s="1048"/>
      <c r="P124" s="1048"/>
      <c r="Q124" s="1048"/>
      <c r="R124" s="1048"/>
      <c r="S124" s="1048"/>
      <c r="T124" s="1048"/>
    </row>
    <row r="125" spans="1:20">
      <c r="A125" s="1048"/>
      <c r="B125" s="1048"/>
      <c r="C125" s="1048"/>
      <c r="D125" s="1048"/>
      <c r="E125" s="1048"/>
      <c r="F125" s="1048"/>
      <c r="G125" s="1048"/>
      <c r="H125" s="1048"/>
      <c r="I125" s="1048"/>
      <c r="J125" s="1048"/>
      <c r="K125" s="1049"/>
      <c r="L125" s="1050"/>
      <c r="M125" s="1048"/>
      <c r="N125" s="1048"/>
      <c r="O125" s="1048"/>
      <c r="P125" s="1048"/>
      <c r="Q125" s="1048"/>
      <c r="R125" s="1048"/>
      <c r="S125" s="1048"/>
      <c r="T125" s="1048"/>
    </row>
    <row r="126" spans="1:20">
      <c r="A126" s="1048"/>
      <c r="B126" s="1048"/>
      <c r="C126" s="1048"/>
      <c r="D126" s="1048"/>
      <c r="E126" s="1048"/>
      <c r="F126" s="1048"/>
      <c r="G126" s="1048"/>
      <c r="H126" s="1048"/>
      <c r="I126" s="1048"/>
      <c r="J126" s="1048"/>
      <c r="K126" s="1049"/>
      <c r="L126" s="1050"/>
      <c r="M126" s="1048"/>
      <c r="N126" s="1048"/>
      <c r="O126" s="1048"/>
      <c r="P126" s="1048"/>
      <c r="Q126" s="1048"/>
      <c r="R126" s="1048"/>
      <c r="S126" s="1048"/>
      <c r="T126" s="1048"/>
    </row>
    <row r="127" spans="1:20">
      <c r="A127" s="1048"/>
      <c r="B127" s="1048"/>
      <c r="C127" s="1048"/>
      <c r="D127" s="1048"/>
      <c r="E127" s="1048"/>
      <c r="F127" s="1048"/>
      <c r="G127" s="1048"/>
      <c r="H127" s="1048"/>
      <c r="I127" s="1048"/>
      <c r="J127" s="1048"/>
      <c r="K127" s="1049"/>
      <c r="L127" s="1050"/>
      <c r="M127" s="1048"/>
      <c r="N127" s="1048"/>
      <c r="O127" s="1048"/>
      <c r="P127" s="1048"/>
      <c r="Q127" s="1048"/>
      <c r="R127" s="1048"/>
      <c r="S127" s="1048"/>
      <c r="T127" s="1048"/>
    </row>
    <row r="128" spans="1:20">
      <c r="A128" s="1048"/>
      <c r="B128" s="1048"/>
      <c r="C128" s="1048"/>
      <c r="D128" s="1048"/>
      <c r="E128" s="1048"/>
      <c r="F128" s="1048"/>
      <c r="G128" s="1048"/>
      <c r="H128" s="1048"/>
      <c r="I128" s="1048"/>
      <c r="J128" s="1048"/>
      <c r="K128" s="1049"/>
      <c r="L128" s="1050"/>
      <c r="M128" s="1048"/>
      <c r="N128" s="1048"/>
      <c r="O128" s="1048"/>
      <c r="P128" s="1048"/>
      <c r="Q128" s="1048"/>
      <c r="R128" s="1048"/>
      <c r="S128" s="1048"/>
      <c r="T128" s="1048"/>
    </row>
    <row r="129" spans="1:20">
      <c r="A129" s="1048"/>
      <c r="B129" s="1048"/>
      <c r="C129" s="1048"/>
      <c r="D129" s="1048"/>
      <c r="E129" s="1048"/>
      <c r="F129" s="1048"/>
      <c r="G129" s="1048"/>
      <c r="H129" s="1048"/>
      <c r="I129" s="1048"/>
      <c r="J129" s="1048"/>
      <c r="K129" s="1049"/>
      <c r="L129" s="1050"/>
      <c r="M129" s="1048"/>
      <c r="N129" s="1048"/>
      <c r="O129" s="1048"/>
      <c r="P129" s="1048"/>
      <c r="Q129" s="1048"/>
      <c r="R129" s="1048"/>
      <c r="S129" s="1048"/>
      <c r="T129" s="1048"/>
    </row>
    <row r="130" spans="1:20">
      <c r="A130" s="1048"/>
      <c r="B130" s="1048"/>
      <c r="C130" s="1048"/>
      <c r="D130" s="1048"/>
      <c r="E130" s="1048"/>
      <c r="F130" s="1048"/>
      <c r="G130" s="1048"/>
      <c r="H130" s="1048"/>
      <c r="I130" s="1048"/>
      <c r="J130" s="1048"/>
      <c r="K130" s="1049"/>
      <c r="L130" s="1050"/>
      <c r="M130" s="1048"/>
      <c r="N130" s="1048"/>
      <c r="O130" s="1048"/>
      <c r="P130" s="1048"/>
      <c r="Q130" s="1048"/>
      <c r="R130" s="1048"/>
      <c r="S130" s="1048"/>
      <c r="T130" s="1048"/>
    </row>
    <row r="131" spans="1:20">
      <c r="A131" s="1048"/>
      <c r="B131" s="1048"/>
      <c r="C131" s="1048"/>
      <c r="D131" s="1048"/>
      <c r="E131" s="1048"/>
      <c r="F131" s="1048"/>
      <c r="G131" s="1048"/>
      <c r="H131" s="1048"/>
      <c r="I131" s="1048"/>
      <c r="J131" s="1048"/>
      <c r="K131" s="1049"/>
      <c r="L131" s="1050"/>
      <c r="M131" s="1048"/>
      <c r="N131" s="1048"/>
      <c r="O131" s="1048"/>
      <c r="P131" s="1048"/>
      <c r="Q131" s="1048"/>
      <c r="R131" s="1048"/>
      <c r="S131" s="1048"/>
      <c r="T131" s="1048"/>
    </row>
    <row r="132" spans="1:20">
      <c r="A132" s="1048"/>
      <c r="B132" s="1048"/>
      <c r="C132" s="1048"/>
      <c r="D132" s="1048"/>
      <c r="E132" s="1048"/>
      <c r="F132" s="1048"/>
      <c r="G132" s="1048"/>
      <c r="H132" s="1048"/>
      <c r="I132" s="1048"/>
      <c r="J132" s="1048"/>
      <c r="K132" s="1049"/>
      <c r="L132" s="1050"/>
      <c r="M132" s="1048"/>
      <c r="N132" s="1048"/>
      <c r="O132" s="1048"/>
      <c r="P132" s="1048"/>
      <c r="Q132" s="1048"/>
      <c r="R132" s="1048"/>
      <c r="S132" s="1048"/>
      <c r="T132" s="1048"/>
    </row>
    <row r="133" spans="1:20">
      <c r="A133" s="1048"/>
      <c r="B133" s="1048"/>
      <c r="C133" s="1048"/>
      <c r="D133" s="1048"/>
      <c r="E133" s="1048"/>
      <c r="F133" s="1048"/>
      <c r="G133" s="1048"/>
      <c r="H133" s="1048"/>
      <c r="I133" s="1048"/>
      <c r="J133" s="1048"/>
      <c r="K133" s="1049"/>
      <c r="L133" s="1050"/>
      <c r="M133" s="1048"/>
      <c r="N133" s="1048"/>
      <c r="O133" s="1048"/>
      <c r="P133" s="1048"/>
      <c r="Q133" s="1048"/>
      <c r="R133" s="1048"/>
      <c r="S133" s="1048"/>
      <c r="T133" s="1048"/>
    </row>
    <row r="134" spans="1:20">
      <c r="A134" s="1048"/>
      <c r="B134" s="1048"/>
      <c r="C134" s="1048"/>
      <c r="D134" s="1048"/>
      <c r="E134" s="1048"/>
      <c r="F134" s="1048"/>
      <c r="G134" s="1048"/>
      <c r="H134" s="1048"/>
      <c r="I134" s="1048"/>
      <c r="J134" s="1048"/>
      <c r="K134" s="1049"/>
      <c r="L134" s="1050"/>
      <c r="M134" s="1048"/>
      <c r="N134" s="1048"/>
      <c r="O134" s="1048"/>
      <c r="P134" s="1048"/>
      <c r="Q134" s="1048"/>
      <c r="R134" s="1048"/>
      <c r="S134" s="1048"/>
      <c r="T134" s="1048"/>
    </row>
    <row r="135" spans="1:20">
      <c r="A135" s="1048"/>
      <c r="B135" s="1048"/>
      <c r="C135" s="1048"/>
      <c r="D135" s="1048"/>
      <c r="E135" s="1048"/>
      <c r="F135" s="1048"/>
      <c r="G135" s="1048"/>
      <c r="H135" s="1048"/>
      <c r="I135" s="1048"/>
      <c r="J135" s="1048"/>
      <c r="K135" s="1049"/>
      <c r="L135" s="1050"/>
      <c r="M135" s="1048"/>
      <c r="N135" s="1048"/>
      <c r="O135" s="1048"/>
      <c r="P135" s="1048"/>
      <c r="Q135" s="1048"/>
      <c r="R135" s="1048"/>
      <c r="S135" s="1048"/>
      <c r="T135" s="1048"/>
    </row>
    <row r="136" spans="1:20">
      <c r="A136" s="1048"/>
      <c r="B136" s="1048"/>
      <c r="C136" s="1048"/>
      <c r="D136" s="1048"/>
      <c r="E136" s="1048"/>
      <c r="F136" s="1048"/>
      <c r="G136" s="1048"/>
      <c r="H136" s="1048"/>
      <c r="I136" s="1048"/>
      <c r="J136" s="1048"/>
      <c r="K136" s="1049"/>
      <c r="L136" s="1050"/>
      <c r="M136" s="1048"/>
      <c r="N136" s="1048"/>
      <c r="O136" s="1048"/>
      <c r="P136" s="1048"/>
      <c r="Q136" s="1048"/>
      <c r="R136" s="1048"/>
      <c r="S136" s="1048"/>
      <c r="T136" s="1048"/>
    </row>
    <row r="137" spans="1:20">
      <c r="A137" s="1048"/>
      <c r="B137" s="1048"/>
      <c r="C137" s="1048"/>
      <c r="D137" s="1048"/>
      <c r="E137" s="1048"/>
      <c r="F137" s="1048"/>
      <c r="G137" s="1048"/>
      <c r="H137" s="1048"/>
      <c r="I137" s="1048"/>
      <c r="J137" s="1048"/>
      <c r="K137" s="1049"/>
      <c r="L137" s="1050"/>
      <c r="M137" s="1048"/>
      <c r="N137" s="1048"/>
      <c r="O137" s="1048"/>
      <c r="P137" s="1048"/>
      <c r="Q137" s="1048"/>
      <c r="R137" s="1048"/>
      <c r="S137" s="1048"/>
      <c r="T137" s="1048"/>
    </row>
    <row r="138" spans="1:20">
      <c r="A138" s="1048"/>
      <c r="B138" s="1048"/>
      <c r="C138" s="1048"/>
      <c r="D138" s="1048"/>
      <c r="E138" s="1048"/>
      <c r="F138" s="1048"/>
      <c r="G138" s="1048"/>
      <c r="H138" s="1048"/>
      <c r="I138" s="1048"/>
      <c r="J138" s="1048"/>
      <c r="K138" s="1049"/>
      <c r="L138" s="1050"/>
      <c r="M138" s="1048"/>
      <c r="N138" s="1048"/>
      <c r="O138" s="1048"/>
      <c r="P138" s="1048"/>
      <c r="Q138" s="1048"/>
      <c r="R138" s="1048"/>
      <c r="S138" s="1048"/>
      <c r="T138" s="1048"/>
    </row>
    <row r="139" spans="1:20">
      <c r="A139" s="1048"/>
      <c r="B139" s="1048"/>
      <c r="C139" s="1048"/>
      <c r="D139" s="1048"/>
      <c r="E139" s="1048"/>
      <c r="F139" s="1048"/>
      <c r="G139" s="1048"/>
      <c r="H139" s="1048"/>
      <c r="I139" s="1048"/>
      <c r="J139" s="1048"/>
      <c r="K139" s="1049"/>
      <c r="L139" s="1050"/>
      <c r="M139" s="1048"/>
      <c r="N139" s="1048"/>
      <c r="O139" s="1048"/>
      <c r="P139" s="1048"/>
      <c r="Q139" s="1048"/>
      <c r="R139" s="1048"/>
      <c r="S139" s="1048"/>
      <c r="T139" s="1048"/>
    </row>
    <row r="140" spans="1:20">
      <c r="A140" s="1048"/>
      <c r="B140" s="1048"/>
      <c r="C140" s="1048"/>
      <c r="D140" s="1048"/>
      <c r="E140" s="1048"/>
      <c r="F140" s="1048"/>
      <c r="G140" s="1048"/>
      <c r="H140" s="1048"/>
      <c r="I140" s="1048"/>
      <c r="J140" s="1048"/>
      <c r="K140" s="1049"/>
      <c r="L140" s="1050"/>
      <c r="M140" s="1048"/>
      <c r="N140" s="1048"/>
      <c r="O140" s="1048"/>
      <c r="P140" s="1048"/>
      <c r="Q140" s="1048"/>
      <c r="R140" s="1048"/>
      <c r="S140" s="1048"/>
      <c r="T140" s="1048"/>
    </row>
    <row r="141" spans="1:20">
      <c r="A141" s="1048"/>
      <c r="B141" s="1048"/>
      <c r="C141" s="1048"/>
      <c r="D141" s="1048"/>
      <c r="E141" s="1048"/>
      <c r="F141" s="1048"/>
      <c r="G141" s="1048"/>
      <c r="H141" s="1048"/>
      <c r="I141" s="1048"/>
      <c r="J141" s="1048"/>
      <c r="K141" s="1049"/>
      <c r="L141" s="1050"/>
      <c r="M141" s="1048"/>
      <c r="N141" s="1048"/>
      <c r="O141" s="1048"/>
      <c r="P141" s="1048"/>
      <c r="Q141" s="1048"/>
      <c r="R141" s="1048"/>
      <c r="S141" s="1048"/>
      <c r="T141" s="1048"/>
    </row>
    <row r="142" spans="1:20">
      <c r="A142" s="1048"/>
      <c r="B142" s="1048"/>
      <c r="C142" s="1048"/>
      <c r="D142" s="1048"/>
      <c r="E142" s="1048"/>
      <c r="F142" s="1048"/>
      <c r="G142" s="1048"/>
      <c r="H142" s="1048"/>
      <c r="I142" s="1048"/>
      <c r="J142" s="1048"/>
      <c r="K142" s="1049"/>
      <c r="L142" s="1050"/>
      <c r="M142" s="1048"/>
      <c r="N142" s="1048"/>
      <c r="O142" s="1048"/>
      <c r="P142" s="1048"/>
      <c r="Q142" s="1048"/>
      <c r="R142" s="1048"/>
      <c r="S142" s="1048"/>
      <c r="T142" s="1048"/>
    </row>
    <row r="143" spans="1:20">
      <c r="A143" s="1048"/>
      <c r="B143" s="1048"/>
      <c r="C143" s="1048"/>
      <c r="D143" s="1048"/>
      <c r="E143" s="1048"/>
      <c r="F143" s="1048"/>
      <c r="G143" s="1048"/>
      <c r="H143" s="1048"/>
      <c r="I143" s="1048"/>
      <c r="J143" s="1048"/>
      <c r="K143" s="1049"/>
      <c r="L143" s="1050"/>
      <c r="M143" s="1048"/>
      <c r="N143" s="1048"/>
      <c r="O143" s="1048"/>
      <c r="P143" s="1048"/>
      <c r="Q143" s="1048"/>
      <c r="R143" s="1048"/>
      <c r="S143" s="1048"/>
      <c r="T143" s="1048"/>
    </row>
    <row r="144" spans="1:20">
      <c r="A144" s="1048"/>
      <c r="B144" s="1048"/>
      <c r="C144" s="1048"/>
      <c r="D144" s="1048"/>
      <c r="E144" s="1048"/>
      <c r="F144" s="1048"/>
      <c r="G144" s="1048"/>
      <c r="H144" s="1048"/>
      <c r="I144" s="1048"/>
      <c r="J144" s="1048"/>
      <c r="K144" s="1049"/>
      <c r="L144" s="1050"/>
      <c r="M144" s="1048"/>
      <c r="N144" s="1048"/>
      <c r="O144" s="1048"/>
      <c r="P144" s="1048"/>
      <c r="Q144" s="1048"/>
      <c r="R144" s="1048"/>
      <c r="S144" s="1048"/>
      <c r="T144" s="1048"/>
    </row>
    <row r="145" spans="1:20">
      <c r="A145" s="1048"/>
      <c r="B145" s="1048"/>
      <c r="C145" s="1048"/>
      <c r="D145" s="1048"/>
      <c r="E145" s="1048"/>
      <c r="F145" s="1048"/>
      <c r="G145" s="1048"/>
      <c r="H145" s="1048"/>
      <c r="I145" s="1048"/>
      <c r="J145" s="1048"/>
      <c r="K145" s="1049"/>
      <c r="L145" s="1050"/>
      <c r="M145" s="1048"/>
      <c r="N145" s="1048"/>
      <c r="O145" s="1048"/>
      <c r="P145" s="1048"/>
      <c r="Q145" s="1048"/>
      <c r="R145" s="1048"/>
      <c r="S145" s="1048"/>
      <c r="T145" s="1048"/>
    </row>
    <row r="146" spans="1:20">
      <c r="A146" s="1048"/>
      <c r="B146" s="1048"/>
      <c r="C146" s="1048"/>
      <c r="D146" s="1048"/>
      <c r="E146" s="1048"/>
      <c r="F146" s="1048"/>
      <c r="G146" s="1048"/>
      <c r="H146" s="1048"/>
      <c r="I146" s="1048"/>
      <c r="J146" s="1048"/>
      <c r="K146" s="1049"/>
      <c r="L146" s="1050"/>
      <c r="M146" s="1048"/>
      <c r="N146" s="1048"/>
      <c r="O146" s="1048"/>
      <c r="P146" s="1048"/>
      <c r="Q146" s="1048"/>
      <c r="R146" s="1048"/>
      <c r="S146" s="1048"/>
      <c r="T146" s="1048"/>
    </row>
    <row r="147" spans="1:20">
      <c r="A147" s="1048"/>
      <c r="B147" s="1048"/>
      <c r="C147" s="1048"/>
      <c r="D147" s="1048"/>
      <c r="E147" s="1048"/>
      <c r="F147" s="1048"/>
      <c r="G147" s="1048"/>
      <c r="H147" s="1048"/>
      <c r="I147" s="1048"/>
      <c r="J147" s="1048"/>
      <c r="K147" s="1049"/>
      <c r="L147" s="1050"/>
      <c r="M147" s="1048"/>
      <c r="N147" s="1048"/>
      <c r="O147" s="1048"/>
      <c r="P147" s="1048"/>
      <c r="Q147" s="1048"/>
      <c r="R147" s="1048"/>
      <c r="S147" s="1048"/>
      <c r="T147" s="1048"/>
    </row>
    <row r="148" spans="1:20">
      <c r="A148" s="1048"/>
      <c r="B148" s="1048"/>
      <c r="C148" s="1048"/>
      <c r="D148" s="1048"/>
      <c r="E148" s="1048"/>
      <c r="F148" s="1048"/>
      <c r="G148" s="1048"/>
      <c r="H148" s="1048"/>
      <c r="I148" s="1048"/>
      <c r="J148" s="1048"/>
      <c r="K148" s="1049"/>
      <c r="L148" s="1050"/>
      <c r="M148" s="1048"/>
      <c r="N148" s="1048"/>
      <c r="O148" s="1048"/>
      <c r="P148" s="1048"/>
      <c r="Q148" s="1048"/>
      <c r="R148" s="1048"/>
      <c r="S148" s="1048"/>
      <c r="T148" s="1048"/>
    </row>
    <row r="149" spans="1:20">
      <c r="A149" s="1048"/>
      <c r="B149" s="1048"/>
      <c r="C149" s="1048"/>
      <c r="D149" s="1048"/>
      <c r="E149" s="1048"/>
      <c r="F149" s="1048"/>
      <c r="G149" s="1048"/>
      <c r="H149" s="1048"/>
      <c r="I149" s="1048"/>
      <c r="J149" s="1048"/>
      <c r="K149" s="1049"/>
      <c r="L149" s="1050"/>
      <c r="M149" s="1048"/>
      <c r="N149" s="1048"/>
      <c r="O149" s="1048"/>
      <c r="P149" s="1048"/>
      <c r="Q149" s="1048"/>
      <c r="R149" s="1048"/>
      <c r="S149" s="1048"/>
      <c r="T149" s="1048"/>
    </row>
    <row r="150" spans="1:20">
      <c r="A150" s="1048"/>
      <c r="B150" s="1048"/>
      <c r="C150" s="1048"/>
      <c r="D150" s="1048"/>
      <c r="E150" s="1048"/>
      <c r="F150" s="1048"/>
      <c r="G150" s="1048"/>
      <c r="H150" s="1048"/>
      <c r="I150" s="1048"/>
      <c r="J150" s="1048"/>
      <c r="K150" s="1049"/>
      <c r="L150" s="1050"/>
      <c r="M150" s="1048"/>
      <c r="N150" s="1048"/>
      <c r="O150" s="1048"/>
      <c r="P150" s="1048"/>
      <c r="Q150" s="1048"/>
      <c r="R150" s="1048"/>
      <c r="S150" s="1048"/>
      <c r="T150" s="1048"/>
    </row>
    <row r="151" spans="1:20">
      <c r="A151" s="1048"/>
      <c r="B151" s="1048"/>
      <c r="C151" s="1048"/>
      <c r="D151" s="1048"/>
      <c r="E151" s="1048"/>
      <c r="F151" s="1048"/>
      <c r="G151" s="1048"/>
      <c r="H151" s="1048"/>
      <c r="I151" s="1048"/>
      <c r="J151" s="1048"/>
      <c r="K151" s="1049"/>
      <c r="L151" s="1050"/>
      <c r="M151" s="1048"/>
      <c r="N151" s="1048"/>
      <c r="O151" s="1048"/>
      <c r="P151" s="1048"/>
      <c r="Q151" s="1048"/>
      <c r="R151" s="1048"/>
      <c r="S151" s="1048"/>
      <c r="T151" s="1048"/>
    </row>
    <row r="152" spans="1:20">
      <c r="A152" s="1048"/>
      <c r="B152" s="1048"/>
      <c r="C152" s="1048"/>
      <c r="D152" s="1048"/>
      <c r="E152" s="1048"/>
      <c r="F152" s="1048"/>
      <c r="G152" s="1048"/>
      <c r="H152" s="1048"/>
      <c r="I152" s="1048"/>
      <c r="J152" s="1048"/>
      <c r="K152" s="1049"/>
      <c r="L152" s="1050"/>
      <c r="M152" s="1048"/>
      <c r="N152" s="1048"/>
      <c r="O152" s="1048"/>
      <c r="P152" s="1048"/>
      <c r="Q152" s="1048"/>
      <c r="R152" s="1048"/>
      <c r="S152" s="1048"/>
      <c r="T152" s="1048"/>
    </row>
    <row r="153" spans="1:20">
      <c r="A153" s="1048"/>
      <c r="B153" s="1048"/>
      <c r="C153" s="1048"/>
      <c r="D153" s="1048"/>
      <c r="E153" s="1048"/>
      <c r="F153" s="1048"/>
      <c r="G153" s="1048"/>
      <c r="H153" s="1048"/>
      <c r="I153" s="1048"/>
      <c r="J153" s="1048"/>
      <c r="K153" s="1049"/>
      <c r="L153" s="1050"/>
      <c r="M153" s="1048"/>
      <c r="N153" s="1048"/>
      <c r="O153" s="1048"/>
      <c r="P153" s="1048"/>
      <c r="Q153" s="1048"/>
      <c r="R153" s="1048"/>
      <c r="S153" s="1048"/>
      <c r="T153" s="1048"/>
    </row>
    <row r="154" spans="1:20">
      <c r="A154" s="1048"/>
      <c r="B154" s="1048"/>
      <c r="C154" s="1048"/>
      <c r="D154" s="1048"/>
      <c r="E154" s="1048"/>
      <c r="F154" s="1048"/>
      <c r="G154" s="1048"/>
      <c r="H154" s="1048"/>
      <c r="I154" s="1048"/>
      <c r="J154" s="1048"/>
      <c r="K154" s="1049"/>
      <c r="L154" s="1050"/>
      <c r="M154" s="1048"/>
      <c r="N154" s="1048"/>
      <c r="O154" s="1048"/>
      <c r="P154" s="1048"/>
      <c r="Q154" s="1048"/>
      <c r="R154" s="1048"/>
      <c r="S154" s="1048"/>
      <c r="T154" s="1048"/>
    </row>
    <row r="155" spans="1:20">
      <c r="A155" s="1048"/>
      <c r="B155" s="1048"/>
      <c r="C155" s="1048"/>
      <c r="D155" s="1048"/>
      <c r="E155" s="1048"/>
      <c r="F155" s="1048"/>
      <c r="G155" s="1048"/>
      <c r="H155" s="1048"/>
      <c r="I155" s="1048"/>
      <c r="J155" s="1048"/>
      <c r="K155" s="1049"/>
      <c r="L155" s="1050"/>
      <c r="M155" s="1048"/>
      <c r="N155" s="1048"/>
      <c r="O155" s="1048"/>
      <c r="P155" s="1048"/>
      <c r="Q155" s="1048"/>
      <c r="R155" s="1048"/>
      <c r="S155" s="1048"/>
      <c r="T155" s="1048"/>
    </row>
    <row r="156" spans="1:20">
      <c r="A156" s="1048"/>
      <c r="B156" s="1048"/>
      <c r="C156" s="1048"/>
      <c r="D156" s="1048"/>
      <c r="E156" s="1048"/>
      <c r="F156" s="1048"/>
      <c r="G156" s="1048"/>
      <c r="H156" s="1048"/>
      <c r="I156" s="1048"/>
      <c r="J156" s="1048"/>
      <c r="K156" s="1049"/>
      <c r="L156" s="1050"/>
      <c r="M156" s="1048"/>
      <c r="N156" s="1048"/>
      <c r="O156" s="1048"/>
      <c r="P156" s="1048"/>
      <c r="Q156" s="1048"/>
      <c r="R156" s="1048"/>
      <c r="S156" s="1048"/>
      <c r="T156" s="1048"/>
    </row>
    <row r="157" spans="1:20">
      <c r="A157" s="1048"/>
      <c r="B157" s="1048"/>
      <c r="C157" s="1048"/>
      <c r="D157" s="1048"/>
      <c r="E157" s="1048"/>
      <c r="F157" s="1048"/>
      <c r="G157" s="1048"/>
      <c r="H157" s="1048"/>
      <c r="I157" s="1048"/>
      <c r="J157" s="1048"/>
      <c r="K157" s="1049"/>
      <c r="L157" s="1050"/>
      <c r="M157" s="1048"/>
      <c r="N157" s="1048"/>
      <c r="O157" s="1048"/>
      <c r="P157" s="1048"/>
      <c r="Q157" s="1048"/>
      <c r="R157" s="1048"/>
      <c r="S157" s="1048"/>
      <c r="T157" s="1048"/>
    </row>
    <row r="158" spans="1:20">
      <c r="A158" s="1048"/>
      <c r="B158" s="1048"/>
      <c r="C158" s="1048"/>
      <c r="D158" s="1048"/>
      <c r="E158" s="1048"/>
      <c r="F158" s="1048"/>
      <c r="G158" s="1048"/>
      <c r="H158" s="1048"/>
      <c r="I158" s="1048"/>
      <c r="J158" s="1048"/>
      <c r="K158" s="1049"/>
      <c r="L158" s="1050"/>
      <c r="M158" s="1048"/>
      <c r="N158" s="1048"/>
      <c r="O158" s="1048"/>
      <c r="P158" s="1048"/>
      <c r="Q158" s="1048"/>
      <c r="R158" s="1048"/>
      <c r="S158" s="1048"/>
      <c r="T158" s="1048"/>
    </row>
    <row r="159" spans="1:20">
      <c r="A159" s="1048"/>
      <c r="B159" s="1048"/>
      <c r="C159" s="1048"/>
      <c r="D159" s="1048"/>
      <c r="E159" s="1048"/>
      <c r="F159" s="1048"/>
      <c r="G159" s="1048"/>
      <c r="H159" s="1048"/>
      <c r="I159" s="1048"/>
      <c r="J159" s="1048"/>
      <c r="K159" s="1049"/>
      <c r="L159" s="1050"/>
      <c r="M159" s="1048"/>
      <c r="N159" s="1048"/>
      <c r="O159" s="1048"/>
      <c r="P159" s="1048"/>
      <c r="Q159" s="1048"/>
      <c r="R159" s="1048"/>
      <c r="S159" s="1048"/>
      <c r="T159" s="1048"/>
    </row>
    <row r="160" spans="1:20">
      <c r="A160" s="1048"/>
      <c r="B160" s="1048"/>
      <c r="C160" s="1048"/>
      <c r="D160" s="1048"/>
      <c r="E160" s="1048"/>
      <c r="F160" s="1048"/>
      <c r="G160" s="1048"/>
      <c r="H160" s="1048"/>
      <c r="I160" s="1048"/>
      <c r="J160" s="1048"/>
      <c r="K160" s="1049"/>
      <c r="L160" s="1050"/>
      <c r="M160" s="1048"/>
      <c r="N160" s="1048"/>
      <c r="O160" s="1048"/>
      <c r="P160" s="1048"/>
      <c r="Q160" s="1048"/>
      <c r="R160" s="1048"/>
      <c r="S160" s="1048"/>
      <c r="T160" s="1048"/>
    </row>
    <row r="161" spans="1:20">
      <c r="A161" s="1048"/>
      <c r="B161" s="1048"/>
      <c r="C161" s="1048"/>
      <c r="D161" s="1048"/>
      <c r="E161" s="1048"/>
      <c r="F161" s="1048"/>
      <c r="G161" s="1048"/>
      <c r="H161" s="1048"/>
      <c r="I161" s="1048"/>
      <c r="J161" s="1048"/>
      <c r="K161" s="1049"/>
      <c r="L161" s="1050"/>
      <c r="M161" s="1048"/>
      <c r="N161" s="1048"/>
      <c r="O161" s="1048"/>
      <c r="P161" s="1048"/>
      <c r="Q161" s="1048"/>
      <c r="R161" s="1048"/>
      <c r="S161" s="1048"/>
      <c r="T161" s="1048"/>
    </row>
    <row r="162" spans="1:20">
      <c r="A162" s="1048"/>
      <c r="B162" s="1048"/>
      <c r="C162" s="1048"/>
      <c r="D162" s="1048"/>
      <c r="E162" s="1048"/>
      <c r="F162" s="1048"/>
      <c r="G162" s="1048"/>
      <c r="H162" s="1048"/>
      <c r="I162" s="1048"/>
      <c r="J162" s="1048"/>
      <c r="K162" s="1049"/>
      <c r="L162" s="1050"/>
      <c r="M162" s="1048"/>
      <c r="N162" s="1048"/>
      <c r="O162" s="1048"/>
      <c r="P162" s="1048"/>
      <c r="Q162" s="1048"/>
      <c r="R162" s="1048"/>
      <c r="S162" s="1048"/>
      <c r="T162" s="1048"/>
    </row>
    <row r="163" spans="1:20">
      <c r="A163" s="1048"/>
      <c r="B163" s="1048"/>
      <c r="C163" s="1048"/>
      <c r="D163" s="1048"/>
      <c r="E163" s="1048"/>
      <c r="F163" s="1048"/>
      <c r="G163" s="1048"/>
      <c r="H163" s="1048"/>
      <c r="I163" s="1048"/>
      <c r="J163" s="1048"/>
      <c r="K163" s="1049"/>
      <c r="L163" s="1050"/>
      <c r="M163" s="1048"/>
      <c r="N163" s="1048"/>
      <c r="O163" s="1048"/>
      <c r="P163" s="1048"/>
      <c r="Q163" s="1048"/>
      <c r="R163" s="1048"/>
      <c r="S163" s="1048"/>
      <c r="T163" s="1048"/>
    </row>
    <row r="164" spans="1:20">
      <c r="A164" s="1048"/>
      <c r="B164" s="1048"/>
      <c r="C164" s="1048"/>
      <c r="D164" s="1048"/>
      <c r="E164" s="1048"/>
      <c r="F164" s="1048"/>
      <c r="G164" s="1048"/>
      <c r="H164" s="1048"/>
      <c r="I164" s="1048"/>
      <c r="J164" s="1048"/>
      <c r="K164" s="1049"/>
      <c r="L164" s="1050"/>
      <c r="M164" s="1048"/>
      <c r="N164" s="1048"/>
      <c r="O164" s="1048"/>
      <c r="P164" s="1048"/>
      <c r="Q164" s="1048"/>
      <c r="R164" s="1048"/>
      <c r="S164" s="1048"/>
      <c r="T164" s="1048"/>
    </row>
    <row r="165" spans="1:20">
      <c r="A165" s="1048"/>
      <c r="B165" s="1048"/>
      <c r="C165" s="1048"/>
      <c r="D165" s="1048"/>
      <c r="E165" s="1048"/>
      <c r="F165" s="1048"/>
      <c r="G165" s="1048"/>
      <c r="H165" s="1048"/>
      <c r="I165" s="1048"/>
      <c r="J165" s="1048"/>
      <c r="K165" s="1049"/>
      <c r="L165" s="1050"/>
      <c r="M165" s="1048"/>
      <c r="N165" s="1048"/>
      <c r="O165" s="1048"/>
      <c r="P165" s="1048"/>
      <c r="Q165" s="1048"/>
      <c r="R165" s="1048"/>
      <c r="S165" s="1048"/>
      <c r="T165" s="1048"/>
    </row>
    <row r="166" spans="1:20">
      <c r="A166" s="1048"/>
      <c r="B166" s="1048"/>
      <c r="C166" s="1048"/>
      <c r="D166" s="1048"/>
      <c r="E166" s="1048"/>
      <c r="F166" s="1048"/>
      <c r="G166" s="1048"/>
      <c r="H166" s="1048"/>
      <c r="I166" s="1048"/>
      <c r="J166" s="1048"/>
      <c r="K166" s="1049"/>
      <c r="L166" s="1050"/>
      <c r="M166" s="1048"/>
      <c r="N166" s="1048"/>
      <c r="O166" s="1048"/>
      <c r="P166" s="1048"/>
      <c r="Q166" s="1048"/>
      <c r="R166" s="1048"/>
      <c r="S166" s="1048"/>
      <c r="T166" s="1048"/>
    </row>
    <row r="167" spans="1:20">
      <c r="A167" s="1048"/>
      <c r="B167" s="1048"/>
      <c r="C167" s="1048"/>
      <c r="D167" s="1048"/>
      <c r="E167" s="1048"/>
      <c r="F167" s="1048"/>
      <c r="G167" s="1048"/>
      <c r="H167" s="1048"/>
      <c r="I167" s="1048"/>
      <c r="J167" s="1048"/>
      <c r="K167" s="1049"/>
      <c r="L167" s="1050"/>
      <c r="M167" s="1048"/>
      <c r="N167" s="1048"/>
      <c r="O167" s="1048"/>
      <c r="P167" s="1048"/>
      <c r="Q167" s="1048"/>
      <c r="R167" s="1048"/>
      <c r="S167" s="1048"/>
      <c r="T167" s="1048"/>
    </row>
    <row r="168" spans="1:20">
      <c r="A168" s="1048"/>
      <c r="B168" s="1048"/>
      <c r="C168" s="1048"/>
      <c r="D168" s="1048"/>
      <c r="E168" s="1048"/>
      <c r="F168" s="1048"/>
      <c r="G168" s="1048"/>
      <c r="H168" s="1048"/>
      <c r="I168" s="1048"/>
      <c r="J168" s="1048"/>
      <c r="K168" s="1049"/>
      <c r="L168" s="1050"/>
      <c r="M168" s="1048"/>
      <c r="N168" s="1048"/>
      <c r="O168" s="1048"/>
      <c r="P168" s="1048"/>
      <c r="Q168" s="1048"/>
      <c r="R168" s="1048"/>
      <c r="S168" s="1048"/>
      <c r="T168" s="1048"/>
    </row>
    <row r="169" spans="1:20">
      <c r="A169" s="1048"/>
      <c r="B169" s="1048"/>
      <c r="C169" s="1048"/>
      <c r="D169" s="1048"/>
      <c r="E169" s="1048"/>
      <c r="F169" s="1048"/>
      <c r="G169" s="1048"/>
      <c r="H169" s="1048"/>
      <c r="I169" s="1048"/>
      <c r="J169" s="1048"/>
      <c r="K169" s="1049"/>
      <c r="L169" s="1050"/>
      <c r="M169" s="1048"/>
      <c r="N169" s="1048"/>
      <c r="O169" s="1048"/>
      <c r="P169" s="1048"/>
      <c r="Q169" s="1048"/>
      <c r="R169" s="1048"/>
      <c r="S169" s="1048"/>
      <c r="T169" s="1048"/>
    </row>
    <row r="170" spans="1:20">
      <c r="A170" s="1048"/>
      <c r="B170" s="1048"/>
      <c r="C170" s="1048"/>
      <c r="D170" s="1048"/>
      <c r="E170" s="1048"/>
      <c r="F170" s="1048"/>
      <c r="G170" s="1048"/>
      <c r="H170" s="1048"/>
      <c r="I170" s="1048"/>
      <c r="J170" s="1048"/>
      <c r="K170" s="1049"/>
      <c r="L170" s="1050"/>
      <c r="M170" s="1048"/>
      <c r="N170" s="1048"/>
      <c r="O170" s="1048"/>
      <c r="P170" s="1048"/>
      <c r="Q170" s="1048"/>
      <c r="R170" s="1048"/>
      <c r="S170" s="1048"/>
      <c r="T170" s="1048"/>
    </row>
    <row r="171" spans="1:20">
      <c r="A171" s="1048"/>
      <c r="B171" s="1048"/>
      <c r="C171" s="1048"/>
      <c r="D171" s="1048"/>
      <c r="E171" s="1048"/>
      <c r="F171" s="1048"/>
      <c r="G171" s="1048"/>
      <c r="H171" s="1048"/>
      <c r="I171" s="1048"/>
      <c r="J171" s="1048"/>
      <c r="K171" s="1049"/>
      <c r="L171" s="1050"/>
      <c r="M171" s="1048"/>
      <c r="N171" s="1048"/>
      <c r="O171" s="1048"/>
      <c r="P171" s="1048"/>
      <c r="Q171" s="1048"/>
      <c r="R171" s="1048"/>
      <c r="S171" s="1048"/>
      <c r="T171" s="1048"/>
    </row>
    <row r="172" spans="1:20">
      <c r="A172" s="1048"/>
      <c r="B172" s="1048"/>
      <c r="C172" s="1048"/>
      <c r="D172" s="1048"/>
      <c r="E172" s="1048"/>
      <c r="F172" s="1048"/>
      <c r="G172" s="1048"/>
      <c r="H172" s="1048"/>
      <c r="I172" s="1048"/>
      <c r="J172" s="1048"/>
      <c r="K172" s="1049"/>
      <c r="L172" s="1050"/>
      <c r="M172" s="1048"/>
      <c r="N172" s="1048"/>
      <c r="O172" s="1048"/>
      <c r="P172" s="1048"/>
      <c r="Q172" s="1048"/>
      <c r="R172" s="1048"/>
      <c r="S172" s="1048"/>
      <c r="T172" s="1048"/>
    </row>
    <row r="173" spans="1:20">
      <c r="A173" s="1048"/>
      <c r="B173" s="1048"/>
      <c r="C173" s="1048"/>
      <c r="D173" s="1048"/>
      <c r="E173" s="1048"/>
      <c r="F173" s="1048"/>
      <c r="G173" s="1048"/>
      <c r="H173" s="1048"/>
      <c r="I173" s="1048"/>
      <c r="J173" s="1048"/>
      <c r="K173" s="1049"/>
      <c r="L173" s="1050"/>
      <c r="M173" s="1048"/>
      <c r="N173" s="1048"/>
      <c r="O173" s="1048"/>
      <c r="P173" s="1048"/>
      <c r="Q173" s="1048"/>
      <c r="R173" s="1048"/>
      <c r="S173" s="1048"/>
      <c r="T173" s="1048"/>
    </row>
    <row r="174" spans="1:20">
      <c r="A174" s="1048"/>
      <c r="B174" s="1048"/>
      <c r="C174" s="1048"/>
      <c r="D174" s="1048"/>
      <c r="E174" s="1048"/>
      <c r="F174" s="1048"/>
      <c r="G174" s="1048"/>
      <c r="H174" s="1048"/>
      <c r="I174" s="1048"/>
      <c r="J174" s="1048"/>
      <c r="K174" s="1049"/>
      <c r="L174" s="1050"/>
      <c r="M174" s="1048"/>
      <c r="N174" s="1048"/>
      <c r="O174" s="1048"/>
      <c r="P174" s="1048"/>
      <c r="Q174" s="1048"/>
      <c r="R174" s="1048"/>
      <c r="S174" s="1048"/>
      <c r="T174" s="1048"/>
    </row>
    <row r="175" spans="1:20">
      <c r="A175" s="1048"/>
      <c r="B175" s="1048"/>
      <c r="C175" s="1048"/>
      <c r="D175" s="1048"/>
      <c r="E175" s="1048"/>
      <c r="F175" s="1048"/>
      <c r="G175" s="1048"/>
      <c r="H175" s="1048"/>
      <c r="I175" s="1048"/>
      <c r="J175" s="1048"/>
      <c r="K175" s="1049"/>
      <c r="L175" s="1050"/>
      <c r="M175" s="1048"/>
      <c r="N175" s="1048"/>
      <c r="O175" s="1048"/>
      <c r="P175" s="1048"/>
      <c r="Q175" s="1048"/>
      <c r="R175" s="1048"/>
      <c r="S175" s="1048"/>
      <c r="T175" s="1048"/>
    </row>
    <row r="176" spans="1:20">
      <c r="A176" s="1048"/>
      <c r="B176" s="1048"/>
      <c r="C176" s="1048"/>
      <c r="D176" s="1048"/>
      <c r="E176" s="1048"/>
      <c r="F176" s="1048"/>
      <c r="G176" s="1048"/>
      <c r="H176" s="1048"/>
      <c r="I176" s="1048"/>
      <c r="J176" s="1048"/>
      <c r="K176" s="1049"/>
      <c r="L176" s="1050"/>
      <c r="M176" s="1048"/>
      <c r="N176" s="1048"/>
      <c r="O176" s="1048"/>
      <c r="P176" s="1048"/>
      <c r="Q176" s="1048"/>
      <c r="R176" s="1048"/>
      <c r="S176" s="1048"/>
      <c r="T176" s="1048"/>
    </row>
    <row r="177" spans="1:20">
      <c r="A177" s="1048"/>
      <c r="B177" s="1048"/>
      <c r="C177" s="1048"/>
      <c r="D177" s="1048"/>
      <c r="E177" s="1048"/>
      <c r="F177" s="1048"/>
      <c r="G177" s="1048"/>
      <c r="H177" s="1048"/>
      <c r="I177" s="1048"/>
      <c r="J177" s="1048"/>
      <c r="K177" s="1049"/>
      <c r="L177" s="1050"/>
      <c r="M177" s="1048"/>
      <c r="N177" s="1048"/>
      <c r="O177" s="1048"/>
      <c r="P177" s="1048"/>
      <c r="Q177" s="1048"/>
      <c r="R177" s="1048"/>
      <c r="S177" s="1048"/>
      <c r="T177" s="1048"/>
    </row>
    <row r="178" spans="1:20">
      <c r="A178" s="1048"/>
      <c r="B178" s="1048"/>
      <c r="C178" s="1048"/>
      <c r="D178" s="1048"/>
      <c r="E178" s="1048"/>
      <c r="F178" s="1048"/>
      <c r="G178" s="1048"/>
      <c r="H178" s="1048"/>
      <c r="I178" s="1048"/>
      <c r="J178" s="1048"/>
      <c r="K178" s="1049"/>
      <c r="L178" s="1050"/>
      <c r="M178" s="1048"/>
      <c r="N178" s="1048"/>
      <c r="O178" s="1048"/>
      <c r="P178" s="1048"/>
      <c r="Q178" s="1048"/>
      <c r="R178" s="1048"/>
      <c r="S178" s="1048"/>
      <c r="T178" s="1048"/>
    </row>
    <row r="179" spans="1:20">
      <c r="A179" s="1048"/>
      <c r="B179" s="1048"/>
      <c r="C179" s="1048"/>
      <c r="D179" s="1048"/>
      <c r="E179" s="1048"/>
      <c r="F179" s="1048"/>
      <c r="G179" s="1048"/>
      <c r="H179" s="1048"/>
      <c r="I179" s="1048"/>
      <c r="J179" s="1048"/>
      <c r="K179" s="1049"/>
      <c r="L179" s="1050"/>
      <c r="M179" s="1048"/>
      <c r="N179" s="1048"/>
      <c r="O179" s="1048"/>
      <c r="P179" s="1048"/>
      <c r="Q179" s="1048"/>
      <c r="R179" s="1048"/>
      <c r="S179" s="1048"/>
      <c r="T179" s="1048"/>
    </row>
    <row r="180" spans="1:20">
      <c r="A180" s="1048"/>
      <c r="B180" s="1048"/>
      <c r="C180" s="1048"/>
      <c r="D180" s="1048"/>
      <c r="E180" s="1048"/>
      <c r="F180" s="1048"/>
      <c r="G180" s="1048"/>
      <c r="H180" s="1048"/>
      <c r="I180" s="1048"/>
      <c r="J180" s="1048"/>
      <c r="K180" s="1049"/>
      <c r="L180" s="1050"/>
      <c r="M180" s="1048"/>
      <c r="N180" s="1048"/>
      <c r="O180" s="1048"/>
      <c r="P180" s="1048"/>
      <c r="Q180" s="1048"/>
      <c r="R180" s="1048"/>
      <c r="S180" s="1048"/>
      <c r="T180" s="1048"/>
    </row>
    <row r="181" spans="1:20">
      <c r="A181" s="1048"/>
      <c r="B181" s="1048"/>
      <c r="C181" s="1048"/>
      <c r="D181" s="1048"/>
      <c r="E181" s="1048"/>
      <c r="F181" s="1048"/>
      <c r="G181" s="1048"/>
      <c r="H181" s="1048"/>
      <c r="I181" s="1048"/>
      <c r="J181" s="1048"/>
      <c r="K181" s="1049"/>
      <c r="L181" s="1050"/>
      <c r="M181" s="1048"/>
      <c r="N181" s="1048"/>
      <c r="O181" s="1048"/>
      <c r="P181" s="1048"/>
      <c r="Q181" s="1048"/>
      <c r="R181" s="1048"/>
      <c r="S181" s="1048"/>
      <c r="T181" s="1048"/>
    </row>
    <row r="182" spans="1:20">
      <c r="A182" s="1048"/>
      <c r="B182" s="1048"/>
      <c r="C182" s="1048"/>
      <c r="D182" s="1048"/>
      <c r="E182" s="1048"/>
      <c r="F182" s="1048"/>
      <c r="G182" s="1048"/>
      <c r="H182" s="1048"/>
      <c r="I182" s="1048"/>
      <c r="J182" s="1048"/>
      <c r="K182" s="1049"/>
      <c r="L182" s="1050"/>
      <c r="M182" s="1048"/>
      <c r="N182" s="1048"/>
      <c r="O182" s="1048"/>
      <c r="P182" s="1048"/>
      <c r="Q182" s="1048"/>
      <c r="R182" s="1048"/>
      <c r="S182" s="1048"/>
      <c r="T182" s="1048"/>
    </row>
    <row r="183" spans="1:20">
      <c r="A183" s="1048"/>
      <c r="B183" s="1048"/>
      <c r="C183" s="1048"/>
      <c r="D183" s="1048"/>
      <c r="E183" s="1048"/>
      <c r="F183" s="1048"/>
      <c r="G183" s="1048"/>
      <c r="H183" s="1048"/>
      <c r="I183" s="1048"/>
      <c r="J183" s="1048"/>
      <c r="K183" s="1049"/>
      <c r="L183" s="1050"/>
      <c r="M183" s="1048"/>
      <c r="N183" s="1048"/>
      <c r="O183" s="1048"/>
      <c r="P183" s="1048"/>
      <c r="Q183" s="1048"/>
      <c r="R183" s="1048"/>
      <c r="S183" s="1048"/>
      <c r="T183" s="1048"/>
    </row>
    <row r="184" spans="1:20">
      <c r="A184" s="1048"/>
      <c r="B184" s="1048"/>
      <c r="C184" s="1048"/>
      <c r="D184" s="1048"/>
      <c r="E184" s="1048"/>
      <c r="F184" s="1048"/>
      <c r="G184" s="1048"/>
      <c r="H184" s="1048"/>
      <c r="I184" s="1048"/>
      <c r="J184" s="1048"/>
      <c r="K184" s="1049"/>
      <c r="L184" s="1050"/>
      <c r="M184" s="1048"/>
      <c r="N184" s="1048"/>
      <c r="O184" s="1048"/>
      <c r="P184" s="1048"/>
      <c r="Q184" s="1048"/>
      <c r="R184" s="1048"/>
      <c r="S184" s="1048"/>
      <c r="T184" s="1048"/>
    </row>
    <row r="185" spans="1:20">
      <c r="A185" s="1048"/>
      <c r="B185" s="1048"/>
      <c r="C185" s="1048"/>
      <c r="D185" s="1048"/>
      <c r="E185" s="1048"/>
      <c r="F185" s="1048"/>
      <c r="G185" s="1048"/>
      <c r="H185" s="1048"/>
      <c r="I185" s="1048"/>
      <c r="J185" s="1048"/>
      <c r="K185" s="1049"/>
      <c r="L185" s="1050"/>
      <c r="M185" s="1048"/>
      <c r="N185" s="1048"/>
      <c r="O185" s="1048"/>
      <c r="P185" s="1048"/>
      <c r="Q185" s="1048"/>
      <c r="R185" s="1048"/>
      <c r="S185" s="1048"/>
      <c r="T185" s="1048"/>
    </row>
    <row r="186" spans="1:20">
      <c r="A186" s="1048"/>
      <c r="B186" s="1048"/>
      <c r="C186" s="1048"/>
      <c r="D186" s="1048"/>
      <c r="E186" s="1048"/>
      <c r="F186" s="1048"/>
      <c r="G186" s="1048"/>
      <c r="H186" s="1048"/>
      <c r="I186" s="1048"/>
      <c r="J186" s="1048"/>
      <c r="K186" s="1049"/>
      <c r="L186" s="1050"/>
      <c r="M186" s="1048"/>
      <c r="N186" s="1048"/>
      <c r="O186" s="1048"/>
      <c r="P186" s="1048"/>
      <c r="Q186" s="1048"/>
      <c r="R186" s="1048"/>
      <c r="S186" s="1048"/>
      <c r="T186" s="1048"/>
    </row>
    <row r="187" spans="1:20">
      <c r="A187" s="1048"/>
      <c r="B187" s="1048"/>
      <c r="C187" s="1048"/>
      <c r="D187" s="1048"/>
      <c r="E187" s="1048"/>
      <c r="F187" s="1048"/>
      <c r="G187" s="1048"/>
      <c r="H187" s="1048"/>
      <c r="I187" s="1048"/>
      <c r="J187" s="1048"/>
      <c r="K187" s="1049"/>
      <c r="L187" s="1050"/>
      <c r="M187" s="1048"/>
      <c r="N187" s="1048"/>
      <c r="O187" s="1048"/>
      <c r="P187" s="1048"/>
      <c r="Q187" s="1048"/>
      <c r="R187" s="1048"/>
      <c r="S187" s="1048"/>
      <c r="T187" s="1048"/>
    </row>
    <row r="188" spans="1:20">
      <c r="A188" s="1048"/>
      <c r="B188" s="1048"/>
      <c r="C188" s="1048"/>
      <c r="D188" s="1048"/>
      <c r="E188" s="1048"/>
      <c r="F188" s="1048"/>
      <c r="G188" s="1048"/>
      <c r="H188" s="1048"/>
      <c r="I188" s="1048"/>
      <c r="J188" s="1048"/>
      <c r="K188" s="1049"/>
      <c r="L188" s="1050"/>
      <c r="M188" s="1048"/>
      <c r="N188" s="1048"/>
      <c r="O188" s="1048"/>
      <c r="P188" s="1048"/>
      <c r="Q188" s="1048"/>
      <c r="R188" s="1048"/>
      <c r="S188" s="1048"/>
      <c r="T188" s="1048"/>
    </row>
    <row r="189" spans="1:20">
      <c r="A189" s="1048"/>
      <c r="B189" s="1048"/>
      <c r="C189" s="1048"/>
      <c r="D189" s="1048"/>
      <c r="E189" s="1048"/>
      <c r="F189" s="1048"/>
      <c r="G189" s="1048"/>
      <c r="H189" s="1048"/>
      <c r="I189" s="1048"/>
      <c r="J189" s="1048"/>
      <c r="K189" s="1049"/>
      <c r="L189" s="1050"/>
      <c r="M189" s="1048"/>
      <c r="N189" s="1048"/>
      <c r="O189" s="1048"/>
      <c r="P189" s="1048"/>
      <c r="Q189" s="1048"/>
      <c r="R189" s="1048"/>
      <c r="S189" s="1048"/>
      <c r="T189" s="1048"/>
    </row>
    <row r="190" spans="1:20">
      <c r="A190" s="1048"/>
      <c r="B190" s="1048"/>
      <c r="C190" s="1048"/>
      <c r="D190" s="1048"/>
      <c r="E190" s="1048"/>
      <c r="F190" s="1048"/>
      <c r="G190" s="1048"/>
      <c r="H190" s="1048"/>
      <c r="I190" s="1048"/>
      <c r="J190" s="1048"/>
      <c r="K190" s="1049"/>
      <c r="L190" s="1050"/>
      <c r="M190" s="1048"/>
      <c r="N190" s="1048"/>
      <c r="O190" s="1048"/>
      <c r="P190" s="1048"/>
      <c r="Q190" s="1048"/>
      <c r="R190" s="1048"/>
      <c r="S190" s="1048"/>
      <c r="T190" s="1048"/>
    </row>
    <row r="191" spans="1:20">
      <c r="A191" s="1048"/>
      <c r="B191" s="1048"/>
      <c r="C191" s="1048"/>
      <c r="D191" s="1048"/>
      <c r="E191" s="1048"/>
      <c r="F191" s="1048"/>
      <c r="G191" s="1048"/>
      <c r="H191" s="1048"/>
      <c r="I191" s="1048"/>
      <c r="J191" s="1048"/>
      <c r="K191" s="1049"/>
      <c r="L191" s="1050"/>
      <c r="M191" s="1048"/>
      <c r="N191" s="1048"/>
      <c r="O191" s="1048"/>
      <c r="P191" s="1048"/>
      <c r="Q191" s="1048"/>
      <c r="R191" s="1048"/>
      <c r="S191" s="1048"/>
      <c r="T191" s="1048"/>
    </row>
    <row r="192" spans="1:20">
      <c r="A192" s="1048"/>
      <c r="B192" s="1048"/>
      <c r="C192" s="1048"/>
      <c r="D192" s="1048"/>
      <c r="E192" s="1048"/>
      <c r="F192" s="1048"/>
      <c r="G192" s="1048"/>
      <c r="H192" s="1048"/>
      <c r="I192" s="1048"/>
      <c r="J192" s="1048"/>
      <c r="K192" s="1049"/>
      <c r="L192" s="1050"/>
      <c r="M192" s="1048"/>
      <c r="N192" s="1048"/>
      <c r="O192" s="1048"/>
      <c r="P192" s="1048"/>
      <c r="Q192" s="1048"/>
      <c r="R192" s="1048"/>
      <c r="S192" s="1048"/>
      <c r="T192" s="1048"/>
    </row>
    <row r="193" spans="1:20">
      <c r="A193" s="1048"/>
      <c r="B193" s="1048"/>
      <c r="C193" s="1048"/>
      <c r="D193" s="1048"/>
      <c r="E193" s="1048"/>
      <c r="F193" s="1048"/>
      <c r="G193" s="1048"/>
      <c r="H193" s="1048"/>
      <c r="I193" s="1048"/>
      <c r="J193" s="1048"/>
      <c r="K193" s="1049"/>
      <c r="L193" s="1050"/>
      <c r="M193" s="1048"/>
      <c r="N193" s="1048"/>
      <c r="O193" s="1048"/>
      <c r="P193" s="1048"/>
      <c r="Q193" s="1048"/>
      <c r="R193" s="1048"/>
      <c r="S193" s="1048"/>
      <c r="T193" s="1048"/>
    </row>
    <row r="194" spans="1:20">
      <c r="A194" s="1048"/>
      <c r="B194" s="1048"/>
      <c r="C194" s="1048"/>
      <c r="D194" s="1048"/>
      <c r="E194" s="1048"/>
      <c r="F194" s="1048"/>
      <c r="G194" s="1048"/>
      <c r="H194" s="1048"/>
      <c r="I194" s="1048"/>
      <c r="J194" s="1048"/>
      <c r="K194" s="1049"/>
      <c r="L194" s="1050"/>
      <c r="M194" s="1048"/>
      <c r="N194" s="1048"/>
      <c r="O194" s="1048"/>
      <c r="P194" s="1048"/>
      <c r="Q194" s="1048"/>
      <c r="R194" s="1048"/>
      <c r="S194" s="1048"/>
      <c r="T194" s="1048"/>
    </row>
    <row r="195" spans="1:20">
      <c r="A195" s="1048"/>
      <c r="B195" s="1048"/>
      <c r="C195" s="1048"/>
      <c r="D195" s="1048"/>
      <c r="E195" s="1048"/>
      <c r="F195" s="1048"/>
      <c r="G195" s="1048"/>
      <c r="H195" s="1048"/>
      <c r="I195" s="1048"/>
      <c r="J195" s="1048"/>
      <c r="K195" s="1049"/>
      <c r="L195" s="1050"/>
      <c r="M195" s="1048"/>
      <c r="N195" s="1048"/>
      <c r="O195" s="1048"/>
      <c r="P195" s="1048"/>
      <c r="Q195" s="1048"/>
      <c r="R195" s="1048"/>
      <c r="S195" s="1048"/>
      <c r="T195" s="1048"/>
    </row>
    <row r="196" spans="1:20">
      <c r="A196" s="1048"/>
      <c r="B196" s="1048"/>
      <c r="C196" s="1048"/>
      <c r="D196" s="1048"/>
      <c r="E196" s="1048"/>
      <c r="F196" s="1048"/>
      <c r="G196" s="1048"/>
      <c r="H196" s="1048"/>
      <c r="I196" s="1048"/>
      <c r="J196" s="1048"/>
      <c r="K196" s="1049"/>
      <c r="L196" s="1050"/>
      <c r="M196" s="1048"/>
      <c r="N196" s="1048"/>
      <c r="O196" s="1048"/>
      <c r="P196" s="1048"/>
      <c r="Q196" s="1048"/>
      <c r="R196" s="1048"/>
      <c r="S196" s="1048"/>
      <c r="T196" s="1048"/>
    </row>
    <row r="197" spans="1:20">
      <c r="A197" s="1048"/>
      <c r="B197" s="1048"/>
      <c r="C197" s="1048"/>
      <c r="D197" s="1048"/>
      <c r="E197" s="1048"/>
      <c r="F197" s="1048"/>
      <c r="G197" s="1048"/>
      <c r="H197" s="1048"/>
      <c r="I197" s="1048"/>
      <c r="J197" s="1048"/>
      <c r="K197" s="1049"/>
      <c r="L197" s="1050"/>
      <c r="M197" s="1048"/>
      <c r="N197" s="1048"/>
      <c r="O197" s="1048"/>
      <c r="P197" s="1048"/>
      <c r="Q197" s="1048"/>
      <c r="R197" s="1048"/>
      <c r="S197" s="1048"/>
      <c r="T197" s="1048"/>
    </row>
    <row r="198" spans="1:20">
      <c r="A198" s="1048"/>
      <c r="B198" s="1048"/>
      <c r="C198" s="1048"/>
      <c r="D198" s="1048"/>
      <c r="E198" s="1048"/>
      <c r="F198" s="1048"/>
      <c r="G198" s="1048"/>
      <c r="H198" s="1048"/>
      <c r="I198" s="1048"/>
      <c r="J198" s="1048"/>
      <c r="K198" s="1049"/>
      <c r="L198" s="1050"/>
      <c r="M198" s="1048"/>
      <c r="N198" s="1048"/>
      <c r="O198" s="1048"/>
      <c r="P198" s="1048"/>
      <c r="Q198" s="1048"/>
      <c r="R198" s="1048"/>
      <c r="S198" s="1048"/>
      <c r="T198" s="1048"/>
    </row>
    <row r="199" spans="1:20">
      <c r="A199" s="1048"/>
      <c r="B199" s="1048"/>
      <c r="C199" s="1048"/>
      <c r="D199" s="1048"/>
      <c r="E199" s="1048"/>
      <c r="F199" s="1048"/>
      <c r="G199" s="1048"/>
      <c r="H199" s="1048"/>
      <c r="I199" s="1048"/>
      <c r="J199" s="1048"/>
      <c r="K199" s="1049"/>
      <c r="L199" s="1050"/>
      <c r="M199" s="1048"/>
      <c r="N199" s="1048"/>
      <c r="O199" s="1048"/>
      <c r="P199" s="1048"/>
      <c r="Q199" s="1048"/>
      <c r="R199" s="1048"/>
      <c r="S199" s="1048"/>
      <c r="T199" s="1048"/>
    </row>
    <row r="200" spans="1:20">
      <c r="A200" s="1048"/>
      <c r="B200" s="1048"/>
      <c r="C200" s="1048"/>
      <c r="D200" s="1048"/>
      <c r="E200" s="1048"/>
      <c r="F200" s="1048"/>
      <c r="G200" s="1048"/>
      <c r="H200" s="1048"/>
      <c r="I200" s="1048"/>
      <c r="J200" s="1048"/>
      <c r="K200" s="1049"/>
      <c r="L200" s="1050"/>
      <c r="M200" s="1048"/>
      <c r="N200" s="1048"/>
      <c r="O200" s="1048"/>
      <c r="P200" s="1048"/>
      <c r="Q200" s="1048"/>
      <c r="R200" s="1048"/>
      <c r="S200" s="1048"/>
      <c r="T200" s="1048"/>
    </row>
    <row r="201" spans="1:20">
      <c r="A201" s="1048"/>
      <c r="B201" s="1048"/>
      <c r="C201" s="1048"/>
      <c r="D201" s="1048"/>
      <c r="E201" s="1048"/>
      <c r="F201" s="1048"/>
      <c r="G201" s="1048"/>
      <c r="H201" s="1048"/>
      <c r="I201" s="1048"/>
      <c r="J201" s="1048"/>
      <c r="K201" s="1049"/>
      <c r="L201" s="1050"/>
      <c r="M201" s="1048"/>
      <c r="N201" s="1048"/>
      <c r="O201" s="1048"/>
      <c r="P201" s="1048"/>
      <c r="Q201" s="1048"/>
      <c r="R201" s="1048"/>
      <c r="S201" s="1048"/>
      <c r="T201" s="1048"/>
    </row>
    <row r="202" spans="1:20">
      <c r="A202" s="1048"/>
      <c r="B202" s="1048"/>
      <c r="C202" s="1048"/>
      <c r="D202" s="1048"/>
      <c r="E202" s="1048"/>
      <c r="F202" s="1048"/>
      <c r="G202" s="1048"/>
      <c r="H202" s="1048"/>
      <c r="I202" s="1048"/>
      <c r="J202" s="1048"/>
      <c r="K202" s="1049"/>
      <c r="L202" s="1050"/>
      <c r="M202" s="1048"/>
      <c r="N202" s="1048"/>
      <c r="O202" s="1048"/>
      <c r="P202" s="1048"/>
      <c r="Q202" s="1048"/>
      <c r="R202" s="1048"/>
      <c r="S202" s="1048"/>
      <c r="T202" s="1048"/>
    </row>
    <row r="203" spans="1:20">
      <c r="A203" s="1048"/>
      <c r="B203" s="1048"/>
      <c r="C203" s="1048"/>
      <c r="D203" s="1048"/>
      <c r="E203" s="1048"/>
      <c r="F203" s="1048"/>
      <c r="G203" s="1048"/>
      <c r="H203" s="1048"/>
      <c r="I203" s="1048"/>
      <c r="J203" s="1048"/>
      <c r="K203" s="1049"/>
      <c r="L203" s="1050"/>
      <c r="M203" s="1048"/>
      <c r="N203" s="1048"/>
      <c r="O203" s="1048"/>
      <c r="P203" s="1048"/>
      <c r="Q203" s="1048"/>
      <c r="R203" s="1048"/>
      <c r="S203" s="1048"/>
      <c r="T203" s="1048"/>
    </row>
    <row r="204" spans="1:20">
      <c r="A204" s="1048"/>
      <c r="B204" s="1048"/>
      <c r="C204" s="1048"/>
      <c r="D204" s="1048"/>
      <c r="E204" s="1048"/>
      <c r="F204" s="1048"/>
      <c r="G204" s="1048"/>
      <c r="H204" s="1048"/>
      <c r="I204" s="1048"/>
      <c r="J204" s="1048"/>
      <c r="K204" s="1049"/>
      <c r="L204" s="1050"/>
      <c r="M204" s="1048"/>
      <c r="N204" s="1048"/>
      <c r="O204" s="1048"/>
      <c r="P204" s="1048"/>
      <c r="Q204" s="1048"/>
      <c r="R204" s="1048"/>
      <c r="S204" s="1048"/>
      <c r="T204" s="1048"/>
    </row>
    <row r="205" spans="1:20">
      <c r="A205" s="1048"/>
      <c r="B205" s="1048"/>
      <c r="C205" s="1048"/>
      <c r="D205" s="1048"/>
      <c r="E205" s="1048"/>
      <c r="F205" s="1048"/>
      <c r="G205" s="1048"/>
      <c r="H205" s="1048"/>
      <c r="I205" s="1048"/>
      <c r="J205" s="1048"/>
      <c r="K205" s="1049"/>
      <c r="L205" s="1050"/>
      <c r="M205" s="1048"/>
      <c r="N205" s="1048"/>
      <c r="O205" s="1048"/>
      <c r="P205" s="1048"/>
      <c r="Q205" s="1048"/>
      <c r="R205" s="1048"/>
      <c r="S205" s="1048"/>
      <c r="T205" s="1048"/>
    </row>
    <row r="206" spans="1:20">
      <c r="A206" s="1048"/>
      <c r="B206" s="1048"/>
      <c r="C206" s="1048"/>
      <c r="D206" s="1048"/>
      <c r="E206" s="1048"/>
      <c r="F206" s="1048"/>
      <c r="G206" s="1048"/>
      <c r="H206" s="1048"/>
      <c r="I206" s="1048"/>
      <c r="J206" s="1048"/>
      <c r="K206" s="1049"/>
      <c r="L206" s="1050"/>
      <c r="M206" s="1048"/>
      <c r="N206" s="1048"/>
      <c r="O206" s="1048"/>
      <c r="P206" s="1048"/>
      <c r="Q206" s="1048"/>
      <c r="R206" s="1048"/>
      <c r="S206" s="1048"/>
      <c r="T206" s="1048"/>
    </row>
    <row r="207" spans="1:20">
      <c r="A207" s="1048"/>
      <c r="B207" s="1048"/>
      <c r="C207" s="1048"/>
      <c r="D207" s="1048"/>
      <c r="E207" s="1048"/>
      <c r="F207" s="1048"/>
      <c r="G207" s="1048"/>
      <c r="H207" s="1048"/>
      <c r="I207" s="1048"/>
      <c r="J207" s="1048"/>
      <c r="K207" s="1049"/>
      <c r="L207" s="1050"/>
      <c r="M207" s="1048"/>
      <c r="N207" s="1048"/>
      <c r="O207" s="1048"/>
      <c r="P207" s="1048"/>
      <c r="Q207" s="1048"/>
      <c r="R207" s="1048"/>
      <c r="S207" s="1048"/>
      <c r="T207" s="1048"/>
    </row>
    <row r="208" spans="1:20">
      <c r="A208" s="1048"/>
      <c r="B208" s="1048"/>
      <c r="C208" s="1048"/>
      <c r="D208" s="1048"/>
      <c r="E208" s="1048"/>
      <c r="F208" s="1048"/>
      <c r="G208" s="1048"/>
      <c r="H208" s="1048"/>
      <c r="I208" s="1048"/>
      <c r="J208" s="1048"/>
      <c r="K208" s="1049"/>
      <c r="L208" s="1050"/>
      <c r="M208" s="1048"/>
      <c r="N208" s="1048"/>
      <c r="O208" s="1048"/>
      <c r="P208" s="1048"/>
      <c r="Q208" s="1048"/>
      <c r="R208" s="1048"/>
      <c r="S208" s="1048"/>
      <c r="T208" s="1048"/>
    </row>
    <row r="209" spans="1:20">
      <c r="A209" s="1048"/>
      <c r="B209" s="1048"/>
      <c r="C209" s="1048"/>
      <c r="D209" s="1048"/>
      <c r="E209" s="1048"/>
      <c r="F209" s="1048"/>
      <c r="G209" s="1048"/>
      <c r="H209" s="1048"/>
      <c r="I209" s="1048"/>
      <c r="J209" s="1048"/>
      <c r="K209" s="1049"/>
      <c r="L209" s="1050"/>
      <c r="M209" s="1048"/>
      <c r="N209" s="1048"/>
      <c r="O209" s="1048"/>
      <c r="P209" s="1048"/>
      <c r="Q209" s="1048"/>
      <c r="R209" s="1048"/>
      <c r="S209" s="1048"/>
      <c r="T209" s="1048"/>
    </row>
    <row r="210" spans="1:20">
      <c r="A210" s="1048"/>
      <c r="B210" s="1048"/>
      <c r="C210" s="1048"/>
      <c r="D210" s="1048"/>
      <c r="E210" s="1048"/>
      <c r="F210" s="1048"/>
      <c r="G210" s="1048"/>
      <c r="H210" s="1048"/>
      <c r="I210" s="1048"/>
      <c r="J210" s="1048"/>
      <c r="K210" s="1049"/>
      <c r="L210" s="1050"/>
      <c r="M210" s="1048"/>
      <c r="N210" s="1048"/>
      <c r="O210" s="1048"/>
      <c r="P210" s="1048"/>
      <c r="Q210" s="1048"/>
      <c r="R210" s="1048"/>
      <c r="S210" s="1048"/>
      <c r="T210" s="1048"/>
    </row>
    <row r="211" spans="1:20">
      <c r="A211" s="1048"/>
      <c r="B211" s="1048"/>
      <c r="C211" s="1048"/>
      <c r="D211" s="1048"/>
      <c r="E211" s="1048"/>
      <c r="F211" s="1048"/>
      <c r="G211" s="1048"/>
      <c r="H211" s="1048"/>
      <c r="I211" s="1048"/>
      <c r="J211" s="1048"/>
      <c r="K211" s="1049"/>
      <c r="L211" s="1050"/>
      <c r="M211" s="1048"/>
      <c r="N211" s="1048"/>
      <c r="O211" s="1048"/>
      <c r="P211" s="1048"/>
      <c r="Q211" s="1048"/>
      <c r="R211" s="1048"/>
      <c r="S211" s="1048"/>
      <c r="T211" s="1048"/>
    </row>
    <row r="212" spans="1:20">
      <c r="A212" s="1048"/>
      <c r="B212" s="1048"/>
      <c r="C212" s="1048"/>
      <c r="D212" s="1048"/>
      <c r="E212" s="1048"/>
      <c r="F212" s="1048"/>
      <c r="G212" s="1048"/>
      <c r="H212" s="1048"/>
      <c r="I212" s="1048"/>
      <c r="J212" s="1048"/>
      <c r="K212" s="1049"/>
      <c r="L212" s="1050"/>
      <c r="M212" s="1048"/>
      <c r="N212" s="1048"/>
      <c r="O212" s="1048"/>
      <c r="P212" s="1048"/>
      <c r="Q212" s="1048"/>
      <c r="R212" s="1048"/>
      <c r="S212" s="1048"/>
      <c r="T212" s="1048"/>
    </row>
    <row r="213" spans="1:20">
      <c r="A213" s="1048"/>
      <c r="B213" s="1048"/>
      <c r="C213" s="1048"/>
      <c r="D213" s="1048"/>
      <c r="E213" s="1048"/>
      <c r="F213" s="1048"/>
      <c r="G213" s="1048"/>
      <c r="H213" s="1048"/>
      <c r="I213" s="1048"/>
      <c r="J213" s="1048"/>
      <c r="K213" s="1049"/>
      <c r="L213" s="1050"/>
      <c r="M213" s="1048"/>
      <c r="N213" s="1048"/>
      <c r="O213" s="1048"/>
      <c r="P213" s="1048"/>
      <c r="Q213" s="1048"/>
      <c r="R213" s="1048"/>
      <c r="S213" s="1048"/>
      <c r="T213" s="1048"/>
    </row>
    <row r="214" spans="1:20">
      <c r="A214" s="1048"/>
      <c r="B214" s="1048"/>
      <c r="C214" s="1048"/>
      <c r="D214" s="1048"/>
      <c r="E214" s="1048"/>
      <c r="F214" s="1048"/>
      <c r="G214" s="1048"/>
      <c r="H214" s="1048"/>
      <c r="I214" s="1048"/>
      <c r="J214" s="1048"/>
      <c r="K214" s="1049"/>
      <c r="L214" s="1050"/>
      <c r="M214" s="1048"/>
      <c r="N214" s="1048"/>
      <c r="O214" s="1048"/>
      <c r="P214" s="1048"/>
      <c r="Q214" s="1048"/>
      <c r="R214" s="1048"/>
      <c r="S214" s="1048"/>
      <c r="T214" s="1048"/>
    </row>
    <row r="215" spans="1:20">
      <c r="A215" s="1048"/>
      <c r="B215" s="1048"/>
      <c r="C215" s="1048"/>
      <c r="D215" s="1048"/>
      <c r="E215" s="1048"/>
      <c r="F215" s="1048"/>
      <c r="G215" s="1048"/>
      <c r="H215" s="1048"/>
      <c r="I215" s="1048"/>
      <c r="J215" s="1048"/>
      <c r="K215" s="1049"/>
      <c r="L215" s="1050"/>
      <c r="M215" s="1048"/>
      <c r="N215" s="1048"/>
      <c r="O215" s="1048"/>
      <c r="P215" s="1048"/>
      <c r="Q215" s="1048"/>
      <c r="R215" s="1048"/>
      <c r="S215" s="1048"/>
      <c r="T215" s="1048"/>
    </row>
    <row r="216" spans="1:20">
      <c r="A216" s="1048"/>
      <c r="B216" s="1048"/>
      <c r="C216" s="1048"/>
      <c r="D216" s="1048"/>
      <c r="E216" s="1048"/>
      <c r="F216" s="1048"/>
      <c r="G216" s="1048"/>
      <c r="H216" s="1048"/>
      <c r="I216" s="1048"/>
      <c r="J216" s="1048"/>
      <c r="K216" s="1049"/>
      <c r="L216" s="1050"/>
      <c r="M216" s="1048"/>
      <c r="N216" s="1048"/>
      <c r="O216" s="1048"/>
      <c r="P216" s="1048"/>
      <c r="Q216" s="1048"/>
      <c r="R216" s="1048"/>
      <c r="S216" s="1048"/>
      <c r="T216" s="1048"/>
    </row>
    <row r="217" spans="1:20">
      <c r="A217" s="1048"/>
      <c r="B217" s="1048"/>
      <c r="C217" s="1048"/>
      <c r="D217" s="1048"/>
      <c r="E217" s="1048"/>
      <c r="F217" s="1048"/>
      <c r="G217" s="1048"/>
      <c r="H217" s="1048"/>
      <c r="I217" s="1048"/>
      <c r="J217" s="1048"/>
      <c r="K217" s="1049"/>
      <c r="L217" s="1050"/>
      <c r="M217" s="1048"/>
      <c r="N217" s="1048"/>
      <c r="O217" s="1048"/>
      <c r="P217" s="1048"/>
      <c r="Q217" s="1048"/>
      <c r="R217" s="1048"/>
      <c r="S217" s="1048"/>
      <c r="T217" s="1048"/>
    </row>
    <row r="218" spans="1:20">
      <c r="A218" s="1048"/>
      <c r="B218" s="1048"/>
      <c r="C218" s="1048"/>
      <c r="D218" s="1048"/>
      <c r="E218" s="1048"/>
      <c r="F218" s="1048"/>
      <c r="G218" s="1048"/>
      <c r="H218" s="1048"/>
      <c r="I218" s="1048"/>
      <c r="J218" s="1048"/>
      <c r="K218" s="1049"/>
      <c r="L218" s="1050"/>
      <c r="M218" s="1048"/>
      <c r="N218" s="1048"/>
      <c r="O218" s="1048"/>
      <c r="P218" s="1048"/>
      <c r="Q218" s="1048"/>
      <c r="R218" s="1048"/>
      <c r="S218" s="1048"/>
      <c r="T218" s="1048"/>
    </row>
    <row r="219" spans="1:20">
      <c r="A219" s="1048"/>
      <c r="B219" s="1048"/>
      <c r="C219" s="1048"/>
      <c r="D219" s="1048"/>
      <c r="E219" s="1048"/>
      <c r="F219" s="1048"/>
      <c r="G219" s="1048"/>
      <c r="H219" s="1048"/>
      <c r="I219" s="1048"/>
      <c r="J219" s="1048"/>
      <c r="K219" s="1049"/>
      <c r="L219" s="1050"/>
      <c r="M219" s="1048"/>
      <c r="N219" s="1048"/>
      <c r="O219" s="1048"/>
      <c r="P219" s="1048"/>
      <c r="Q219" s="1048"/>
      <c r="R219" s="1048"/>
      <c r="S219" s="1048"/>
      <c r="T219" s="1048"/>
    </row>
    <row r="220" spans="1:20">
      <c r="A220" s="1048"/>
      <c r="B220" s="1048"/>
      <c r="C220" s="1048"/>
      <c r="D220" s="1048"/>
      <c r="E220" s="1048"/>
      <c r="F220" s="1048"/>
      <c r="G220" s="1048"/>
      <c r="H220" s="1048"/>
      <c r="I220" s="1048"/>
      <c r="J220" s="1048"/>
      <c r="K220" s="1049"/>
      <c r="L220" s="1050"/>
      <c r="M220" s="1048"/>
      <c r="N220" s="1048"/>
      <c r="O220" s="1048"/>
      <c r="P220" s="1048"/>
      <c r="Q220" s="1048"/>
      <c r="R220" s="1048"/>
      <c r="S220" s="1048"/>
      <c r="T220" s="1048"/>
    </row>
    <row r="221" spans="1:20">
      <c r="A221" s="1048"/>
      <c r="B221" s="1048"/>
      <c r="C221" s="1048"/>
      <c r="D221" s="1048"/>
      <c r="E221" s="1048"/>
      <c r="F221" s="1048"/>
      <c r="G221" s="1048"/>
      <c r="H221" s="1048"/>
      <c r="I221" s="1048"/>
      <c r="J221" s="1048"/>
      <c r="K221" s="1049"/>
      <c r="L221" s="1050"/>
      <c r="M221" s="1048"/>
      <c r="N221" s="1048"/>
      <c r="O221" s="1048"/>
      <c r="P221" s="1048"/>
      <c r="Q221" s="1048"/>
      <c r="R221" s="1048"/>
      <c r="S221" s="1048"/>
      <c r="T221" s="1048"/>
    </row>
    <row r="222" spans="1:20">
      <c r="A222" s="1048"/>
      <c r="B222" s="1048"/>
      <c r="C222" s="1048"/>
      <c r="D222" s="1048"/>
      <c r="E222" s="1048"/>
      <c r="F222" s="1048"/>
      <c r="G222" s="1048"/>
      <c r="H222" s="1048"/>
      <c r="I222" s="1048"/>
      <c r="J222" s="1048"/>
      <c r="K222" s="1049"/>
      <c r="L222" s="1050"/>
      <c r="M222" s="1048"/>
      <c r="N222" s="1048"/>
      <c r="O222" s="1048"/>
      <c r="P222" s="1048"/>
      <c r="Q222" s="1048"/>
      <c r="R222" s="1048"/>
      <c r="S222" s="1048"/>
      <c r="T222" s="1048"/>
    </row>
    <row r="223" spans="1:20">
      <c r="A223" s="1048"/>
      <c r="B223" s="1048"/>
      <c r="C223" s="1048"/>
      <c r="D223" s="1048"/>
      <c r="E223" s="1048"/>
      <c r="F223" s="1048"/>
      <c r="G223" s="1048"/>
      <c r="H223" s="1048"/>
      <c r="I223" s="1048"/>
      <c r="J223" s="1048"/>
      <c r="K223" s="1049"/>
      <c r="L223" s="1050"/>
      <c r="M223" s="1048"/>
      <c r="N223" s="1048"/>
      <c r="O223" s="1048"/>
      <c r="P223" s="1048"/>
      <c r="Q223" s="1048"/>
      <c r="R223" s="1048"/>
      <c r="S223" s="1048"/>
      <c r="T223" s="1048"/>
    </row>
    <row r="224" spans="1:20">
      <c r="A224" s="1048"/>
      <c r="B224" s="1048"/>
      <c r="C224" s="1048"/>
      <c r="D224" s="1048"/>
      <c r="E224" s="1048"/>
      <c r="F224" s="1048"/>
      <c r="G224" s="1048"/>
      <c r="H224" s="1048"/>
      <c r="I224" s="1048"/>
      <c r="J224" s="1048"/>
      <c r="K224" s="1049"/>
      <c r="L224" s="1050"/>
      <c r="M224" s="1048"/>
      <c r="N224" s="1048"/>
      <c r="O224" s="1048"/>
      <c r="P224" s="1048"/>
      <c r="Q224" s="1048"/>
      <c r="R224" s="1048"/>
      <c r="S224" s="1048"/>
      <c r="T224" s="1048"/>
    </row>
    <row r="225" spans="1:20">
      <c r="A225" s="1048"/>
      <c r="B225" s="1048"/>
      <c r="C225" s="1048"/>
      <c r="D225" s="1048"/>
      <c r="E225" s="1048"/>
      <c r="F225" s="1048"/>
      <c r="G225" s="1048"/>
      <c r="H225" s="1048"/>
      <c r="I225" s="1048"/>
      <c r="J225" s="1048"/>
      <c r="K225" s="1049"/>
      <c r="L225" s="1050"/>
      <c r="M225" s="1048"/>
      <c r="N225" s="1048"/>
      <c r="O225" s="1048"/>
      <c r="P225" s="1048"/>
      <c r="Q225" s="1048"/>
      <c r="R225" s="1048"/>
      <c r="S225" s="1048"/>
      <c r="T225" s="1048"/>
    </row>
    <row r="226" spans="1:20">
      <c r="A226" s="1048"/>
      <c r="B226" s="1048"/>
      <c r="C226" s="1048"/>
      <c r="D226" s="1048"/>
      <c r="E226" s="1048"/>
      <c r="F226" s="1048"/>
      <c r="G226" s="1048"/>
      <c r="H226" s="1048"/>
      <c r="I226" s="1048"/>
      <c r="J226" s="1048"/>
      <c r="K226" s="1049"/>
      <c r="L226" s="1050"/>
      <c r="M226" s="1048"/>
      <c r="N226" s="1048"/>
      <c r="O226" s="1048"/>
      <c r="P226" s="1048"/>
      <c r="Q226" s="1048"/>
      <c r="R226" s="1048"/>
      <c r="S226" s="1048"/>
      <c r="T226" s="1048"/>
    </row>
    <row r="227" spans="1:20">
      <c r="A227" s="1048"/>
      <c r="B227" s="1048"/>
      <c r="C227" s="1048"/>
      <c r="D227" s="1048"/>
      <c r="E227" s="1048"/>
      <c r="F227" s="1048"/>
      <c r="G227" s="1048"/>
      <c r="H227" s="1048"/>
      <c r="I227" s="1048"/>
      <c r="J227" s="1048"/>
      <c r="K227" s="1049"/>
      <c r="L227" s="1050"/>
      <c r="M227" s="1048"/>
      <c r="N227" s="1048"/>
      <c r="O227" s="1048"/>
      <c r="P227" s="1048"/>
      <c r="Q227" s="1048"/>
      <c r="R227" s="1048"/>
      <c r="S227" s="1048"/>
      <c r="T227" s="1048"/>
    </row>
    <row r="228" spans="1:20">
      <c r="A228" s="1048"/>
      <c r="B228" s="1048"/>
      <c r="C228" s="1048"/>
      <c r="D228" s="1048"/>
      <c r="E228" s="1048"/>
      <c r="F228" s="1048"/>
      <c r="G228" s="1048"/>
      <c r="H228" s="1048"/>
      <c r="I228" s="1048"/>
      <c r="J228" s="1048"/>
      <c r="K228" s="1049"/>
      <c r="L228" s="1050"/>
      <c r="M228" s="1048"/>
      <c r="N228" s="1048"/>
      <c r="O228" s="1048"/>
      <c r="P228" s="1048"/>
      <c r="Q228" s="1048"/>
      <c r="R228" s="1048"/>
      <c r="S228" s="1048"/>
      <c r="T228" s="1048"/>
    </row>
    <row r="229" spans="1:20">
      <c r="A229" s="1048"/>
      <c r="B229" s="1048"/>
      <c r="C229" s="1048"/>
      <c r="D229" s="1048"/>
      <c r="E229" s="1048"/>
      <c r="F229" s="1048"/>
      <c r="G229" s="1048"/>
      <c r="H229" s="1048"/>
      <c r="I229" s="1048"/>
      <c r="J229" s="1048"/>
      <c r="K229" s="1049"/>
      <c r="L229" s="1050"/>
      <c r="M229" s="1048"/>
      <c r="N229" s="1048"/>
      <c r="O229" s="1048"/>
      <c r="P229" s="1048"/>
      <c r="Q229" s="1048"/>
      <c r="R229" s="1048"/>
      <c r="S229" s="1048"/>
      <c r="T229" s="1048"/>
    </row>
    <row r="230" spans="1:20">
      <c r="A230" s="1048"/>
      <c r="B230" s="1048"/>
      <c r="C230" s="1048"/>
      <c r="D230" s="1048"/>
      <c r="E230" s="1048"/>
      <c r="F230" s="1048"/>
      <c r="G230" s="1048"/>
      <c r="H230" s="1048"/>
      <c r="I230" s="1048"/>
      <c r="J230" s="1048"/>
      <c r="K230" s="1049"/>
      <c r="L230" s="1050"/>
      <c r="M230" s="1048"/>
      <c r="N230" s="1048"/>
      <c r="O230" s="1048"/>
      <c r="P230" s="1048"/>
      <c r="Q230" s="1048"/>
      <c r="R230" s="1048"/>
      <c r="S230" s="1048"/>
      <c r="T230" s="1048"/>
    </row>
    <row r="231" spans="1:20">
      <c r="A231" s="1048"/>
      <c r="B231" s="1048"/>
      <c r="C231" s="1048"/>
      <c r="D231" s="1048"/>
      <c r="E231" s="1048"/>
      <c r="F231" s="1048"/>
      <c r="G231" s="1048"/>
      <c r="H231" s="1048"/>
      <c r="I231" s="1048"/>
      <c r="J231" s="1048"/>
      <c r="K231" s="1049"/>
      <c r="L231" s="1050"/>
      <c r="M231" s="1048"/>
      <c r="N231" s="1048"/>
      <c r="O231" s="1048"/>
      <c r="P231" s="1048"/>
      <c r="Q231" s="1048"/>
      <c r="R231" s="1048"/>
      <c r="S231" s="1048"/>
      <c r="T231" s="1048"/>
    </row>
    <row r="232" spans="1:20">
      <c r="A232" s="1048"/>
      <c r="B232" s="1048"/>
      <c r="C232" s="1048"/>
      <c r="D232" s="1048"/>
      <c r="E232" s="1048"/>
      <c r="F232" s="1048"/>
      <c r="G232" s="1048"/>
      <c r="H232" s="1048"/>
      <c r="I232" s="1048"/>
      <c r="J232" s="1048"/>
      <c r="K232" s="1049"/>
      <c r="L232" s="1050"/>
      <c r="M232" s="1048"/>
      <c r="N232" s="1048"/>
      <c r="O232" s="1048"/>
      <c r="P232" s="1048"/>
      <c r="Q232" s="1048"/>
      <c r="R232" s="1048"/>
      <c r="S232" s="1048"/>
      <c r="T232" s="1048"/>
    </row>
    <row r="233" spans="1:20">
      <c r="A233" s="1048"/>
      <c r="B233" s="1048"/>
      <c r="C233" s="1048"/>
      <c r="D233" s="1048"/>
      <c r="E233" s="1048"/>
      <c r="F233" s="1048"/>
      <c r="G233" s="1048"/>
      <c r="H233" s="1048"/>
      <c r="I233" s="1048"/>
      <c r="J233" s="1048"/>
      <c r="K233" s="1049"/>
      <c r="L233" s="1050"/>
      <c r="M233" s="1048"/>
      <c r="N233" s="1048"/>
      <c r="O233" s="1048"/>
      <c r="P233" s="1048"/>
      <c r="Q233" s="1048"/>
      <c r="R233" s="1048"/>
      <c r="S233" s="1048"/>
      <c r="T233" s="1048"/>
    </row>
    <row r="234" spans="1:20">
      <c r="A234" s="1048"/>
      <c r="B234" s="1048"/>
      <c r="C234" s="1048"/>
      <c r="D234" s="1048"/>
      <c r="E234" s="1048"/>
      <c r="F234" s="1048"/>
      <c r="G234" s="1048"/>
      <c r="H234" s="1048"/>
      <c r="I234" s="1048"/>
      <c r="J234" s="1048"/>
      <c r="K234" s="1049"/>
      <c r="L234" s="1050"/>
      <c r="M234" s="1048"/>
      <c r="N234" s="1048"/>
      <c r="O234" s="1048"/>
      <c r="P234" s="1048"/>
      <c r="Q234" s="1048"/>
      <c r="R234" s="1048"/>
      <c r="S234" s="1048"/>
      <c r="T234" s="1048"/>
    </row>
    <row r="235" spans="1:20">
      <c r="A235" s="1048"/>
      <c r="B235" s="1048"/>
      <c r="C235" s="1048"/>
      <c r="D235" s="1048"/>
      <c r="E235" s="1048"/>
      <c r="F235" s="1048"/>
      <c r="G235" s="1048"/>
      <c r="H235" s="1048"/>
      <c r="I235" s="1048"/>
      <c r="J235" s="1048"/>
      <c r="K235" s="1049"/>
      <c r="L235" s="1050"/>
      <c r="M235" s="1048"/>
      <c r="N235" s="1048"/>
      <c r="O235" s="1048"/>
      <c r="P235" s="1048"/>
      <c r="Q235" s="1048"/>
      <c r="R235" s="1048"/>
      <c r="S235" s="1048"/>
      <c r="T235" s="1048"/>
    </row>
    <row r="236" spans="1:20">
      <c r="A236" s="1048"/>
      <c r="B236" s="1048"/>
      <c r="C236" s="1048"/>
      <c r="D236" s="1048"/>
      <c r="E236" s="1048"/>
      <c r="F236" s="1048"/>
      <c r="G236" s="1048"/>
      <c r="H236" s="1048"/>
      <c r="I236" s="1048"/>
      <c r="J236" s="1048"/>
      <c r="K236" s="1049"/>
      <c r="L236" s="1050"/>
      <c r="M236" s="1048"/>
      <c r="N236" s="1048"/>
      <c r="O236" s="1048"/>
      <c r="P236" s="1048"/>
      <c r="Q236" s="1048"/>
      <c r="R236" s="1048"/>
      <c r="S236" s="1048"/>
      <c r="T236" s="1048"/>
    </row>
    <row r="237" spans="1:20">
      <c r="A237" s="1048"/>
      <c r="B237" s="1048"/>
      <c r="C237" s="1048"/>
      <c r="D237" s="1048"/>
      <c r="E237" s="1048"/>
      <c r="F237" s="1048"/>
      <c r="G237" s="1048"/>
      <c r="H237" s="1048"/>
      <c r="I237" s="1048"/>
      <c r="J237" s="1048"/>
      <c r="K237" s="1049"/>
      <c r="L237" s="1050"/>
      <c r="M237" s="1048"/>
      <c r="N237" s="1048"/>
      <c r="O237" s="1048"/>
      <c r="P237" s="1048"/>
      <c r="Q237" s="1048"/>
      <c r="R237" s="1048"/>
      <c r="S237" s="1048"/>
      <c r="T237" s="1048"/>
    </row>
    <row r="238" spans="1:20">
      <c r="A238" s="1048"/>
      <c r="B238" s="1048"/>
      <c r="C238" s="1048"/>
      <c r="D238" s="1048"/>
      <c r="E238" s="1048"/>
      <c r="F238" s="1048"/>
      <c r="G238" s="1048"/>
      <c r="H238" s="1048"/>
      <c r="I238" s="1048"/>
      <c r="J238" s="1048"/>
      <c r="K238" s="1049"/>
      <c r="L238" s="1050"/>
      <c r="M238" s="1048"/>
      <c r="N238" s="1048"/>
      <c r="O238" s="1048"/>
      <c r="P238" s="1048"/>
      <c r="Q238" s="1048"/>
      <c r="R238" s="1048"/>
      <c r="S238" s="1048"/>
      <c r="T238" s="1048"/>
    </row>
    <row r="239" spans="1:20">
      <c r="A239" s="1048"/>
      <c r="B239" s="1048"/>
      <c r="C239" s="1048"/>
      <c r="D239" s="1048"/>
      <c r="E239" s="1048"/>
      <c r="F239" s="1048"/>
      <c r="G239" s="1048"/>
      <c r="H239" s="1048"/>
      <c r="I239" s="1048"/>
      <c r="J239" s="1048"/>
      <c r="K239" s="1049"/>
      <c r="L239" s="1050"/>
      <c r="M239" s="1048"/>
      <c r="N239" s="1048"/>
      <c r="O239" s="1048"/>
      <c r="P239" s="1048"/>
      <c r="Q239" s="1048"/>
      <c r="R239" s="1048"/>
      <c r="S239" s="1048"/>
      <c r="T239" s="1048"/>
    </row>
    <row r="240" spans="1:20">
      <c r="A240" s="1048"/>
      <c r="B240" s="1048"/>
      <c r="C240" s="1048"/>
      <c r="D240" s="1048"/>
      <c r="E240" s="1048"/>
      <c r="F240" s="1048"/>
      <c r="G240" s="1048"/>
      <c r="H240" s="1048"/>
      <c r="I240" s="1048"/>
      <c r="J240" s="1048"/>
      <c r="K240" s="1049"/>
      <c r="L240" s="1050"/>
      <c r="M240" s="1048"/>
      <c r="N240" s="1048"/>
      <c r="O240" s="1048"/>
      <c r="P240" s="1048"/>
      <c r="Q240" s="1048"/>
      <c r="R240" s="1048"/>
      <c r="S240" s="1048"/>
      <c r="T240" s="1048"/>
    </row>
    <row r="241" spans="1:20">
      <c r="A241" s="1048"/>
      <c r="B241" s="1048"/>
      <c r="C241" s="1048"/>
      <c r="D241" s="1048"/>
      <c r="E241" s="1048"/>
      <c r="F241" s="1048"/>
      <c r="G241" s="1048"/>
      <c r="H241" s="1048"/>
      <c r="I241" s="1048"/>
      <c r="J241" s="1048"/>
      <c r="K241" s="1049"/>
      <c r="L241" s="1050"/>
      <c r="M241" s="1048"/>
      <c r="N241" s="1048"/>
      <c r="O241" s="1048"/>
      <c r="P241" s="1048"/>
      <c r="Q241" s="1048"/>
      <c r="R241" s="1048"/>
      <c r="S241" s="1048"/>
      <c r="T241" s="1048"/>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2323</v>
      </c>
      <c r="B1" s="355"/>
      <c r="C1" s="356" t="s">
        <v>2324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1906</v>
      </c>
      <c r="B2" s="627" t="e">
        <f>F65</f>
        <v>#DIV/0!</v>
      </c>
      <c r="C2" s="1019"/>
      <c r="D2" s="1019"/>
      <c r="E2" s="1020"/>
      <c r="F2" s="1021"/>
      <c r="G2" s="1020"/>
      <c r="H2" s="1020"/>
      <c r="I2" s="1020"/>
      <c r="J2" s="1020"/>
      <c r="K2" s="1022"/>
      <c r="L2" s="2913"/>
      <c r="M2" s="2914"/>
      <c r="N2" s="2914"/>
      <c r="O2" s="2914"/>
      <c r="P2" s="708"/>
      <c r="Q2" s="708"/>
      <c r="R2" s="708"/>
      <c r="S2" s="708"/>
      <c r="T2" s="708"/>
      <c r="U2" s="708"/>
      <c r="V2" s="708"/>
      <c r="W2" s="708"/>
      <c r="X2" s="708"/>
      <c r="Y2" s="708"/>
      <c r="Z2" s="708"/>
      <c r="AA2" s="708"/>
      <c r="AB2" s="708"/>
      <c r="AC2" s="709"/>
      <c r="AD2" s="357"/>
    </row>
    <row r="3" spans="1:30" s="358" customFormat="1" ht="28.5" customHeight="1" thickBot="1">
      <c r="A3" s="209" t="s">
        <v>1908</v>
      </c>
      <c r="B3" s="566" t="e">
        <f>ROUND(IF(D3="",B2*10000/'数据-汇总表'!E3,B2*10000/D3),0)</f>
        <v>#DIV/0!</v>
      </c>
      <c r="C3" s="209" t="s">
        <v>2325</v>
      </c>
      <c r="D3" s="1308"/>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30" ht="15">
      <c r="A4" s="361" t="s">
        <v>2224</v>
      </c>
      <c r="B4" s="362"/>
      <c r="C4" s="3468" t="s">
        <v>2225</v>
      </c>
      <c r="D4" s="3469"/>
      <c r="E4" s="3470" t="s">
        <v>2226</v>
      </c>
      <c r="F4" s="3471"/>
      <c r="G4" s="3468" t="s">
        <v>2227</v>
      </c>
      <c r="H4" s="3469"/>
      <c r="I4" s="3468" t="s">
        <v>2228</v>
      </c>
      <c r="J4" s="3469"/>
      <c r="K4" s="567" t="s">
        <v>2229</v>
      </c>
      <c r="L4" s="2894"/>
      <c r="M4" s="2895"/>
      <c r="N4" s="2895"/>
      <c r="O4" s="2895"/>
      <c r="P4" s="3472" t="s">
        <v>2230</v>
      </c>
      <c r="Q4" s="3473"/>
      <c r="R4" s="3455" t="s">
        <v>2226</v>
      </c>
      <c r="S4" s="3456"/>
      <c r="T4" s="3455" t="s">
        <v>2227</v>
      </c>
      <c r="U4" s="3456"/>
      <c r="V4" s="3480" t="s">
        <v>2228</v>
      </c>
      <c r="W4" s="3480"/>
      <c r="X4" s="1490"/>
      <c r="Y4" s="3455" t="s">
        <v>2230</v>
      </c>
      <c r="Z4" s="3456"/>
      <c r="AA4" s="3450" t="s">
        <v>2226</v>
      </c>
      <c r="AB4" s="3451" t="s">
        <v>2227</v>
      </c>
      <c r="AC4" s="3450" t="s">
        <v>2228</v>
      </c>
    </row>
    <row r="5" spans="1:30" ht="15">
      <c r="A5" s="364"/>
      <c r="B5" s="365"/>
      <c r="C5" s="3461" t="s">
        <v>2121</v>
      </c>
      <c r="D5" s="3462"/>
      <c r="E5" s="3459" t="s">
        <v>2122</v>
      </c>
      <c r="F5" s="3460"/>
      <c r="G5" s="3461" t="s">
        <v>2123</v>
      </c>
      <c r="H5" s="3462"/>
      <c r="I5" s="3461" t="s">
        <v>2124</v>
      </c>
      <c r="J5" s="3462"/>
      <c r="K5" s="567"/>
      <c r="L5" s="2894"/>
      <c r="M5" s="2895"/>
      <c r="N5" s="2895"/>
      <c r="O5" s="2895"/>
      <c r="P5" s="3474"/>
      <c r="Q5" s="3475"/>
      <c r="R5" s="3457"/>
      <c r="S5" s="3458"/>
      <c r="T5" s="3457"/>
      <c r="U5" s="3458"/>
      <c r="V5" s="3480"/>
      <c r="W5" s="3480"/>
      <c r="X5" s="1490"/>
      <c r="Y5" s="3457"/>
      <c r="Z5" s="3458"/>
      <c r="AA5" s="3451"/>
      <c r="AB5" s="3451"/>
      <c r="AC5" s="3451"/>
    </row>
    <row r="6" spans="1:30" ht="15.75" thickBot="1">
      <c r="A6" s="366"/>
      <c r="B6" s="367"/>
      <c r="C6" s="3463" t="s">
        <v>2125</v>
      </c>
      <c r="D6" s="3464"/>
      <c r="E6" s="3465" t="s">
        <v>2125</v>
      </c>
      <c r="F6" s="3466"/>
      <c r="G6" s="3463" t="s">
        <v>2125</v>
      </c>
      <c r="H6" s="3464"/>
      <c r="I6" s="3463" t="s">
        <v>2125</v>
      </c>
      <c r="J6" s="3464"/>
      <c r="K6" s="567" t="s">
        <v>2126</v>
      </c>
      <c r="L6" s="2894"/>
      <c r="M6" s="2895"/>
      <c r="N6" s="2895"/>
      <c r="O6" s="2895"/>
      <c r="P6" s="3476"/>
      <c r="Q6" s="3477"/>
      <c r="R6" s="3457"/>
      <c r="S6" s="3458"/>
      <c r="T6" s="3478"/>
      <c r="U6" s="3479"/>
      <c r="V6" s="3480"/>
      <c r="W6" s="3480"/>
      <c r="X6" s="1490"/>
      <c r="Y6" s="3478"/>
      <c r="Z6" s="3479"/>
      <c r="AA6" s="3452"/>
      <c r="AB6" s="3452"/>
      <c r="AC6" s="3452"/>
    </row>
    <row r="7" spans="1:30" s="113" customFormat="1" ht="15.75" thickBot="1">
      <c r="A7" s="368" t="s">
        <v>2127</v>
      </c>
      <c r="B7" s="369"/>
      <c r="C7" s="370">
        <f>'数据-取费表'!B2</f>
        <v>44869</v>
      </c>
      <c r="D7" s="371">
        <v>100</v>
      </c>
      <c r="E7" s="372"/>
      <c r="F7" s="373">
        <f>SUMIF(69:69,YEAR(E7)&amp;"-"&amp;INT((MONTH(E7)+2)/3),70:70)</f>
        <v>0</v>
      </c>
      <c r="G7" s="2111"/>
      <c r="H7" s="371">
        <f>SUMIF(69:69,YEAR(G7)&amp;"-"&amp;INT((MONTH(G7)+2)/3),70:70)</f>
        <v>0</v>
      </c>
      <c r="I7" s="2111"/>
      <c r="J7" s="371">
        <f>SUMIF(69:69,YEAR(I7)&amp;"-"&amp;INT((MONTH(I7)+2)/3),70:70)</f>
        <v>0</v>
      </c>
      <c r="K7" s="568"/>
      <c r="L7" s="2896"/>
      <c r="M7" s="2897"/>
      <c r="N7" s="2897"/>
      <c r="O7" s="2897"/>
      <c r="P7" s="3453" t="s">
        <v>2128</v>
      </c>
      <c r="Q7" s="3481"/>
      <c r="R7" s="710" t="s">
        <v>17</v>
      </c>
      <c r="S7" s="711">
        <f t="shared" ref="S7:S15" si="0">F7</f>
        <v>0</v>
      </c>
      <c r="T7" s="710" t="s">
        <v>17</v>
      </c>
      <c r="U7" s="711">
        <f t="shared" ref="U7:U15" si="1">H7</f>
        <v>0</v>
      </c>
      <c r="V7" s="710" t="s">
        <v>17</v>
      </c>
      <c r="W7" s="711">
        <f t="shared" ref="W7:W15" si="2">J7</f>
        <v>0</v>
      </c>
      <c r="X7" s="712"/>
      <c r="Y7" s="3453" t="s">
        <v>2128</v>
      </c>
      <c r="Z7" s="3454"/>
      <c r="AA7" s="713" t="e">
        <f>D7/F7</f>
        <v>#DIV/0!</v>
      </c>
      <c r="AB7" s="713" t="e">
        <f>D7/H7</f>
        <v>#DIV/0!</v>
      </c>
      <c r="AC7" s="713" t="e">
        <f>D7/J7</f>
        <v>#DIV/0!</v>
      </c>
    </row>
    <row r="8" spans="1:30" s="113" customFormat="1" ht="15.75" thickBot="1">
      <c r="A8" s="368" t="s">
        <v>2129</v>
      </c>
      <c r="B8" s="369"/>
      <c r="C8" s="374" t="s">
        <v>2130</v>
      </c>
      <c r="D8" s="371">
        <v>100</v>
      </c>
      <c r="E8" s="374"/>
      <c r="F8" s="373">
        <f>SUMIF(72:72,E8,73:73)-SUMIF(72:72,C8,73:73)+100</f>
        <v>0</v>
      </c>
      <c r="G8" s="374"/>
      <c r="H8" s="371">
        <f>SUMIF(72:72,G8,73:73)-SUMIF(72:72,C8,73:73)+100</f>
        <v>0</v>
      </c>
      <c r="I8" s="374"/>
      <c r="J8" s="371">
        <f>SUMIF(72:72,I8,73:73)-SUMIF(72:72,C8,73:73)+100</f>
        <v>0</v>
      </c>
      <c r="K8" s="568"/>
      <c r="L8" s="2896"/>
      <c r="M8" s="2897"/>
      <c r="N8" s="2897"/>
      <c r="O8" s="2897"/>
      <c r="P8" s="3453" t="s">
        <v>2131</v>
      </c>
      <c r="Q8" s="3454"/>
      <c r="R8" s="710" t="s">
        <v>17</v>
      </c>
      <c r="S8" s="711">
        <f t="shared" si="0"/>
        <v>0</v>
      </c>
      <c r="T8" s="710" t="s">
        <v>17</v>
      </c>
      <c r="U8" s="711">
        <f t="shared" si="1"/>
        <v>0</v>
      </c>
      <c r="V8" s="710" t="s">
        <v>17</v>
      </c>
      <c r="W8" s="711">
        <f t="shared" si="2"/>
        <v>0</v>
      </c>
      <c r="X8" s="712"/>
      <c r="Y8" s="3453" t="s">
        <v>2131</v>
      </c>
      <c r="Z8" s="3454"/>
      <c r="AA8" s="713" t="e">
        <f t="shared" ref="AA8:AA45" si="3">D8/F8</f>
        <v>#DIV/0!</v>
      </c>
      <c r="AB8" s="713" t="e">
        <f t="shared" ref="AB8:AB45" si="4">D8/H8</f>
        <v>#DIV/0!</v>
      </c>
      <c r="AC8" s="713" t="e">
        <f t="shared" ref="AC8:AC45" si="5">D8/J8</f>
        <v>#DIV/0!</v>
      </c>
    </row>
    <row r="9" spans="1:30" s="113" customFormat="1">
      <c r="A9" s="375" t="s">
        <v>2132</v>
      </c>
      <c r="B9" s="67" t="s">
        <v>2133</v>
      </c>
      <c r="C9" s="2114"/>
      <c r="D9" s="131">
        <v>100</v>
      </c>
      <c r="E9" s="2114"/>
      <c r="F9" s="131">
        <f>SUMIF(74:74,E9,75:75)-SUMIF(74:74,C9,75:75)+100</f>
        <v>100</v>
      </c>
      <c r="G9" s="2114"/>
      <c r="H9" s="131">
        <f>SUMIF(74:74,G9,75:75)-SUMIF(74:74,C9,75:75)+100</f>
        <v>100</v>
      </c>
      <c r="I9" s="2114"/>
      <c r="J9" s="131">
        <f>SUMIF(74:74,I9,75:75)-SUMIF(74:74,C9,75:75)+100</f>
        <v>100</v>
      </c>
      <c r="K9" s="568"/>
      <c r="L9" s="2896"/>
      <c r="M9" s="2897"/>
      <c r="N9" s="2897"/>
      <c r="O9" s="2951"/>
      <c r="P9" s="3485" t="s">
        <v>2134</v>
      </c>
      <c r="Q9" s="1478" t="str">
        <f t="shared" ref="Q9:Q15" si="6">B9</f>
        <v>用途</v>
      </c>
      <c r="R9" s="710" t="s">
        <v>17</v>
      </c>
      <c r="S9" s="711">
        <f t="shared" si="0"/>
        <v>100</v>
      </c>
      <c r="T9" s="710" t="s">
        <v>17</v>
      </c>
      <c r="U9" s="711">
        <f t="shared" si="1"/>
        <v>100</v>
      </c>
      <c r="V9" s="710" t="s">
        <v>17</v>
      </c>
      <c r="W9" s="711">
        <f t="shared" si="2"/>
        <v>100</v>
      </c>
      <c r="X9" s="712"/>
      <c r="Y9" s="3397" t="s">
        <v>2135</v>
      </c>
      <c r="Z9" s="55" t="str">
        <f t="shared" ref="Z9:Z15" si="7">Q9</f>
        <v>用途</v>
      </c>
      <c r="AA9" s="713">
        <f t="shared" si="3"/>
        <v>1</v>
      </c>
      <c r="AB9" s="713">
        <f t="shared" si="4"/>
        <v>1</v>
      </c>
      <c r="AC9" s="713">
        <f t="shared" si="5"/>
        <v>1</v>
      </c>
    </row>
    <row r="10" spans="1:30" s="386" customFormat="1" ht="27">
      <c r="A10" s="380"/>
      <c r="B10" s="381" t="s">
        <v>2136</v>
      </c>
      <c r="C10" s="391"/>
      <c r="D10" s="132">
        <v>100</v>
      </c>
      <c r="E10" s="424"/>
      <c r="F10" s="132">
        <f>ROUND(100/'数据-取费表'!G16,0)</f>
        <v>100</v>
      </c>
      <c r="G10" s="422"/>
      <c r="H10" s="132">
        <f>ROUND(100/'数据-取费表'!G16,0)</f>
        <v>100</v>
      </c>
      <c r="I10" s="422"/>
      <c r="J10" s="132">
        <f>ROUND(100/'数据-取费表'!G16,0)</f>
        <v>100</v>
      </c>
      <c r="K10" s="628"/>
      <c r="L10" s="2898"/>
      <c r="M10" s="2899"/>
      <c r="N10" s="2899"/>
      <c r="O10" s="2952"/>
      <c r="P10" s="3485"/>
      <c r="Q10" s="1478" t="str">
        <f t="shared" si="6"/>
        <v>土地使用年限（年）</v>
      </c>
      <c r="R10" s="710" t="s">
        <v>17</v>
      </c>
      <c r="S10" s="711">
        <f t="shared" si="0"/>
        <v>100</v>
      </c>
      <c r="T10" s="710" t="s">
        <v>17</v>
      </c>
      <c r="U10" s="711">
        <f t="shared" si="1"/>
        <v>100</v>
      </c>
      <c r="V10" s="710" t="s">
        <v>17</v>
      </c>
      <c r="W10" s="711">
        <f t="shared" si="2"/>
        <v>100</v>
      </c>
      <c r="X10" s="712"/>
      <c r="Y10" s="3397"/>
      <c r="Z10" s="55" t="str">
        <f t="shared" si="7"/>
        <v>土地使用年限（年）</v>
      </c>
      <c r="AA10" s="713">
        <f t="shared" si="3"/>
        <v>1</v>
      </c>
      <c r="AB10" s="713">
        <f t="shared" si="4"/>
        <v>1</v>
      </c>
      <c r="AC10" s="713">
        <f t="shared" si="5"/>
        <v>1</v>
      </c>
    </row>
    <row r="11" spans="1:30" ht="15">
      <c r="A11" s="387"/>
      <c r="B11" s="381" t="s">
        <v>2137</v>
      </c>
      <c r="C11" s="388"/>
      <c r="D11" s="132">
        <v>100</v>
      </c>
      <c r="E11" s="388"/>
      <c r="F11" s="132" t="e">
        <f>LOOKUP(E11,79:79,80:80)-LOOKUP(C11,79:79,80:80)+100</f>
        <v>#N/A</v>
      </c>
      <c r="G11" s="389"/>
      <c r="H11" s="132" t="e">
        <f>LOOKUP(G11,79:79,80:80)-LOOKUP(C11,79:79,80:80)+100</f>
        <v>#N/A</v>
      </c>
      <c r="I11" s="388"/>
      <c r="J11" s="132" t="e">
        <f>LOOKUP(I11,79:79,80:80)-LOOKUP(C11,79:79,80:80)+100</f>
        <v>#N/A</v>
      </c>
      <c r="K11" s="629"/>
      <c r="L11" s="2900"/>
      <c r="M11" s="2895"/>
      <c r="N11" s="2895"/>
      <c r="O11" s="2953"/>
      <c r="P11" s="3485"/>
      <c r="Q11" s="1478" t="str">
        <f t="shared" si="6"/>
        <v>容积率</v>
      </c>
      <c r="R11" s="710" t="s">
        <v>17</v>
      </c>
      <c r="S11" s="711" t="e">
        <f t="shared" si="0"/>
        <v>#N/A</v>
      </c>
      <c r="T11" s="710" t="s">
        <v>17</v>
      </c>
      <c r="U11" s="711" t="e">
        <f t="shared" si="1"/>
        <v>#N/A</v>
      </c>
      <c r="V11" s="710" t="s">
        <v>17</v>
      </c>
      <c r="W11" s="711" t="e">
        <f t="shared" si="2"/>
        <v>#N/A</v>
      </c>
      <c r="X11" s="712"/>
      <c r="Y11" s="3397"/>
      <c r="Z11" s="55" t="str">
        <f t="shared" si="7"/>
        <v>容积率</v>
      </c>
      <c r="AA11" s="713" t="e">
        <f t="shared" si="3"/>
        <v>#N/A</v>
      </c>
      <c r="AB11" s="713" t="e">
        <f t="shared" si="4"/>
        <v>#N/A</v>
      </c>
      <c r="AC11" s="713" t="e">
        <f t="shared" si="5"/>
        <v>#N/A</v>
      </c>
    </row>
    <row r="12" spans="1:30" s="113" customFormat="1" ht="15">
      <c r="A12" s="390"/>
      <c r="B12" s="2030" t="s">
        <v>2326</v>
      </c>
      <c r="C12" s="391"/>
      <c r="D12" s="392">
        <v>100</v>
      </c>
      <c r="E12" s="424"/>
      <c r="F12" s="132">
        <f>SUMIF(81:81,E12,82:82)-SUMIF(81:81,C12,82:82)+100</f>
        <v>100</v>
      </c>
      <c r="G12" s="422"/>
      <c r="H12" s="132">
        <f>SUMIF(81:81,G12,82:82)-SUMIF(81:81,C12,82:82)+100</f>
        <v>100</v>
      </c>
      <c r="I12" s="424"/>
      <c r="J12" s="132">
        <f>SUMIF(81:81,I12,82:82)-SUMIF(81:81,C12,82:82)+100</f>
        <v>100</v>
      </c>
      <c r="K12" s="628"/>
      <c r="L12" s="2896"/>
      <c r="M12" s="2897"/>
      <c r="N12" s="2897"/>
      <c r="O12" s="2951"/>
      <c r="P12" s="3485"/>
      <c r="Q12" s="1478" t="str">
        <f t="shared" si="6"/>
        <v>配建</v>
      </c>
      <c r="R12" s="710" t="s">
        <v>17</v>
      </c>
      <c r="S12" s="711">
        <f t="shared" si="0"/>
        <v>100</v>
      </c>
      <c r="T12" s="710" t="s">
        <v>17</v>
      </c>
      <c r="U12" s="711">
        <f t="shared" si="1"/>
        <v>100</v>
      </c>
      <c r="V12" s="710" t="s">
        <v>17</v>
      </c>
      <c r="W12" s="711">
        <f t="shared" si="2"/>
        <v>100</v>
      </c>
      <c r="X12" s="712"/>
      <c r="Y12" s="3397"/>
      <c r="Z12" s="55" t="str">
        <f t="shared" si="7"/>
        <v>配建</v>
      </c>
      <c r="AA12" s="713">
        <f>D12/F12</f>
        <v>1</v>
      </c>
      <c r="AB12" s="713">
        <f>D12/H12</f>
        <v>1</v>
      </c>
      <c r="AC12" s="713">
        <f>D12/J12</f>
        <v>1</v>
      </c>
    </row>
    <row r="13" spans="1:30" ht="15">
      <c r="A13" s="387"/>
      <c r="B13" s="2030">
        <v>111</v>
      </c>
      <c r="C13" s="393"/>
      <c r="D13" s="394">
        <v>100</v>
      </c>
      <c r="E13" s="506"/>
      <c r="F13" s="132">
        <f>SUMIF(83:83,E13,84:84)-SUMIF(83:83,C13,84:84)+100</f>
        <v>100</v>
      </c>
      <c r="G13" s="630"/>
      <c r="H13" s="394">
        <f>SUMIF(83:83,G13,84:84)-SUMIF(83:83,C13,84:84)+100</f>
        <v>100</v>
      </c>
      <c r="I13" s="630"/>
      <c r="J13" s="394">
        <f>SUMIF(83:83,I13,84:84)-SUMIF(83:83,C13,84:84)+100</f>
        <v>100</v>
      </c>
      <c r="K13" s="628"/>
      <c r="L13" s="2901"/>
      <c r="M13" s="2895"/>
      <c r="N13" s="2895"/>
      <c r="O13" s="2953"/>
      <c r="P13" s="3485"/>
      <c r="Q13" s="1478">
        <f t="shared" si="6"/>
        <v>111</v>
      </c>
      <c r="R13" s="710" t="s">
        <v>17</v>
      </c>
      <c r="S13" s="711">
        <f t="shared" si="0"/>
        <v>100</v>
      </c>
      <c r="T13" s="710" t="s">
        <v>17</v>
      </c>
      <c r="U13" s="711">
        <f t="shared" si="1"/>
        <v>100</v>
      </c>
      <c r="V13" s="710" t="s">
        <v>17</v>
      </c>
      <c r="W13" s="711">
        <f t="shared" si="2"/>
        <v>100</v>
      </c>
      <c r="X13" s="712"/>
      <c r="Y13" s="3397"/>
      <c r="Z13" s="55">
        <f t="shared" si="7"/>
        <v>111</v>
      </c>
      <c r="AA13" s="713">
        <f>D13/F13</f>
        <v>1</v>
      </c>
      <c r="AB13" s="713">
        <f>D13/H13</f>
        <v>1</v>
      </c>
      <c r="AC13" s="713">
        <f>D13/J13</f>
        <v>1</v>
      </c>
    </row>
    <row r="14" spans="1:30" ht="15.75" thickBot="1">
      <c r="A14" s="395"/>
      <c r="B14" s="2032">
        <v>111</v>
      </c>
      <c r="C14" s="396"/>
      <c r="D14" s="397">
        <v>100</v>
      </c>
      <c r="E14" s="506"/>
      <c r="F14" s="397">
        <f>SUMIF(85:85,E14,86:86)-SUMIF(85:85,C14,86:86)+100</f>
        <v>100</v>
      </c>
      <c r="G14" s="630"/>
      <c r="H14" s="397">
        <f>SUMIF(85:85,G14,86:86)-SUMIF(85:85,C14,86:86)+100</f>
        <v>100</v>
      </c>
      <c r="I14" s="630"/>
      <c r="J14" s="397">
        <f>SUMIF(85:85,I14,86:86)-SUMIF(85:85,C14,86:86)+100</f>
        <v>100</v>
      </c>
      <c r="K14" s="628"/>
      <c r="L14" s="2901"/>
      <c r="M14" s="2895"/>
      <c r="N14" s="2895"/>
      <c r="O14" s="2953"/>
      <c r="P14" s="3485"/>
      <c r="Q14" s="1478">
        <f t="shared" si="6"/>
        <v>111</v>
      </c>
      <c r="R14" s="710" t="s">
        <v>17</v>
      </c>
      <c r="S14" s="711">
        <f t="shared" si="0"/>
        <v>100</v>
      </c>
      <c r="T14" s="710" t="s">
        <v>17</v>
      </c>
      <c r="U14" s="711">
        <f t="shared" si="1"/>
        <v>100</v>
      </c>
      <c r="V14" s="710" t="s">
        <v>17</v>
      </c>
      <c r="W14" s="711">
        <f t="shared" si="2"/>
        <v>100</v>
      </c>
      <c r="X14" s="712"/>
      <c r="Y14" s="3397"/>
      <c r="Z14" s="55">
        <f t="shared" si="7"/>
        <v>111</v>
      </c>
      <c r="AA14" s="713">
        <f>D14/F14</f>
        <v>1</v>
      </c>
      <c r="AB14" s="713">
        <f>D14/H14</f>
        <v>1</v>
      </c>
      <c r="AC14" s="713">
        <f>D14/J14</f>
        <v>1</v>
      </c>
    </row>
    <row r="15" spans="1:30" ht="99.75">
      <c r="A15" s="399" t="s">
        <v>2138</v>
      </c>
      <c r="B15" s="65" t="s">
        <v>1701</v>
      </c>
      <c r="C15" s="2033" t="str">
        <f>估价对象房地状况!C15</f>
        <v>估价对象周边居住用地比例、居住小区规模和社区发展完善程度，综合评价居住社区成熟度一般</v>
      </c>
      <c r="D15" s="400">
        <v>100</v>
      </c>
      <c r="E15" s="401"/>
      <c r="F15" s="400">
        <f>SUMIF(87:87,E16,88:88)-SUMIF(87:87,C16,88:88)+100</f>
        <v>100</v>
      </c>
      <c r="G15" s="401"/>
      <c r="H15" s="400">
        <f>SUMIF(87:87,G16,88:88)-SUMIF(87:87,C16,88:88)+100</f>
        <v>100</v>
      </c>
      <c r="I15" s="403"/>
      <c r="J15" s="400">
        <f>SUMIF(87:87,I16,88:88)-SUMIF(87:87,C16,88:88)+100</f>
        <v>100</v>
      </c>
      <c r="K15" s="629"/>
      <c r="L15" s="2901"/>
      <c r="M15" s="2895"/>
      <c r="N15" s="2895"/>
      <c r="O15" s="2953"/>
      <c r="P15" s="3487" t="s">
        <v>2139</v>
      </c>
      <c r="Q15" s="1487" t="str">
        <f t="shared" si="6"/>
        <v>居住社区成熟度</v>
      </c>
      <c r="R15" s="714" t="s">
        <v>17</v>
      </c>
      <c r="S15" s="715">
        <f t="shared" si="0"/>
        <v>100</v>
      </c>
      <c r="T15" s="714" t="s">
        <v>17</v>
      </c>
      <c r="U15" s="715">
        <f t="shared" si="1"/>
        <v>100</v>
      </c>
      <c r="V15" s="714" t="s">
        <v>17</v>
      </c>
      <c r="W15" s="715">
        <f t="shared" si="2"/>
        <v>100</v>
      </c>
      <c r="X15" s="1490"/>
      <c r="Y15" s="3487" t="s">
        <v>2139</v>
      </c>
      <c r="Z15" s="1491" t="str">
        <f t="shared" si="7"/>
        <v>居住社区成熟度</v>
      </c>
      <c r="AA15" s="1488">
        <f t="shared" si="3"/>
        <v>1</v>
      </c>
      <c r="AB15" s="1488">
        <f t="shared" si="4"/>
        <v>1</v>
      </c>
      <c r="AC15" s="1488">
        <f t="shared" si="5"/>
        <v>1</v>
      </c>
    </row>
    <row r="16" spans="1:30" ht="15">
      <c r="A16" s="387"/>
      <c r="B16" s="405"/>
      <c r="C16" s="406"/>
      <c r="D16" s="407"/>
      <c r="E16" s="2035"/>
      <c r="F16" s="407"/>
      <c r="G16" s="2035"/>
      <c r="H16" s="409"/>
      <c r="I16" s="2034"/>
      <c r="J16" s="407"/>
      <c r="K16" s="628"/>
      <c r="L16" s="2901"/>
      <c r="M16" s="2895"/>
      <c r="N16" s="2895"/>
      <c r="O16" s="2953"/>
      <c r="P16" s="3488"/>
      <c r="Q16" s="1487"/>
      <c r="R16" s="714"/>
      <c r="S16" s="715"/>
      <c r="T16" s="714"/>
      <c r="U16" s="715"/>
      <c r="V16" s="714"/>
      <c r="W16" s="715"/>
      <c r="X16" s="1490"/>
      <c r="Y16" s="3488"/>
      <c r="Z16" s="1491"/>
      <c r="AA16" s="1488">
        <v>1</v>
      </c>
      <c r="AB16" s="1488">
        <v>1</v>
      </c>
      <c r="AC16" s="1488">
        <v>1</v>
      </c>
    </row>
    <row r="17" spans="1:29" ht="71.25">
      <c r="A17" s="387"/>
      <c r="B17" s="410" t="s">
        <v>2232</v>
      </c>
      <c r="C17" s="2092" t="str">
        <f>估价对象房地状况!C16</f>
        <v>估价对象位于XX商圈，周边商业氛围成熟，人流量大，商业繁华度好</v>
      </c>
      <c r="D17" s="409">
        <v>100</v>
      </c>
      <c r="E17" s="411"/>
      <c r="F17" s="409">
        <f>SUMIF(89:89,E18,90:90)-SUMIF(89:89,C18,90:90)+100</f>
        <v>100</v>
      </c>
      <c r="G17" s="411"/>
      <c r="H17" s="414">
        <f>SUMIF(89:89,G18,90:90)-SUMIF(89:89,C18,90:90)+100</f>
        <v>100</v>
      </c>
      <c r="I17" s="413"/>
      <c r="J17" s="414">
        <f>SUMIF(89:89,I18,90:90)-SUMIF(89:89,C18,90:90)+100</f>
        <v>100</v>
      </c>
      <c r="K17" s="629"/>
      <c r="L17" s="2901"/>
      <c r="M17" s="2895"/>
      <c r="N17" s="2895"/>
      <c r="O17" s="2953"/>
      <c r="P17" s="3488"/>
      <c r="Q17" s="1487" t="str">
        <f>B17</f>
        <v>商业繁华度</v>
      </c>
      <c r="R17" s="714" t="s">
        <v>17</v>
      </c>
      <c r="S17" s="715">
        <f>F17</f>
        <v>100</v>
      </c>
      <c r="T17" s="714" t="s">
        <v>17</v>
      </c>
      <c r="U17" s="715">
        <f>H17</f>
        <v>100</v>
      </c>
      <c r="V17" s="714" t="s">
        <v>17</v>
      </c>
      <c r="W17" s="715">
        <f>J17</f>
        <v>100</v>
      </c>
      <c r="X17" s="1490"/>
      <c r="Y17" s="3488"/>
      <c r="Z17" s="1491" t="str">
        <f>Q17</f>
        <v>商业繁华度</v>
      </c>
      <c r="AA17" s="1488">
        <f t="shared" si="3"/>
        <v>1</v>
      </c>
      <c r="AB17" s="1488">
        <f t="shared" si="4"/>
        <v>1</v>
      </c>
      <c r="AC17" s="1488">
        <f t="shared" si="5"/>
        <v>1</v>
      </c>
    </row>
    <row r="18" spans="1:29" ht="15">
      <c r="A18" s="387"/>
      <c r="B18" s="415"/>
      <c r="C18" s="2038"/>
      <c r="D18" s="409"/>
      <c r="E18" s="2040"/>
      <c r="F18" s="409"/>
      <c r="G18" s="2040"/>
      <c r="H18" s="407"/>
      <c r="I18" s="2039"/>
      <c r="J18" s="407"/>
      <c r="K18" s="628"/>
      <c r="L18" s="2901"/>
      <c r="M18" s="2895"/>
      <c r="N18" s="2895"/>
      <c r="O18" s="2953"/>
      <c r="P18" s="3488"/>
      <c r="Q18" s="1487"/>
      <c r="R18" s="714"/>
      <c r="S18" s="715"/>
      <c r="T18" s="714"/>
      <c r="U18" s="715"/>
      <c r="V18" s="714"/>
      <c r="W18" s="715"/>
      <c r="X18" s="1490"/>
      <c r="Y18" s="3488"/>
      <c r="Z18" s="1491"/>
      <c r="AA18" s="1488">
        <v>1</v>
      </c>
      <c r="AB18" s="1488">
        <v>1</v>
      </c>
      <c r="AC18" s="1488">
        <v>1</v>
      </c>
    </row>
    <row r="19" spans="1:29" ht="71.25">
      <c r="A19" s="387"/>
      <c r="B19" s="410" t="s">
        <v>2266</v>
      </c>
      <c r="C19" s="2092" t="str">
        <f>估价对象房地状况!C17</f>
        <v>估价对象位于XX商圈，周边办公楼项目较多，入驻率高，办公集聚程度较好</v>
      </c>
      <c r="D19" s="414">
        <v>100</v>
      </c>
      <c r="E19" s="416"/>
      <c r="F19" s="414">
        <f>SUMIF(91:91,E20,92:92)-SUMIF(91:91,C20,92:92)+100</f>
        <v>100</v>
      </c>
      <c r="G19" s="416"/>
      <c r="H19" s="409">
        <f>SUMIF(91:91,G20,92:92)-SUMIF(91:91,C20,92:92)+100</f>
        <v>100</v>
      </c>
      <c r="I19" s="418"/>
      <c r="J19" s="409">
        <f>SUMIF(91:91,I20,92:92)-SUMIF(91:91,C20,92:92)+100</f>
        <v>100</v>
      </c>
      <c r="K19" s="629"/>
      <c r="L19" s="2901"/>
      <c r="M19" s="2895"/>
      <c r="N19" s="2895"/>
      <c r="O19" s="2953"/>
      <c r="P19" s="3488"/>
      <c r="Q19" s="1487" t="str">
        <f>B19</f>
        <v>办公集聚程度</v>
      </c>
      <c r="R19" s="714" t="s">
        <v>17</v>
      </c>
      <c r="S19" s="715">
        <f>F19</f>
        <v>100</v>
      </c>
      <c r="T19" s="714" t="s">
        <v>17</v>
      </c>
      <c r="U19" s="715">
        <f>H19</f>
        <v>100</v>
      </c>
      <c r="V19" s="714" t="s">
        <v>17</v>
      </c>
      <c r="W19" s="715">
        <f>J19</f>
        <v>100</v>
      </c>
      <c r="X19" s="1490"/>
      <c r="Y19" s="3488"/>
      <c r="Z19" s="1491" t="str">
        <f>Q19</f>
        <v>办公集聚程度</v>
      </c>
      <c r="AA19" s="1488">
        <f t="shared" si="3"/>
        <v>1</v>
      </c>
      <c r="AB19" s="1488">
        <f t="shared" si="4"/>
        <v>1</v>
      </c>
      <c r="AC19" s="1488">
        <f t="shared" si="5"/>
        <v>1</v>
      </c>
    </row>
    <row r="20" spans="1:29" ht="15">
      <c r="A20" s="387"/>
      <c r="B20" s="415"/>
      <c r="C20" s="406"/>
      <c r="D20" s="407"/>
      <c r="E20" s="2035"/>
      <c r="F20" s="407"/>
      <c r="G20" s="2035"/>
      <c r="H20" s="407"/>
      <c r="I20" s="2034"/>
      <c r="J20" s="407"/>
      <c r="K20" s="628"/>
      <c r="L20" s="2901"/>
      <c r="M20" s="2895"/>
      <c r="N20" s="2895"/>
      <c r="O20" s="2953"/>
      <c r="P20" s="3488"/>
      <c r="Q20" s="1487"/>
      <c r="R20" s="714"/>
      <c r="S20" s="715"/>
      <c r="T20" s="714"/>
      <c r="U20" s="715"/>
      <c r="V20" s="714"/>
      <c r="W20" s="715"/>
      <c r="X20" s="1490"/>
      <c r="Y20" s="3488"/>
      <c r="Z20" s="1491"/>
      <c r="AA20" s="1488">
        <v>1</v>
      </c>
      <c r="AB20" s="1488">
        <v>1</v>
      </c>
      <c r="AC20" s="1488">
        <v>1</v>
      </c>
    </row>
    <row r="21" spans="1:29" ht="85.5">
      <c r="A21" s="387"/>
      <c r="B21" s="410" t="s">
        <v>2288</v>
      </c>
      <c r="C21" s="2037" t="str">
        <f>估价对象房地状况!C18</f>
        <v>估价对象周边道路状况、公共交通通达情况、停车便捷程度，综合评价交通便捷度较好</v>
      </c>
      <c r="D21" s="409">
        <v>100</v>
      </c>
      <c r="E21" s="411"/>
      <c r="F21" s="414">
        <f>SUMIF(93:93,E22,94:94)-SUMIF(93:93,C22,94:94)+100</f>
        <v>100</v>
      </c>
      <c r="G21" s="411"/>
      <c r="H21" s="409">
        <f>SUMIF(93:93,G22,94:94)-SUMIF(93:93,C22,94:94)+100</f>
        <v>100</v>
      </c>
      <c r="I21" s="413"/>
      <c r="J21" s="409">
        <f>SUMIF(93:93,I22,94:94)-SUMIF(93:93,C22,94:94)+100</f>
        <v>100</v>
      </c>
      <c r="K21" s="629"/>
      <c r="L21" s="2901"/>
      <c r="M21" s="2895"/>
      <c r="N21" s="2895"/>
      <c r="O21" s="2953"/>
      <c r="P21" s="3488"/>
      <c r="Q21" s="1487" t="str">
        <f>B21</f>
        <v>交通便捷度</v>
      </c>
      <c r="R21" s="714" t="s">
        <v>17</v>
      </c>
      <c r="S21" s="715">
        <f>F21</f>
        <v>100</v>
      </c>
      <c r="T21" s="714" t="s">
        <v>17</v>
      </c>
      <c r="U21" s="715">
        <f>H21</f>
        <v>100</v>
      </c>
      <c r="V21" s="714" t="s">
        <v>17</v>
      </c>
      <c r="W21" s="715">
        <f>J21</f>
        <v>100</v>
      </c>
      <c r="X21" s="1490"/>
      <c r="Y21" s="3488"/>
      <c r="Z21" s="1491" t="str">
        <f>Q21</f>
        <v>交通便捷度</v>
      </c>
      <c r="AA21" s="1488">
        <f t="shared" si="3"/>
        <v>1</v>
      </c>
      <c r="AB21" s="1488">
        <f t="shared" si="4"/>
        <v>1</v>
      </c>
      <c r="AC21" s="1488">
        <f t="shared" si="5"/>
        <v>1</v>
      </c>
    </row>
    <row r="22" spans="1:29" ht="15">
      <c r="A22" s="387"/>
      <c r="B22" s="1246"/>
      <c r="C22" s="406"/>
      <c r="D22" s="409"/>
      <c r="E22" s="2035"/>
      <c r="F22" s="407"/>
      <c r="G22" s="2035"/>
      <c r="H22" s="407"/>
      <c r="I22" s="2034"/>
      <c r="J22" s="407"/>
      <c r="K22" s="628"/>
      <c r="L22" s="2901"/>
      <c r="M22" s="2895"/>
      <c r="N22" s="2895"/>
      <c r="O22" s="2953"/>
      <c r="P22" s="3488"/>
      <c r="Q22" s="1487"/>
      <c r="R22" s="714"/>
      <c r="S22" s="715"/>
      <c r="T22" s="714"/>
      <c r="U22" s="715"/>
      <c r="V22" s="714"/>
      <c r="W22" s="715"/>
      <c r="X22" s="1490"/>
      <c r="Y22" s="3488"/>
      <c r="Z22" s="1491"/>
      <c r="AA22" s="1488">
        <v>1</v>
      </c>
      <c r="AB22" s="1488">
        <v>1</v>
      </c>
      <c r="AC22" s="1488">
        <v>1</v>
      </c>
    </row>
    <row r="23" spans="1:29" ht="15">
      <c r="A23" s="364"/>
      <c r="B23" s="410" t="s">
        <v>2327</v>
      </c>
      <c r="C23" s="1251">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901"/>
      <c r="M23" s="2895"/>
      <c r="N23" s="2895"/>
      <c r="O23" s="2953"/>
      <c r="P23" s="3488"/>
      <c r="Q23" s="1487" t="str">
        <f t="shared" ref="Q23:Q37" si="8">B23</f>
        <v>区域土地利用方向</v>
      </c>
      <c r="R23" s="714" t="s">
        <v>17</v>
      </c>
      <c r="S23" s="715">
        <f>F23</f>
        <v>100</v>
      </c>
      <c r="T23" s="714" t="s">
        <v>17</v>
      </c>
      <c r="U23" s="715">
        <f>H23</f>
        <v>100</v>
      </c>
      <c r="V23" s="714" t="s">
        <v>17</v>
      </c>
      <c r="W23" s="715">
        <f>J23</f>
        <v>100</v>
      </c>
      <c r="X23" s="1490"/>
      <c r="Y23" s="3488"/>
      <c r="Z23" s="1491" t="str">
        <f>Q23</f>
        <v>区域土地利用方向</v>
      </c>
      <c r="AA23" s="1488">
        <f t="shared" si="3"/>
        <v>1</v>
      </c>
      <c r="AB23" s="1488">
        <f t="shared" si="4"/>
        <v>1</v>
      </c>
      <c r="AC23" s="1488">
        <f t="shared" si="5"/>
        <v>1</v>
      </c>
    </row>
    <row r="24" spans="1:29" ht="15">
      <c r="A24" s="364"/>
      <c r="B24" s="415"/>
      <c r="C24" s="573"/>
      <c r="D24" s="407"/>
      <c r="E24" s="2035"/>
      <c r="F24" s="407"/>
      <c r="G24" s="2034"/>
      <c r="H24" s="407"/>
      <c r="I24" s="2034"/>
      <c r="J24" s="407"/>
      <c r="K24" s="751"/>
      <c r="L24" s="2901"/>
      <c r="M24" s="2895"/>
      <c r="N24" s="2895"/>
      <c r="O24" s="2953"/>
      <c r="P24" s="3488"/>
      <c r="Q24" s="1487"/>
      <c r="R24" s="714"/>
      <c r="S24" s="715"/>
      <c r="T24" s="714"/>
      <c r="U24" s="715"/>
      <c r="V24" s="714"/>
      <c r="W24" s="715"/>
      <c r="X24" s="1490"/>
      <c r="Y24" s="3488"/>
      <c r="Z24" s="1491"/>
      <c r="AA24" s="1488"/>
      <c r="AB24" s="1488"/>
      <c r="AC24" s="1488"/>
    </row>
    <row r="25" spans="1:29" ht="57">
      <c r="A25" s="364"/>
      <c r="B25" s="1246" t="s">
        <v>2328</v>
      </c>
      <c r="C25" s="2092" t="str">
        <f>估价对象房地状况!C20</f>
        <v>区域自然环境：；人文环境；综合评价环境状况一般</v>
      </c>
      <c r="D25" s="409">
        <v>100</v>
      </c>
      <c r="E25" s="411"/>
      <c r="F25" s="409">
        <f>SUMIF(97:97,E26,98:98)-SUMIF(97:97,C26,98:98)+100</f>
        <v>100</v>
      </c>
      <c r="G25" s="411"/>
      <c r="H25" s="409">
        <f>SUMIF(97:97,G26,98:98)-SUMIF(97:97,C26,98:98)+100</f>
        <v>100</v>
      </c>
      <c r="I25" s="413"/>
      <c r="J25" s="409">
        <f>SUMIF(97:97,I26,98:98)-SUMIF(97:97,C26,98:98)+100</f>
        <v>100</v>
      </c>
      <c r="K25" s="629"/>
      <c r="L25" s="2901"/>
      <c r="M25" s="2895"/>
      <c r="N25" s="2895"/>
      <c r="O25" s="2953"/>
      <c r="P25" s="3488"/>
      <c r="Q25" s="1487" t="str">
        <f t="shared" si="8"/>
        <v>自然及人文环境状况</v>
      </c>
      <c r="R25" s="714" t="s">
        <v>17</v>
      </c>
      <c r="S25" s="715">
        <f>F25</f>
        <v>100</v>
      </c>
      <c r="T25" s="714" t="s">
        <v>17</v>
      </c>
      <c r="U25" s="715">
        <f>H25</f>
        <v>100</v>
      </c>
      <c r="V25" s="714" t="s">
        <v>17</v>
      </c>
      <c r="W25" s="715">
        <f>J25</f>
        <v>100</v>
      </c>
      <c r="X25" s="1490"/>
      <c r="Y25" s="3488"/>
      <c r="Z25" s="1491" t="str">
        <f>Q25</f>
        <v>自然及人文环境状况</v>
      </c>
      <c r="AA25" s="1488">
        <f t="shared" si="3"/>
        <v>1</v>
      </c>
      <c r="AB25" s="1488">
        <f t="shared" si="4"/>
        <v>1</v>
      </c>
      <c r="AC25" s="1488">
        <f t="shared" si="5"/>
        <v>1</v>
      </c>
    </row>
    <row r="26" spans="1:29" ht="15">
      <c r="A26" s="364"/>
      <c r="B26" s="415"/>
      <c r="C26" s="406"/>
      <c r="D26" s="407"/>
      <c r="E26" s="2041"/>
      <c r="F26" s="407"/>
      <c r="G26" s="2041"/>
      <c r="H26" s="407"/>
      <c r="I26" s="406"/>
      <c r="J26" s="407"/>
      <c r="K26" s="628"/>
      <c r="L26" s="2901"/>
      <c r="M26" s="2895"/>
      <c r="N26" s="2895"/>
      <c r="O26" s="2953"/>
      <c r="P26" s="3488"/>
      <c r="Q26" s="1487"/>
      <c r="R26" s="714"/>
      <c r="S26" s="715"/>
      <c r="T26" s="714"/>
      <c r="U26" s="715"/>
      <c r="V26" s="714"/>
      <c r="W26" s="715"/>
      <c r="X26" s="1490"/>
      <c r="Y26" s="3488"/>
      <c r="Z26" s="1491"/>
      <c r="AA26" s="1488">
        <v>1</v>
      </c>
      <c r="AB26" s="1488">
        <v>1</v>
      </c>
      <c r="AC26" s="1488">
        <v>1</v>
      </c>
    </row>
    <row r="27" spans="1:29" s="113" customFormat="1" ht="42.75">
      <c r="A27" s="605"/>
      <c r="B27" s="1246" t="s">
        <v>2233</v>
      </c>
      <c r="C27" s="2037" t="str">
        <f>估价对象房地状况!C21</f>
        <v>估价对象所在区域公共配套设施齐备情况</v>
      </c>
      <c r="D27" s="409">
        <v>100</v>
      </c>
      <c r="E27" s="411"/>
      <c r="F27" s="409">
        <f>SUMIF(99:99,E28,100:100)-SUMIF(99:99,C28,100:100)+100</f>
        <v>100</v>
      </c>
      <c r="G27" s="411"/>
      <c r="H27" s="409">
        <f>SUMIF(99:99,G28,100:100)-SUMIF(99:99,C28,100:100)+100</f>
        <v>100</v>
      </c>
      <c r="I27" s="413"/>
      <c r="J27" s="409">
        <f>SUMIF(99:99,I28,100:100)-SUMIF(99:99,C28,100:100)+100</f>
        <v>100</v>
      </c>
      <c r="K27" s="629"/>
      <c r="L27" s="2896"/>
      <c r="M27" s="2897"/>
      <c r="N27" s="2897"/>
      <c r="O27" s="2951"/>
      <c r="P27" s="3488"/>
      <c r="Q27" s="1478" t="str">
        <f t="shared" si="8"/>
        <v>公共配套设施</v>
      </c>
      <c r="R27" s="710" t="s">
        <v>17</v>
      </c>
      <c r="S27" s="711">
        <f>F27</f>
        <v>100</v>
      </c>
      <c r="T27" s="710" t="s">
        <v>17</v>
      </c>
      <c r="U27" s="711">
        <f>H27</f>
        <v>100</v>
      </c>
      <c r="V27" s="710" t="s">
        <v>17</v>
      </c>
      <c r="W27" s="711">
        <f>J27</f>
        <v>100</v>
      </c>
      <c r="X27" s="712"/>
      <c r="Y27" s="3488"/>
      <c r="Z27" s="55" t="str">
        <f>Q27</f>
        <v>公共配套设施</v>
      </c>
      <c r="AA27" s="1488">
        <f>D27/F27</f>
        <v>1</v>
      </c>
      <c r="AB27" s="1488">
        <f>D27/H27</f>
        <v>1</v>
      </c>
      <c r="AC27" s="1488">
        <f>D27/J27</f>
        <v>1</v>
      </c>
    </row>
    <row r="28" spans="1:29" s="113" customFormat="1" ht="15">
      <c r="A28" s="605"/>
      <c r="B28" s="415"/>
      <c r="C28" s="2115"/>
      <c r="D28" s="407"/>
      <c r="E28" s="2041"/>
      <c r="F28" s="407"/>
      <c r="G28" s="2041"/>
      <c r="H28" s="407"/>
      <c r="I28" s="406"/>
      <c r="J28" s="407"/>
      <c r="K28" s="628"/>
      <c r="L28" s="2896"/>
      <c r="M28" s="2897"/>
      <c r="N28" s="2897"/>
      <c r="O28" s="2951"/>
      <c r="P28" s="3488"/>
      <c r="Q28" s="1478"/>
      <c r="R28" s="710"/>
      <c r="S28" s="711"/>
      <c r="T28" s="710"/>
      <c r="U28" s="711"/>
      <c r="V28" s="710"/>
      <c r="W28" s="711"/>
      <c r="X28" s="712"/>
      <c r="Y28" s="3488"/>
      <c r="Z28" s="55"/>
      <c r="AA28" s="1488">
        <v>1</v>
      </c>
      <c r="AB28" s="1488">
        <v>1</v>
      </c>
      <c r="AC28" s="1488">
        <v>1</v>
      </c>
    </row>
    <row r="29" spans="1:29" s="113" customFormat="1" ht="28.5">
      <c r="A29" s="605"/>
      <c r="B29" s="1246" t="s">
        <v>2234</v>
      </c>
      <c r="C29" s="2037" t="str">
        <f>估价对象房地状况!C22</f>
        <v>估价对象所在区域基础设施水平</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6"/>
      <c r="M29" s="2897"/>
      <c r="N29" s="2897"/>
      <c r="O29" s="2951"/>
      <c r="P29" s="3488"/>
      <c r="Q29" s="1478" t="str">
        <f t="shared" ref="Q29" si="9">B29</f>
        <v>基础设施水平</v>
      </c>
      <c r="R29" s="710" t="s">
        <v>17</v>
      </c>
      <c r="S29" s="711">
        <f>F29</f>
        <v>100</v>
      </c>
      <c r="T29" s="710" t="s">
        <v>17</v>
      </c>
      <c r="U29" s="711">
        <f>H29</f>
        <v>100</v>
      </c>
      <c r="V29" s="710" t="s">
        <v>17</v>
      </c>
      <c r="W29" s="711">
        <f>J29</f>
        <v>100</v>
      </c>
      <c r="X29" s="712"/>
      <c r="Y29" s="3488"/>
      <c r="Z29" s="55" t="str">
        <f>Q29</f>
        <v>基础设施水平</v>
      </c>
      <c r="AA29" s="1488">
        <f>D29/F29</f>
        <v>1</v>
      </c>
      <c r="AB29" s="1488">
        <f>D29/H29</f>
        <v>1</v>
      </c>
      <c r="AC29" s="1488">
        <f>D29/J29</f>
        <v>1</v>
      </c>
    </row>
    <row r="30" spans="1:29" s="113" customFormat="1" ht="15">
      <c r="A30" s="605"/>
      <c r="B30" s="415"/>
      <c r="C30" s="2115"/>
      <c r="D30" s="407"/>
      <c r="E30" s="2116"/>
      <c r="F30" s="407"/>
      <c r="G30" s="2116"/>
      <c r="H30" s="407"/>
      <c r="I30" s="2116"/>
      <c r="J30" s="407"/>
      <c r="K30" s="628"/>
      <c r="L30" s="2896"/>
      <c r="M30" s="2897"/>
      <c r="N30" s="2897"/>
      <c r="O30" s="2951"/>
      <c r="P30" s="3488"/>
      <c r="Q30" s="1478"/>
      <c r="R30" s="710"/>
      <c r="S30" s="711"/>
      <c r="T30" s="710"/>
      <c r="U30" s="711"/>
      <c r="V30" s="710"/>
      <c r="W30" s="711"/>
      <c r="X30" s="712"/>
      <c r="Y30" s="3488"/>
      <c r="Z30" s="55"/>
      <c r="AA30" s="1488">
        <v>1</v>
      </c>
      <c r="AB30" s="1488">
        <v>1</v>
      </c>
      <c r="AC30" s="1488">
        <v>1</v>
      </c>
    </row>
    <row r="31" spans="1:29" ht="15">
      <c r="A31" s="387"/>
      <c r="B31" s="415" t="s">
        <v>2235</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901"/>
      <c r="M31" s="2895"/>
      <c r="N31" s="2895"/>
      <c r="O31" s="2953"/>
      <c r="P31" s="3488"/>
      <c r="Q31" s="1487" t="str">
        <f t="shared" si="8"/>
        <v>临街状况</v>
      </c>
      <c r="R31" s="714" t="s">
        <v>17</v>
      </c>
      <c r="S31" s="715">
        <f t="shared" ref="S31:S45" si="10">F31</f>
        <v>100</v>
      </c>
      <c r="T31" s="714" t="s">
        <v>17</v>
      </c>
      <c r="U31" s="715">
        <f t="shared" ref="U31:U45" si="11">H31</f>
        <v>100</v>
      </c>
      <c r="V31" s="714" t="s">
        <v>17</v>
      </c>
      <c r="W31" s="715">
        <f t="shared" ref="W31:W45" si="12">J31</f>
        <v>100</v>
      </c>
      <c r="X31" s="1490"/>
      <c r="Y31" s="3488"/>
      <c r="Z31" s="1491" t="str">
        <f t="shared" ref="Z31:Z45" si="13">Q31</f>
        <v>临街状况</v>
      </c>
      <c r="AA31" s="1488">
        <f t="shared" si="3"/>
        <v>1</v>
      </c>
      <c r="AB31" s="1488">
        <f t="shared" si="4"/>
        <v>1</v>
      </c>
      <c r="AC31" s="1488">
        <f t="shared" si="5"/>
        <v>1</v>
      </c>
    </row>
    <row r="32" spans="1:29" ht="27">
      <c r="A32" s="387"/>
      <c r="B32" s="1246" t="s">
        <v>2270</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901"/>
      <c r="M32" s="2895"/>
      <c r="N32" s="2895"/>
      <c r="O32" s="2953"/>
      <c r="P32" s="3488"/>
      <c r="Q32" s="1487" t="str">
        <f t="shared" si="8"/>
        <v>毗邻道路的类型与等级</v>
      </c>
      <c r="R32" s="714" t="s">
        <v>17</v>
      </c>
      <c r="S32" s="715">
        <f t="shared" si="10"/>
        <v>100</v>
      </c>
      <c r="T32" s="714" t="s">
        <v>17</v>
      </c>
      <c r="U32" s="715">
        <f t="shared" si="11"/>
        <v>100</v>
      </c>
      <c r="V32" s="714" t="s">
        <v>17</v>
      </c>
      <c r="W32" s="715">
        <f t="shared" si="12"/>
        <v>100</v>
      </c>
      <c r="X32" s="1490"/>
      <c r="Y32" s="3488"/>
      <c r="Z32" s="1491" t="str">
        <f t="shared" si="13"/>
        <v>毗邻道路的类型与等级</v>
      </c>
      <c r="AA32" s="1488">
        <f t="shared" si="3"/>
        <v>1</v>
      </c>
      <c r="AB32" s="1488">
        <f t="shared" si="4"/>
        <v>1</v>
      </c>
      <c r="AC32" s="1488">
        <f t="shared" si="5"/>
        <v>1</v>
      </c>
    </row>
    <row r="33" spans="1:29" ht="15">
      <c r="A33" s="387"/>
      <c r="B33" s="415"/>
      <c r="C33" s="406"/>
      <c r="D33" s="407"/>
      <c r="E33" s="2041"/>
      <c r="F33" s="407"/>
      <c r="G33" s="2041"/>
      <c r="H33" s="407"/>
      <c r="I33" s="406"/>
      <c r="J33" s="407"/>
      <c r="K33" s="570"/>
      <c r="L33" s="2901"/>
      <c r="M33" s="2895"/>
      <c r="N33" s="2895"/>
      <c r="O33" s="2953"/>
      <c r="P33" s="3488"/>
      <c r="Q33" s="1487"/>
      <c r="R33" s="714"/>
      <c r="S33" s="715"/>
      <c r="T33" s="714"/>
      <c r="U33" s="715"/>
      <c r="V33" s="714"/>
      <c r="W33" s="715"/>
      <c r="X33" s="1490"/>
      <c r="Y33" s="3488"/>
      <c r="Z33" s="1491"/>
      <c r="AA33" s="1488">
        <v>1</v>
      </c>
      <c r="AB33" s="1488">
        <v>1</v>
      </c>
      <c r="AC33" s="1488">
        <v>1</v>
      </c>
    </row>
    <row r="34" spans="1:29" ht="15">
      <c r="A34" s="387"/>
      <c r="B34" s="381" t="s">
        <v>2329</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901"/>
      <c r="M34" s="2895"/>
      <c r="N34" s="2895"/>
      <c r="O34" s="2953"/>
      <c r="P34" s="3488"/>
      <c r="Q34" s="1487" t="str">
        <f t="shared" si="8"/>
        <v>土地级别</v>
      </c>
      <c r="R34" s="714" t="s">
        <v>17</v>
      </c>
      <c r="S34" s="715">
        <f t="shared" si="10"/>
        <v>100</v>
      </c>
      <c r="T34" s="714" t="s">
        <v>17</v>
      </c>
      <c r="U34" s="715">
        <f t="shared" si="11"/>
        <v>100</v>
      </c>
      <c r="V34" s="714" t="s">
        <v>17</v>
      </c>
      <c r="W34" s="715">
        <f t="shared" si="12"/>
        <v>100</v>
      </c>
      <c r="X34" s="1490"/>
      <c r="Y34" s="3488"/>
      <c r="Z34" s="1491" t="str">
        <f t="shared" si="13"/>
        <v>土地级别</v>
      </c>
      <c r="AA34" s="1488">
        <f t="shared" si="3"/>
        <v>1</v>
      </c>
      <c r="AB34" s="1488">
        <f t="shared" si="4"/>
        <v>1</v>
      </c>
      <c r="AC34" s="1488">
        <f t="shared" si="5"/>
        <v>1</v>
      </c>
    </row>
    <row r="35" spans="1:29" ht="15">
      <c r="A35" s="364"/>
      <c r="B35" s="1248">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901"/>
      <c r="M35" s="2895"/>
      <c r="N35" s="2895"/>
      <c r="O35" s="2953"/>
      <c r="P35" s="3488"/>
      <c r="Q35" s="1487">
        <f t="shared" si="8"/>
        <v>111</v>
      </c>
      <c r="R35" s="714" t="s">
        <v>17</v>
      </c>
      <c r="S35" s="715">
        <f t="shared" si="10"/>
        <v>100</v>
      </c>
      <c r="T35" s="714" t="s">
        <v>17</v>
      </c>
      <c r="U35" s="715">
        <f t="shared" si="11"/>
        <v>100</v>
      </c>
      <c r="V35" s="714" t="s">
        <v>17</v>
      </c>
      <c r="W35" s="715">
        <f t="shared" si="12"/>
        <v>100</v>
      </c>
      <c r="X35" s="1490"/>
      <c r="Y35" s="3488"/>
      <c r="Z35" s="1491">
        <f t="shared" si="13"/>
        <v>111</v>
      </c>
      <c r="AA35" s="1488">
        <f t="shared" si="3"/>
        <v>1</v>
      </c>
      <c r="AB35" s="1488">
        <f t="shared" si="4"/>
        <v>1</v>
      </c>
      <c r="AC35" s="1488">
        <f t="shared" si="5"/>
        <v>1</v>
      </c>
    </row>
    <row r="36" spans="1:29" ht="15">
      <c r="A36" s="631"/>
      <c r="B36" s="1249">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901"/>
      <c r="M36" s="2895"/>
      <c r="N36" s="2895"/>
      <c r="O36" s="2953"/>
      <c r="P36" s="3511" t="s">
        <v>2144</v>
      </c>
      <c r="Q36" s="1487">
        <f t="shared" si="8"/>
        <v>111</v>
      </c>
      <c r="R36" s="714" t="s">
        <v>17</v>
      </c>
      <c r="S36" s="715">
        <f t="shared" si="10"/>
        <v>100</v>
      </c>
      <c r="T36" s="714" t="s">
        <v>17</v>
      </c>
      <c r="U36" s="715">
        <f t="shared" si="11"/>
        <v>100</v>
      </c>
      <c r="V36" s="714" t="s">
        <v>17</v>
      </c>
      <c r="W36" s="715">
        <f t="shared" si="12"/>
        <v>100</v>
      </c>
      <c r="X36" s="1490"/>
      <c r="Y36" s="3492" t="s">
        <v>2144</v>
      </c>
      <c r="Z36" s="1491">
        <f t="shared" si="13"/>
        <v>111</v>
      </c>
      <c r="AA36" s="1488">
        <f t="shared" si="3"/>
        <v>1</v>
      </c>
      <c r="AB36" s="1488">
        <f t="shared" si="4"/>
        <v>1</v>
      </c>
      <c r="AC36" s="1488">
        <f t="shared" si="5"/>
        <v>1</v>
      </c>
    </row>
    <row r="37" spans="1:29" s="430" customFormat="1" ht="15.75" thickBot="1">
      <c r="A37" s="632"/>
      <c r="B37" s="1250">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900"/>
      <c r="M37" s="2902"/>
      <c r="N37" s="2902"/>
      <c r="O37" s="2954"/>
      <c r="P37" s="3492"/>
      <c r="Q37" s="1487">
        <f t="shared" si="8"/>
        <v>111</v>
      </c>
      <c r="R37" s="717" t="s">
        <v>17</v>
      </c>
      <c r="S37" s="718">
        <f t="shared" si="10"/>
        <v>100</v>
      </c>
      <c r="T37" s="717" t="s">
        <v>17</v>
      </c>
      <c r="U37" s="718">
        <f t="shared" si="11"/>
        <v>100</v>
      </c>
      <c r="V37" s="717" t="s">
        <v>17</v>
      </c>
      <c r="W37" s="718">
        <f t="shared" si="12"/>
        <v>100</v>
      </c>
      <c r="X37" s="719"/>
      <c r="Y37" s="3492"/>
      <c r="Z37" s="720">
        <f t="shared" si="13"/>
        <v>111</v>
      </c>
      <c r="AA37" s="1488">
        <f t="shared" si="3"/>
        <v>1</v>
      </c>
      <c r="AB37" s="1488">
        <f t="shared" si="4"/>
        <v>1</v>
      </c>
      <c r="AC37" s="1488">
        <f t="shared" si="5"/>
        <v>1</v>
      </c>
    </row>
    <row r="38" spans="1:29" ht="15">
      <c r="A38" s="431" t="s">
        <v>2142</v>
      </c>
      <c r="B38" s="415" t="s">
        <v>2330</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901"/>
      <c r="M38" s="2895"/>
      <c r="N38" s="2895"/>
      <c r="O38" s="2953"/>
      <c r="P38" s="3492"/>
      <c r="Q38" s="1487" t="str">
        <f>B38</f>
        <v>宗地面积</v>
      </c>
      <c r="R38" s="714" t="s">
        <v>17</v>
      </c>
      <c r="S38" s="715" t="e">
        <f t="shared" si="10"/>
        <v>#N/A</v>
      </c>
      <c r="T38" s="714" t="s">
        <v>17</v>
      </c>
      <c r="U38" s="715" t="e">
        <f t="shared" si="11"/>
        <v>#N/A</v>
      </c>
      <c r="V38" s="714" t="s">
        <v>17</v>
      </c>
      <c r="W38" s="715" t="e">
        <f t="shared" si="12"/>
        <v>#N/A</v>
      </c>
      <c r="X38" s="1490"/>
      <c r="Y38" s="3492"/>
      <c r="Z38" s="1491" t="str">
        <f t="shared" si="13"/>
        <v>宗地面积</v>
      </c>
      <c r="AA38" s="1488" t="e">
        <f t="shared" si="3"/>
        <v>#N/A</v>
      </c>
      <c r="AB38" s="1488" t="e">
        <f t="shared" si="4"/>
        <v>#N/A</v>
      </c>
      <c r="AC38" s="1488" t="e">
        <f t="shared" si="5"/>
        <v>#N/A</v>
      </c>
    </row>
    <row r="39" spans="1:29" ht="15">
      <c r="A39" s="431"/>
      <c r="B39" s="381" t="s">
        <v>2331</v>
      </c>
      <c r="C39" s="2043"/>
      <c r="D39" s="394">
        <v>100</v>
      </c>
      <c r="E39" s="2043"/>
      <c r="F39" s="394">
        <f>SUMIF(118:118,E39,119:119)-SUMIF(118:118,C39,119:119)+100</f>
        <v>100</v>
      </c>
      <c r="G39" s="2043"/>
      <c r="H39" s="394">
        <f>SUMIF(118:118,G39,119:119)-SUMIF(118:118,C39,119:119)+100</f>
        <v>100</v>
      </c>
      <c r="I39" s="2043"/>
      <c r="J39" s="394">
        <f>SUMIF(118:118,I39,119:119)-SUMIF(118:118,C39,119:119)+100</f>
        <v>100</v>
      </c>
      <c r="K39" s="569"/>
      <c r="L39" s="2901"/>
      <c r="M39" s="2895"/>
      <c r="N39" s="2895"/>
      <c r="O39" s="2953"/>
      <c r="P39" s="3492"/>
      <c r="Q39" s="1487" t="str">
        <f t="shared" ref="Q39:Q45" si="14">B39</f>
        <v>宗地形状</v>
      </c>
      <c r="R39" s="714" t="s">
        <v>17</v>
      </c>
      <c r="S39" s="715">
        <f t="shared" si="10"/>
        <v>100</v>
      </c>
      <c r="T39" s="714" t="s">
        <v>17</v>
      </c>
      <c r="U39" s="715">
        <f t="shared" si="11"/>
        <v>100</v>
      </c>
      <c r="V39" s="714" t="s">
        <v>17</v>
      </c>
      <c r="W39" s="715">
        <f t="shared" si="12"/>
        <v>100</v>
      </c>
      <c r="X39" s="1490"/>
      <c r="Y39" s="3492"/>
      <c r="Z39" s="1491" t="str">
        <f t="shared" si="13"/>
        <v>宗地形状</v>
      </c>
      <c r="AA39" s="1488">
        <f t="shared" si="3"/>
        <v>1</v>
      </c>
      <c r="AB39" s="1488">
        <f t="shared" si="4"/>
        <v>1</v>
      </c>
      <c r="AC39" s="1488">
        <f t="shared" si="5"/>
        <v>1</v>
      </c>
    </row>
    <row r="40" spans="1:29" ht="15">
      <c r="A40" s="431"/>
      <c r="B40" s="381" t="s">
        <v>2332</v>
      </c>
      <c r="C40" s="2043"/>
      <c r="D40" s="394">
        <v>100</v>
      </c>
      <c r="E40" s="2043"/>
      <c r="F40" s="394">
        <f>SUMIF(120:120,E40,121:121)-SUMIF(120:120,C40,121:121)+100</f>
        <v>100</v>
      </c>
      <c r="G40" s="2043"/>
      <c r="H40" s="394">
        <f>SUMIF(120:120,G40,121:121)-SUMIF(120:120,C40,121:121)+100</f>
        <v>100</v>
      </c>
      <c r="I40" s="2043"/>
      <c r="J40" s="394">
        <f>SUMIF(120:120,I40,121:121)-SUMIF(120:120,C40,121:121)+100</f>
        <v>100</v>
      </c>
      <c r="K40" s="569"/>
      <c r="L40" s="2901"/>
      <c r="M40" s="2895"/>
      <c r="N40" s="2895"/>
      <c r="O40" s="2953"/>
      <c r="P40" s="3492"/>
      <c r="Q40" s="1487" t="str">
        <f t="shared" si="14"/>
        <v>临街宽度及深度</v>
      </c>
      <c r="R40" s="714" t="s">
        <v>17</v>
      </c>
      <c r="S40" s="715">
        <f t="shared" si="10"/>
        <v>100</v>
      </c>
      <c r="T40" s="714" t="s">
        <v>17</v>
      </c>
      <c r="U40" s="715">
        <f t="shared" si="11"/>
        <v>100</v>
      </c>
      <c r="V40" s="714" t="s">
        <v>17</v>
      </c>
      <c r="W40" s="715">
        <f t="shared" si="12"/>
        <v>100</v>
      </c>
      <c r="X40" s="1490"/>
      <c r="Y40" s="3492"/>
      <c r="Z40" s="1491" t="str">
        <f t="shared" si="13"/>
        <v>临街宽度及深度</v>
      </c>
      <c r="AA40" s="1488">
        <f t="shared" si="3"/>
        <v>1</v>
      </c>
      <c r="AB40" s="1488">
        <f t="shared" si="4"/>
        <v>1</v>
      </c>
      <c r="AC40" s="1488">
        <f t="shared" si="5"/>
        <v>1</v>
      </c>
    </row>
    <row r="41" spans="1:29" s="113" customFormat="1" ht="15">
      <c r="A41" s="432"/>
      <c r="B41" s="381" t="s">
        <v>2333</v>
      </c>
      <c r="C41" s="2117"/>
      <c r="D41" s="132">
        <v>100</v>
      </c>
      <c r="E41" s="2117"/>
      <c r="F41" s="394">
        <f>SUMIF(122:122,E41,123:123)-SUMIF(122:122,C41,123:123)+100</f>
        <v>100</v>
      </c>
      <c r="G41" s="2117"/>
      <c r="H41" s="394">
        <f>SUMIF(122:122,G41,123:123)-SUMIF(122:122,C41,123:123)+100</f>
        <v>100</v>
      </c>
      <c r="I41" s="2117"/>
      <c r="J41" s="394">
        <f>SUMIF(122:122,I41,123:123)-SUMIF(122:122,C41,123:123)+100</f>
        <v>100</v>
      </c>
      <c r="K41" s="569"/>
      <c r="L41" s="2896"/>
      <c r="M41" s="2897"/>
      <c r="N41" s="2897"/>
      <c r="O41" s="2951"/>
      <c r="P41" s="3492"/>
      <c r="Q41" s="1487" t="str">
        <f t="shared" si="14"/>
        <v>宗地开发程度</v>
      </c>
      <c r="R41" s="710" t="s">
        <v>17</v>
      </c>
      <c r="S41" s="711">
        <f t="shared" si="10"/>
        <v>100</v>
      </c>
      <c r="T41" s="710" t="s">
        <v>17</v>
      </c>
      <c r="U41" s="711">
        <f t="shared" si="11"/>
        <v>100</v>
      </c>
      <c r="V41" s="710" t="s">
        <v>17</v>
      </c>
      <c r="W41" s="711">
        <f t="shared" si="12"/>
        <v>100</v>
      </c>
      <c r="X41" s="712"/>
      <c r="Y41" s="3492"/>
      <c r="Z41" s="55" t="str">
        <f t="shared" si="13"/>
        <v>宗地开发程度</v>
      </c>
      <c r="AA41" s="713">
        <f t="shared" si="3"/>
        <v>1</v>
      </c>
      <c r="AB41" s="713">
        <f t="shared" si="4"/>
        <v>1</v>
      </c>
      <c r="AC41" s="713">
        <f t="shared" si="5"/>
        <v>1</v>
      </c>
    </row>
    <row r="42" spans="1:29" ht="15">
      <c r="A42" s="431"/>
      <c r="B42" s="381" t="s">
        <v>2334</v>
      </c>
      <c r="C42" s="2043"/>
      <c r="D42" s="394">
        <v>100</v>
      </c>
      <c r="E42" s="2043"/>
      <c r="F42" s="394">
        <f>SUMIF(124:124,E42,125:125)-SUMIF(124:124,C42,125:125)+100</f>
        <v>100</v>
      </c>
      <c r="G42" s="2043"/>
      <c r="H42" s="394">
        <f>SUMIF(124:124,G42,125:125)-SUMIF(124:124,C42,125:125)+100</f>
        <v>100</v>
      </c>
      <c r="I42" s="2043"/>
      <c r="J42" s="394">
        <f>SUMIF(124:124,I42,125:125)-SUMIF(124:124,C42,125:125)+100</f>
        <v>100</v>
      </c>
      <c r="K42" s="569"/>
      <c r="L42" s="2901"/>
      <c r="M42" s="2895"/>
      <c r="N42" s="2895"/>
      <c r="O42" s="2953"/>
      <c r="P42" s="3492" t="s">
        <v>2144</v>
      </c>
      <c r="Q42" s="1487" t="str">
        <f t="shared" si="14"/>
        <v>工程地质条件</v>
      </c>
      <c r="R42" s="714" t="s">
        <v>17</v>
      </c>
      <c r="S42" s="715">
        <f t="shared" si="10"/>
        <v>100</v>
      </c>
      <c r="T42" s="714" t="s">
        <v>17</v>
      </c>
      <c r="U42" s="715">
        <f t="shared" si="11"/>
        <v>100</v>
      </c>
      <c r="V42" s="714" t="s">
        <v>17</v>
      </c>
      <c r="W42" s="715">
        <f t="shared" si="12"/>
        <v>100</v>
      </c>
      <c r="X42" s="1490"/>
      <c r="Y42" s="3492" t="s">
        <v>2144</v>
      </c>
      <c r="Z42" s="1491" t="str">
        <f t="shared" si="13"/>
        <v>工程地质条件</v>
      </c>
      <c r="AA42" s="1488">
        <f t="shared" si="3"/>
        <v>1</v>
      </c>
      <c r="AB42" s="1488">
        <f t="shared" si="4"/>
        <v>1</v>
      </c>
      <c r="AC42" s="1488">
        <f t="shared" si="5"/>
        <v>1</v>
      </c>
    </row>
    <row r="43" spans="1:29" ht="15">
      <c r="A43" s="431"/>
      <c r="B43" s="1249">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901"/>
      <c r="M43" s="2895"/>
      <c r="N43" s="2895"/>
      <c r="O43" s="2953"/>
      <c r="P43" s="3492"/>
      <c r="Q43" s="1487">
        <f t="shared" si="14"/>
        <v>111</v>
      </c>
      <c r="R43" s="714" t="s">
        <v>17</v>
      </c>
      <c r="S43" s="715">
        <f t="shared" si="10"/>
        <v>100</v>
      </c>
      <c r="T43" s="714" t="s">
        <v>17</v>
      </c>
      <c r="U43" s="715">
        <f t="shared" si="11"/>
        <v>100</v>
      </c>
      <c r="V43" s="714" t="s">
        <v>17</v>
      </c>
      <c r="W43" s="715">
        <f t="shared" si="12"/>
        <v>100</v>
      </c>
      <c r="X43" s="1490"/>
      <c r="Y43" s="3492"/>
      <c r="Z43" s="1491">
        <f t="shared" si="13"/>
        <v>111</v>
      </c>
      <c r="AA43" s="1488">
        <f t="shared" si="3"/>
        <v>1</v>
      </c>
      <c r="AB43" s="1488">
        <f t="shared" si="4"/>
        <v>1</v>
      </c>
      <c r="AC43" s="1488">
        <f t="shared" si="5"/>
        <v>1</v>
      </c>
    </row>
    <row r="44" spans="1:29" ht="15">
      <c r="A44" s="431"/>
      <c r="B44" s="1249">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901"/>
      <c r="M44" s="2895"/>
      <c r="N44" s="2895"/>
      <c r="O44" s="2953"/>
      <c r="P44" s="3492"/>
      <c r="Q44" s="1487">
        <f t="shared" si="14"/>
        <v>111</v>
      </c>
      <c r="R44" s="714" t="s">
        <v>17</v>
      </c>
      <c r="S44" s="715">
        <f t="shared" si="10"/>
        <v>100</v>
      </c>
      <c r="T44" s="714" t="s">
        <v>17</v>
      </c>
      <c r="U44" s="715">
        <f t="shared" si="11"/>
        <v>100</v>
      </c>
      <c r="V44" s="714" t="s">
        <v>17</v>
      </c>
      <c r="W44" s="715">
        <f t="shared" si="12"/>
        <v>100</v>
      </c>
      <c r="X44" s="1490"/>
      <c r="Y44" s="3492"/>
      <c r="Z44" s="1491">
        <f t="shared" si="13"/>
        <v>111</v>
      </c>
      <c r="AA44" s="1488">
        <f t="shared" si="3"/>
        <v>1</v>
      </c>
      <c r="AB44" s="1488">
        <f t="shared" si="4"/>
        <v>1</v>
      </c>
      <c r="AC44" s="1488">
        <f t="shared" si="5"/>
        <v>1</v>
      </c>
    </row>
    <row r="45" spans="1:29" s="430" customFormat="1" ht="15.75" thickBot="1">
      <c r="A45" s="427"/>
      <c r="B45" s="1249">
        <v>111</v>
      </c>
      <c r="C45" s="2118"/>
      <c r="D45" s="636">
        <v>100</v>
      </c>
      <c r="E45" s="630"/>
      <c r="F45" s="397">
        <f>SUMIF(130:130,E45,131:131)-SUMIF(130:130,C45,131:131)+100</f>
        <v>100</v>
      </c>
      <c r="G45" s="630"/>
      <c r="H45" s="397">
        <f>SUMIF(130:130,G45,131:131)-SUMIF(130:130,C45,131:131)+100</f>
        <v>100</v>
      </c>
      <c r="I45" s="630"/>
      <c r="J45" s="397">
        <f>SUMIF(130:130,I45,131:131)-SUMIF(130:130,C45,131:131)+100</f>
        <v>100</v>
      </c>
      <c r="K45" s="637"/>
      <c r="L45" s="2900"/>
      <c r="M45" s="2902"/>
      <c r="N45" s="2902"/>
      <c r="O45" s="2954"/>
      <c r="P45" s="3492"/>
      <c r="Q45" s="1487">
        <f t="shared" si="14"/>
        <v>111</v>
      </c>
      <c r="R45" s="717" t="s">
        <v>17</v>
      </c>
      <c r="S45" s="718">
        <f t="shared" si="10"/>
        <v>100</v>
      </c>
      <c r="T45" s="717" t="s">
        <v>17</v>
      </c>
      <c r="U45" s="718">
        <f t="shared" si="11"/>
        <v>100</v>
      </c>
      <c r="V45" s="717" t="s">
        <v>17</v>
      </c>
      <c r="W45" s="718">
        <f t="shared" si="12"/>
        <v>100</v>
      </c>
      <c r="X45" s="719"/>
      <c r="Y45" s="3492"/>
      <c r="Z45" s="720">
        <f t="shared" si="13"/>
        <v>111</v>
      </c>
      <c r="AA45" s="1488">
        <f t="shared" si="3"/>
        <v>1</v>
      </c>
      <c r="AB45" s="1488">
        <f t="shared" si="4"/>
        <v>1</v>
      </c>
      <c r="AC45" s="1488">
        <f t="shared" si="5"/>
        <v>1</v>
      </c>
    </row>
    <row r="46" spans="1:29" ht="15">
      <c r="A46" s="438" t="s">
        <v>2299</v>
      </c>
      <c r="B46" s="2119" t="s">
        <v>2335</v>
      </c>
      <c r="C46" s="638" t="s">
        <v>1</v>
      </c>
      <c r="D46" s="440"/>
      <c r="E46" s="441"/>
      <c r="F46" s="442"/>
      <c r="G46" s="443"/>
      <c r="H46" s="444"/>
      <c r="I46" s="441"/>
      <c r="J46" s="444"/>
      <c r="K46" s="723"/>
      <c r="L46" s="2903"/>
      <c r="M46" s="2904"/>
      <c r="N46" s="2895"/>
      <c r="O46" s="2904"/>
      <c r="P46" s="3485" t="str">
        <f>A46</f>
        <v>成交单价</v>
      </c>
      <c r="Q46" s="3485"/>
      <c r="R46" s="3480">
        <f>E46</f>
        <v>0</v>
      </c>
      <c r="S46" s="3480"/>
      <c r="T46" s="3480">
        <f>G46</f>
        <v>0</v>
      </c>
      <c r="U46" s="3480"/>
      <c r="V46" s="3480">
        <f>I46</f>
        <v>0</v>
      </c>
      <c r="W46" s="3480"/>
      <c r="X46" s="699"/>
      <c r="Y46" s="721"/>
      <c r="Z46" s="699"/>
      <c r="AA46" s="699"/>
      <c r="AB46" s="699"/>
      <c r="AC46" s="699"/>
    </row>
    <row r="47" spans="1:29" ht="15.75" thickBot="1">
      <c r="A47" s="445" t="s">
        <v>2248</v>
      </c>
      <c r="B47" s="639"/>
      <c r="C47" s="448" t="e">
        <f>R48</f>
        <v>#DIV/0!</v>
      </c>
      <c r="D47" s="2489" t="s">
        <v>2638</v>
      </c>
      <c r="E47" s="448" t="e">
        <f>R47</f>
        <v>#DIV/0!</v>
      </c>
      <c r="F47" s="2490"/>
      <c r="G47" s="447" t="e">
        <f>T47</f>
        <v>#DIV/0!</v>
      </c>
      <c r="H47" s="2490"/>
      <c r="I47" s="448" t="e">
        <f>V47</f>
        <v>#DIV/0!</v>
      </c>
      <c r="J47" s="2490"/>
      <c r="K47" s="2492">
        <f>F47+H47+J47</f>
        <v>0</v>
      </c>
      <c r="L47" s="2903"/>
      <c r="M47" s="2904"/>
      <c r="N47" s="2904"/>
      <c r="O47" s="2904"/>
      <c r="P47" s="3485" t="str">
        <f>A47</f>
        <v>比较价值（元/平方米）</v>
      </c>
      <c r="Q47" s="3485"/>
      <c r="R47" s="3513" t="e">
        <f>ROUND(PRODUCT(R46,AA7:AA45),0)</f>
        <v>#DIV/0!</v>
      </c>
      <c r="S47" s="3513"/>
      <c r="T47" s="3513" t="e">
        <f>ROUND(PRODUCT(T46,AB7:AB45),0)</f>
        <v>#DIV/0!</v>
      </c>
      <c r="U47" s="3513"/>
      <c r="V47" s="3513" t="e">
        <f>ROUND(PRODUCT(V46,AC7:AC45),0)</f>
        <v>#DIV/0!</v>
      </c>
      <c r="W47" s="3513"/>
      <c r="X47" s="699"/>
      <c r="Y47" s="699"/>
      <c r="Z47" s="699"/>
      <c r="AA47" s="699"/>
      <c r="AB47" s="699"/>
      <c r="AC47" s="699"/>
    </row>
    <row r="48" spans="1:29" ht="15.75" thickBot="1">
      <c r="A48" s="449" t="s">
        <v>2336</v>
      </c>
      <c r="B48" s="450"/>
      <c r="C48" s="451" t="e">
        <f>R48</f>
        <v>#DIV/0!</v>
      </c>
      <c r="D48" s="451"/>
      <c r="E48" s="451"/>
      <c r="F48" s="451"/>
      <c r="G48" s="451"/>
      <c r="H48" s="451"/>
      <c r="I48" s="451"/>
      <c r="J48" s="451"/>
      <c r="K48" s="724"/>
      <c r="L48" s="2903"/>
      <c r="M48" s="2904"/>
      <c r="N48" s="2904"/>
      <c r="O48" s="2904"/>
      <c r="P48" s="3482" t="str">
        <f>A48</f>
        <v>估价对象XX用房的比较价值（楼面单价，元/平方米）</v>
      </c>
      <c r="Q48" s="3483"/>
      <c r="R48" s="3514" t="e">
        <f>ROUND(IF(D47="简单平均",AVERAGE(R47:W47),R47*F47+T47*H47+V47*J47),0)</f>
        <v>#DIV/0!</v>
      </c>
      <c r="S48" s="3514"/>
      <c r="T48" s="3514"/>
      <c r="U48" s="3514"/>
      <c r="V48" s="3514"/>
      <c r="W48" s="3514"/>
      <c r="X48" s="699"/>
      <c r="Y48" s="699"/>
      <c r="Z48" s="699"/>
      <c r="AA48" s="699"/>
      <c r="AB48" s="699"/>
      <c r="AC48" s="699"/>
    </row>
    <row r="49" spans="1:29">
      <c r="A49" s="2904"/>
      <c r="B49" s="2904"/>
      <c r="C49" s="2904"/>
      <c r="D49" s="2904"/>
      <c r="E49" s="2904"/>
      <c r="F49" s="2904"/>
      <c r="G49" s="2908"/>
      <c r="H49" s="2904"/>
      <c r="I49" s="2904"/>
      <c r="J49" s="2904"/>
      <c r="K49" s="2909"/>
      <c r="L49" s="2905"/>
      <c r="M49" s="2904"/>
      <c r="N49" s="2904"/>
      <c r="O49" s="2904"/>
      <c r="P49" s="2904"/>
      <c r="Q49" s="2904"/>
      <c r="R49" s="2904"/>
      <c r="S49" s="2904"/>
      <c r="T49" s="2904"/>
      <c r="U49" s="2904"/>
      <c r="V49" s="2904"/>
      <c r="W49" s="2904"/>
      <c r="X49" s="2904"/>
      <c r="Y49" s="2904"/>
      <c r="Z49" s="2904"/>
      <c r="AA49" s="2904"/>
      <c r="AB49" s="2904"/>
      <c r="AC49" s="2904"/>
    </row>
    <row r="50" spans="1:29">
      <c r="A50" s="2904"/>
      <c r="B50" s="2904"/>
      <c r="C50" s="2904"/>
      <c r="D50" s="2904"/>
      <c r="E50" s="2904"/>
      <c r="F50" s="2904"/>
      <c r="G50" s="2904"/>
      <c r="H50" s="2904"/>
      <c r="I50" s="2904"/>
      <c r="J50" s="2904"/>
      <c r="K50" s="2909"/>
      <c r="L50" s="2905"/>
      <c r="M50" s="2904"/>
      <c r="N50" s="2904"/>
      <c r="O50" s="2904"/>
      <c r="P50" s="2904"/>
      <c r="Q50" s="2904"/>
      <c r="R50" s="2904"/>
      <c r="S50" s="2904"/>
      <c r="T50" s="2904"/>
      <c r="U50" s="2904"/>
      <c r="V50" s="2904"/>
      <c r="W50" s="2904"/>
      <c r="X50" s="2904"/>
      <c r="Y50" s="2904"/>
      <c r="Z50" s="2904"/>
      <c r="AA50" s="2904"/>
      <c r="AB50" s="2904"/>
      <c r="AC50" s="2904"/>
    </row>
    <row r="51" spans="1:29" ht="13.5" customHeight="1">
      <c r="A51" s="2904"/>
      <c r="B51" s="2904"/>
      <c r="C51" s="454" t="s">
        <v>2250</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9"/>
      <c r="L51" s="2905"/>
      <c r="M51" s="2904"/>
      <c r="N51" s="2904"/>
      <c r="O51" s="2904"/>
      <c r="P51" s="2904"/>
      <c r="Q51" s="2904"/>
      <c r="R51" s="2904"/>
      <c r="S51" s="2904"/>
      <c r="T51" s="2904"/>
      <c r="U51" s="2904"/>
      <c r="V51" s="2904"/>
      <c r="W51" s="2904"/>
      <c r="X51" s="2904"/>
      <c r="Y51" s="2904"/>
      <c r="Z51" s="2904"/>
      <c r="AA51" s="2904"/>
      <c r="AB51" s="2904"/>
      <c r="AC51" s="2904"/>
    </row>
    <row r="52" spans="1:29" ht="13.5" customHeight="1">
      <c r="A52" s="2904"/>
      <c r="B52" s="2904"/>
      <c r="C52" s="454" t="s">
        <v>2251</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9"/>
      <c r="L52" s="2905"/>
      <c r="M52" s="2904"/>
      <c r="N52" s="2904"/>
      <c r="O52" s="2904"/>
      <c r="P52" s="2904"/>
      <c r="Q52" s="2904"/>
      <c r="R52" s="2904"/>
      <c r="S52" s="2904"/>
      <c r="T52" s="2904"/>
      <c r="U52" s="2904"/>
      <c r="V52" s="2904"/>
      <c r="W52" s="2904"/>
      <c r="X52" s="2904"/>
      <c r="Y52" s="2904"/>
      <c r="Z52" s="2904"/>
      <c r="AA52" s="2904"/>
      <c r="AB52" s="2904"/>
      <c r="AC52" s="2904"/>
    </row>
    <row r="53" spans="1:29" s="459" customFormat="1" ht="13.5" customHeight="1">
      <c r="A53" s="2907"/>
      <c r="B53" s="2907"/>
      <c r="C53" s="454" t="s">
        <v>2252</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12"/>
      <c r="L53" s="2906"/>
      <c r="M53" s="2907"/>
      <c r="N53" s="2907"/>
      <c r="O53" s="2907"/>
      <c r="P53" s="2907"/>
      <c r="Q53" s="2907"/>
      <c r="R53" s="2907"/>
      <c r="S53" s="2907"/>
      <c r="T53" s="2907"/>
      <c r="U53" s="2907"/>
      <c r="V53" s="2907"/>
      <c r="W53" s="2907"/>
      <c r="X53" s="2907"/>
      <c r="Y53" s="2907"/>
      <c r="Z53" s="2907"/>
      <c r="AA53" s="2907"/>
      <c r="AB53" s="2907"/>
      <c r="AC53" s="2907"/>
    </row>
    <row r="54" spans="1:29" s="459" customFormat="1" ht="15" thickBot="1">
      <c r="A54" s="2907"/>
      <c r="B54" s="2910"/>
      <c r="C54" s="702"/>
      <c r="D54" s="700"/>
      <c r="E54" s="700"/>
      <c r="F54" s="700"/>
      <c r="G54" s="700"/>
      <c r="H54" s="700"/>
      <c r="I54" s="700"/>
      <c r="J54" s="700"/>
      <c r="K54" s="2912"/>
      <c r="L54" s="2906"/>
      <c r="M54" s="2907"/>
      <c r="N54" s="2907"/>
      <c r="O54" s="2907"/>
      <c r="P54" s="2907"/>
      <c r="Q54" s="2907"/>
      <c r="R54" s="2907"/>
      <c r="S54" s="2907"/>
      <c r="T54" s="2907"/>
      <c r="U54" s="2907"/>
      <c r="V54" s="2907"/>
      <c r="W54" s="2907"/>
      <c r="X54" s="2907"/>
      <c r="Y54" s="2907"/>
      <c r="Z54" s="2907"/>
      <c r="AA54" s="2907"/>
      <c r="AB54" s="2907"/>
      <c r="AC54" s="2907"/>
    </row>
    <row r="55" spans="1:29" ht="27" customHeight="1">
      <c r="A55" s="640" t="s">
        <v>2337</v>
      </c>
      <c r="B55" s="641" t="s">
        <v>2338</v>
      </c>
      <c r="C55" s="2120" t="s">
        <v>2339</v>
      </c>
      <c r="D55" s="2121" t="s">
        <v>2340</v>
      </c>
      <c r="E55" s="642" t="s">
        <v>2341</v>
      </c>
      <c r="F55" s="1002" t="s">
        <v>2342</v>
      </c>
      <c r="G55" s="3468" t="s">
        <v>2343</v>
      </c>
      <c r="H55" s="3515"/>
      <c r="I55" s="140" t="s">
        <v>2344</v>
      </c>
      <c r="J55" s="2122">
        <f>项目基本情况!F35</f>
        <v>0</v>
      </c>
      <c r="K55" s="2123" t="s">
        <v>2345</v>
      </c>
      <c r="L55" s="2905"/>
      <c r="M55" s="2904"/>
      <c r="N55" s="2904"/>
      <c r="O55" s="2904"/>
      <c r="P55" s="2904"/>
      <c r="Q55" s="2904"/>
      <c r="R55" s="2904"/>
      <c r="S55" s="2904"/>
      <c r="T55" s="2904"/>
      <c r="U55" s="2904"/>
      <c r="V55" s="2904"/>
      <c r="W55" s="2904"/>
      <c r="X55" s="2904"/>
      <c r="Y55" s="2904"/>
      <c r="Z55" s="2904"/>
      <c r="AA55" s="2904"/>
      <c r="AB55" s="2904"/>
      <c r="AC55" s="2904"/>
    </row>
    <row r="56" spans="1:29" s="648" customFormat="1">
      <c r="A56" s="644" t="s">
        <v>2346</v>
      </c>
      <c r="B56" s="645" t="e">
        <f>C48</f>
        <v>#DIV/0!</v>
      </c>
      <c r="C56" s="646">
        <v>1</v>
      </c>
      <c r="D56" s="1056">
        <v>1</v>
      </c>
      <c r="E56" s="646">
        <f>'数据-汇总表'!E8+'数据-汇总表'!E9</f>
        <v>5413.53</v>
      </c>
      <c r="F56" s="998" t="e">
        <f t="shared" ref="F56:F64" si="15">ROUND(B56*E56/10000,0)</f>
        <v>#DIV/0!</v>
      </c>
      <c r="G56" s="3467"/>
      <c r="H56" s="3485"/>
      <c r="I56" s="1003">
        <v>1</v>
      </c>
      <c r="J56" s="1006">
        <v>1</v>
      </c>
      <c r="K56" s="2907"/>
      <c r="L56" s="2961"/>
      <c r="M56" s="2961"/>
      <c r="N56" s="2961"/>
      <c r="O56" s="2961"/>
      <c r="P56" s="2961"/>
      <c r="Q56" s="2961"/>
      <c r="R56" s="2961"/>
      <c r="S56" s="2961"/>
      <c r="T56" s="2961"/>
      <c r="U56" s="2961"/>
      <c r="V56" s="2961"/>
      <c r="W56" s="2961"/>
      <c r="X56" s="2961"/>
      <c r="Y56" s="2961"/>
      <c r="Z56" s="2961"/>
      <c r="AA56" s="2961"/>
      <c r="AB56" s="2961"/>
      <c r="AC56" s="2961"/>
    </row>
    <row r="57" spans="1:29" s="648" customFormat="1">
      <c r="A57" s="649" t="s">
        <v>2347</v>
      </c>
      <c r="B57" s="224" t="e">
        <f>ROUND($C$48*C57*D57,0)</f>
        <v>#DIV/0!</v>
      </c>
      <c r="C57" s="176">
        <f t="shared" ref="C57:C64" si="16">IF($C$55="北京市系数",I57,J57)</f>
        <v>0.6</v>
      </c>
      <c r="D57" s="1057">
        <v>0.25</v>
      </c>
      <c r="E57" s="650"/>
      <c r="F57" s="998" t="e">
        <f t="shared" si="15"/>
        <v>#DIV/0!</v>
      </c>
      <c r="G57" s="3228" t="s">
        <v>2348</v>
      </c>
      <c r="H57" s="999" t="str">
        <f>项目基本情况!B37</f>
        <v>三级</v>
      </c>
      <c r="I57" s="1003">
        <f>SUMIF(修正!A57:A68,H57,修正!B57:B68)</f>
        <v>0.6</v>
      </c>
      <c r="J57" s="1007"/>
      <c r="K57" s="2904"/>
      <c r="L57" s="2961"/>
      <c r="M57" s="2961"/>
      <c r="N57" s="2961"/>
      <c r="O57" s="2961"/>
      <c r="P57" s="2961"/>
      <c r="Q57" s="2961"/>
      <c r="R57" s="2961"/>
      <c r="S57" s="2961"/>
      <c r="T57" s="2961"/>
      <c r="U57" s="2961"/>
      <c r="V57" s="2961"/>
      <c r="W57" s="2961"/>
      <c r="X57" s="2961"/>
      <c r="Y57" s="2961"/>
      <c r="Z57" s="2961"/>
      <c r="AA57" s="2961"/>
      <c r="AB57" s="2961"/>
      <c r="AC57" s="2961"/>
    </row>
    <row r="58" spans="1:29" s="648" customFormat="1">
      <c r="A58" s="649" t="s">
        <v>2349</v>
      </c>
      <c r="B58" s="224" t="e">
        <f t="shared" ref="B58:B64" si="17">ROUND($C$48*C58*D58,0)</f>
        <v>#DIV/0!</v>
      </c>
      <c r="C58" s="176">
        <f t="shared" si="16"/>
        <v>0.3</v>
      </c>
      <c r="D58" s="1057">
        <v>0.25</v>
      </c>
      <c r="E58" s="650"/>
      <c r="F58" s="998" t="e">
        <f t="shared" si="15"/>
        <v>#DIV/0!</v>
      </c>
      <c r="G58" s="3229"/>
      <c r="H58" s="999" t="str">
        <f>项目基本情况!B37</f>
        <v>三级</v>
      </c>
      <c r="I58" s="1003">
        <f>SUMIF(修正!A57:A68,H58,修正!C57:C68)</f>
        <v>0.3</v>
      </c>
      <c r="J58" s="1007"/>
      <c r="K58" s="2907"/>
      <c r="L58" s="2961"/>
      <c r="M58" s="2961"/>
      <c r="N58" s="2961"/>
      <c r="O58" s="2961"/>
      <c r="P58" s="2961"/>
      <c r="Q58" s="2961"/>
      <c r="R58" s="2961"/>
      <c r="S58" s="2961"/>
      <c r="T58" s="2961"/>
      <c r="U58" s="2961"/>
      <c r="V58" s="2961"/>
      <c r="W58" s="2961"/>
      <c r="X58" s="2961"/>
      <c r="Y58" s="2961"/>
      <c r="Z58" s="2961"/>
      <c r="AA58" s="2961"/>
      <c r="AB58" s="2961"/>
      <c r="AC58" s="2961"/>
    </row>
    <row r="59" spans="1:29" s="648" customFormat="1">
      <c r="A59" s="649" t="s">
        <v>2350</v>
      </c>
      <c r="B59" s="224" t="e">
        <f t="shared" si="17"/>
        <v>#DIV/0!</v>
      </c>
      <c r="C59" s="176">
        <f t="shared" si="16"/>
        <v>0.25</v>
      </c>
      <c r="D59" s="1057">
        <v>0.25</v>
      </c>
      <c r="E59" s="650"/>
      <c r="F59" s="998" t="e">
        <f t="shared" si="15"/>
        <v>#DIV/0!</v>
      </c>
      <c r="G59" s="3229"/>
      <c r="H59" s="999" t="str">
        <f>项目基本情况!B37</f>
        <v>三级</v>
      </c>
      <c r="I59" s="1003">
        <f>SUMIF(修正!A57:A68,H59,修正!D57:D68)</f>
        <v>0.25</v>
      </c>
      <c r="J59" s="1007"/>
      <c r="K59" s="2904"/>
      <c r="L59" s="2961"/>
      <c r="M59" s="2961"/>
      <c r="N59" s="2961"/>
      <c r="O59" s="2961"/>
      <c r="P59" s="2961"/>
      <c r="Q59" s="2961"/>
      <c r="R59" s="2961"/>
      <c r="S59" s="2961"/>
      <c r="T59" s="2961"/>
      <c r="U59" s="2961"/>
      <c r="V59" s="2961"/>
      <c r="W59" s="2961"/>
      <c r="X59" s="2961"/>
      <c r="Y59" s="2961"/>
      <c r="Z59" s="2961"/>
      <c r="AA59" s="2961"/>
      <c r="AB59" s="2961"/>
      <c r="AC59" s="2961"/>
    </row>
    <row r="60" spans="1:29" s="648" customFormat="1">
      <c r="A60" s="649" t="s">
        <v>2351</v>
      </c>
      <c r="B60" s="224" t="e">
        <f t="shared" si="17"/>
        <v>#DIV/0!</v>
      </c>
      <c r="C60" s="176">
        <f t="shared" si="16"/>
        <v>0</v>
      </c>
      <c r="D60" s="1057">
        <v>0.25</v>
      </c>
      <c r="E60" s="223">
        <f>'数据-汇总表'!E11</f>
        <v>0</v>
      </c>
      <c r="F60" s="998" t="e">
        <f t="shared" si="15"/>
        <v>#DIV/0!</v>
      </c>
      <c r="G60" s="2124" t="s">
        <v>2352</v>
      </c>
      <c r="H60" s="999">
        <f>项目基本情况!C37</f>
        <v>0</v>
      </c>
      <c r="I60" s="1003">
        <f>SUMIF(修正!A57:A68,H60,修正!E57:E68)</f>
        <v>0</v>
      </c>
      <c r="J60" s="1007"/>
      <c r="K60" s="2904"/>
      <c r="L60" s="2961"/>
      <c r="M60" s="2961"/>
      <c r="N60" s="2961"/>
      <c r="O60" s="2961"/>
      <c r="P60" s="2961"/>
      <c r="Q60" s="2961"/>
      <c r="R60" s="2961"/>
      <c r="S60" s="2961"/>
      <c r="T60" s="2961"/>
      <c r="U60" s="2961"/>
      <c r="V60" s="2961"/>
      <c r="W60" s="2961"/>
      <c r="X60" s="2961"/>
      <c r="Y60" s="2961"/>
      <c r="Z60" s="2961"/>
      <c r="AA60" s="2961"/>
      <c r="AB60" s="2961"/>
      <c r="AC60" s="2961"/>
    </row>
    <row r="61" spans="1:29" s="648" customFormat="1">
      <c r="A61" s="649" t="s">
        <v>2353</v>
      </c>
      <c r="B61" s="224" t="e">
        <f t="shared" si="17"/>
        <v>#DIV/0!</v>
      </c>
      <c r="C61" s="176">
        <f t="shared" si="16"/>
        <v>0</v>
      </c>
      <c r="D61" s="1057">
        <v>0.25</v>
      </c>
      <c r="E61" s="223">
        <f>'数据-汇总表'!E12</f>
        <v>0</v>
      </c>
      <c r="F61" s="998" t="e">
        <f t="shared" si="15"/>
        <v>#DIV/0!</v>
      </c>
      <c r="G61" s="1004" t="s">
        <v>2354</v>
      </c>
      <c r="H61" s="999">
        <f>IF(G61="商业",项目基本情况!B37,IF(G61="办公",项目基本情况!C37,IF(G61="住宅",项目基本情况!D37,项目基本情况!E37)))</f>
        <v>0</v>
      </c>
      <c r="I61" s="1003">
        <f>SUMIF(修正!A57:A68,H61,修正!F57:F68)</f>
        <v>0</v>
      </c>
      <c r="J61" s="1007"/>
      <c r="K61" s="2907"/>
      <c r="L61" s="2961"/>
      <c r="M61" s="2961"/>
      <c r="N61" s="2961"/>
      <c r="O61" s="2961"/>
      <c r="P61" s="2961"/>
      <c r="Q61" s="2961"/>
      <c r="R61" s="2961"/>
      <c r="S61" s="2961"/>
      <c r="T61" s="2961"/>
      <c r="U61" s="2961"/>
      <c r="V61" s="2961"/>
      <c r="W61" s="2961"/>
      <c r="X61" s="2961"/>
      <c r="Y61" s="2961"/>
      <c r="Z61" s="2961"/>
      <c r="AA61" s="2961"/>
      <c r="AB61" s="2961"/>
      <c r="AC61" s="2961"/>
    </row>
    <row r="62" spans="1:29" s="648" customFormat="1">
      <c r="A62" s="649" t="s">
        <v>2355</v>
      </c>
      <c r="B62" s="224" t="e">
        <f t="shared" si="17"/>
        <v>#DIV/0!</v>
      </c>
      <c r="C62" s="176">
        <f t="shared" si="16"/>
        <v>0</v>
      </c>
      <c r="D62" s="1057">
        <v>0.25</v>
      </c>
      <c r="E62" s="223">
        <f>'数据-汇总表'!E13</f>
        <v>0</v>
      </c>
      <c r="F62" s="998" t="e">
        <f t="shared" si="15"/>
        <v>#DIV/0!</v>
      </c>
      <c r="G62" s="1004" t="s">
        <v>2356</v>
      </c>
      <c r="H62" s="999">
        <f>IF(G62="商业",项目基本情况!B37,IF(G62="办公",项目基本情况!C37,IF(G62="住宅",项目基本情况!D37,项目基本情况!E37)))</f>
        <v>0</v>
      </c>
      <c r="I62" s="1003">
        <f>SUMIF(修正!A57:A68,H62,修正!G57:G68)</f>
        <v>0</v>
      </c>
      <c r="J62" s="1007"/>
      <c r="K62" s="2904"/>
      <c r="L62" s="2961"/>
      <c r="M62" s="2961"/>
      <c r="N62" s="2961"/>
      <c r="O62" s="2961"/>
      <c r="P62" s="2961"/>
      <c r="Q62" s="2961"/>
      <c r="R62" s="2961"/>
      <c r="S62" s="2961"/>
      <c r="T62" s="2961"/>
      <c r="U62" s="2961"/>
      <c r="V62" s="2961"/>
      <c r="W62" s="2961"/>
      <c r="X62" s="2961"/>
      <c r="Y62" s="2961"/>
      <c r="Z62" s="2961"/>
      <c r="AA62" s="2961"/>
      <c r="AB62" s="2961"/>
      <c r="AC62" s="2961"/>
    </row>
    <row r="63" spans="1:29" s="648" customFormat="1">
      <c r="A63" s="649" t="s">
        <v>2357</v>
      </c>
      <c r="B63" s="224" t="e">
        <f t="shared" si="17"/>
        <v>#DIV/0!</v>
      </c>
      <c r="C63" s="176">
        <f t="shared" si="16"/>
        <v>0.15</v>
      </c>
      <c r="D63" s="1057">
        <v>0.25</v>
      </c>
      <c r="E63" s="223">
        <f>'数据-汇总表'!E14</f>
        <v>0</v>
      </c>
      <c r="F63" s="998" t="e">
        <f t="shared" si="15"/>
        <v>#DIV/0!</v>
      </c>
      <c r="G63" s="2124" t="s">
        <v>2348</v>
      </c>
      <c r="H63" s="999" t="str">
        <f>项目基本情况!B37</f>
        <v>三级</v>
      </c>
      <c r="I63" s="1003">
        <f>SUMIF(修正!A57:A68,H63,修正!G57:G68)</f>
        <v>0.15</v>
      </c>
      <c r="J63" s="1007"/>
      <c r="K63" s="2907"/>
      <c r="L63" s="2961"/>
      <c r="M63" s="2961"/>
      <c r="N63" s="2961"/>
      <c r="O63" s="2961"/>
      <c r="P63" s="2961"/>
      <c r="Q63" s="2961"/>
      <c r="R63" s="2961"/>
      <c r="S63" s="2961"/>
      <c r="T63" s="2961"/>
      <c r="U63" s="2961"/>
      <c r="V63" s="2961"/>
      <c r="W63" s="2961"/>
      <c r="X63" s="2961"/>
      <c r="Y63" s="2961"/>
      <c r="Z63" s="2961"/>
      <c r="AA63" s="2961"/>
      <c r="AB63" s="2961"/>
      <c r="AC63" s="2961"/>
    </row>
    <row r="64" spans="1:29" s="648" customFormat="1" ht="15" thickBot="1">
      <c r="A64" s="649" t="s">
        <v>2358</v>
      </c>
      <c r="B64" s="224" t="e">
        <f t="shared" si="17"/>
        <v>#DIV/0!</v>
      </c>
      <c r="C64" s="176">
        <f t="shared" si="16"/>
        <v>0</v>
      </c>
      <c r="D64" s="1057">
        <v>0.25</v>
      </c>
      <c r="E64" s="223">
        <f>'数据-汇总表'!E15</f>
        <v>0</v>
      </c>
      <c r="F64" s="998" t="e">
        <f t="shared" si="15"/>
        <v>#DIV/0!</v>
      </c>
      <c r="G64" s="2125" t="s">
        <v>2352</v>
      </c>
      <c r="H64" s="1009">
        <f>项目基本情况!C37</f>
        <v>0</v>
      </c>
      <c r="I64" s="1005">
        <f>SUMIF(修正!A57:A68,H64,修正!G57:G68)</f>
        <v>0</v>
      </c>
      <c r="J64" s="1008"/>
      <c r="K64" s="2904"/>
      <c r="L64" s="2961"/>
      <c r="M64" s="2961"/>
      <c r="N64" s="2961"/>
      <c r="O64" s="2961"/>
      <c r="P64" s="2961"/>
      <c r="Q64" s="2961"/>
      <c r="R64" s="2961"/>
      <c r="S64" s="2961"/>
      <c r="T64" s="2961"/>
      <c r="U64" s="2961"/>
      <c r="V64" s="2961"/>
      <c r="W64" s="2961"/>
      <c r="X64" s="2961"/>
      <c r="Y64" s="2961"/>
      <c r="Z64" s="2961"/>
      <c r="AA64" s="2961"/>
      <c r="AB64" s="2961"/>
      <c r="AC64" s="2961"/>
    </row>
    <row r="65" spans="1:29" s="648" customFormat="1" ht="13.5" thickBot="1">
      <c r="A65" s="651" t="s">
        <v>2359</v>
      </c>
      <c r="B65" s="652" t="s">
        <v>28</v>
      </c>
      <c r="C65" s="652" t="s">
        <v>29</v>
      </c>
      <c r="D65" s="652" t="s">
        <v>816</v>
      </c>
      <c r="E65" s="652">
        <f>IF(B46="楼面地价",SUM(E56:E64),'数据-汇总表'!D3)</f>
        <v>5413.53</v>
      </c>
      <c r="F65" s="653" t="e">
        <f>IF(B46="楼面地价",SUM(F56:F64),ROUND(C48*E65/10000,0))</f>
        <v>#DIV/0!</v>
      </c>
      <c r="G65" s="726"/>
      <c r="H65" s="726"/>
      <c r="I65" s="726"/>
      <c r="J65" s="726"/>
      <c r="K65" s="2962"/>
      <c r="L65" s="2961"/>
      <c r="M65" s="2961"/>
      <c r="N65" s="2961"/>
      <c r="O65" s="2961"/>
      <c r="P65" s="2961"/>
      <c r="Q65" s="2961"/>
      <c r="R65" s="2961"/>
      <c r="S65" s="2961"/>
      <c r="T65" s="2961"/>
      <c r="U65" s="2961"/>
      <c r="V65" s="2961"/>
      <c r="W65" s="2961"/>
      <c r="X65" s="2961"/>
      <c r="Y65" s="2961"/>
      <c r="Z65" s="2961"/>
      <c r="AA65" s="2961"/>
      <c r="AB65" s="2961"/>
      <c r="AC65" s="2961"/>
    </row>
    <row r="66" spans="1:29">
      <c r="A66" s="699"/>
      <c r="B66" s="701"/>
      <c r="C66" s="702"/>
      <c r="D66" s="699"/>
      <c r="E66" s="699"/>
      <c r="F66" s="699"/>
      <c r="G66" s="699"/>
      <c r="H66" s="699"/>
      <c r="I66" s="699"/>
      <c r="J66" s="1039"/>
      <c r="K66" s="1000"/>
      <c r="L66" s="1001"/>
      <c r="M66" s="1039"/>
      <c r="N66" s="1039"/>
      <c r="O66" s="1039"/>
      <c r="P66" s="2904"/>
      <c r="Q66" s="2904"/>
      <c r="R66" s="2904"/>
      <c r="S66" s="2904"/>
      <c r="T66" s="2904"/>
      <c r="U66" s="2904"/>
      <c r="V66" s="2904"/>
      <c r="W66" s="2904"/>
      <c r="X66" s="2904"/>
      <c r="Y66" s="2904"/>
      <c r="Z66" s="2904"/>
      <c r="AA66" s="2904"/>
      <c r="AB66" s="2904"/>
      <c r="AC66" s="2904"/>
    </row>
    <row r="67" spans="1:29">
      <c r="A67" s="699"/>
      <c r="B67" s="701"/>
      <c r="C67" s="701" t="str">
        <f>YEAR(C7)&amp;"-"&amp;MONTH(C7)&amp;"-1"</f>
        <v>2022-11-1</v>
      </c>
      <c r="D67" s="701">
        <f>EDATE(C67,-3)</f>
        <v>44774</v>
      </c>
      <c r="E67" s="701">
        <f>EDATE(D67,-3)</f>
        <v>44682</v>
      </c>
      <c r="F67" s="701">
        <f t="shared" ref="F67:O67" si="18">EDATE(E67,-3)</f>
        <v>44593</v>
      </c>
      <c r="G67" s="701">
        <f t="shared" si="18"/>
        <v>44501</v>
      </c>
      <c r="H67" s="701">
        <f t="shared" si="18"/>
        <v>44409</v>
      </c>
      <c r="I67" s="701">
        <f t="shared" si="18"/>
        <v>44317</v>
      </c>
      <c r="J67" s="701">
        <f t="shared" si="18"/>
        <v>44228</v>
      </c>
      <c r="K67" s="701">
        <f t="shared" si="18"/>
        <v>44136</v>
      </c>
      <c r="L67" s="701">
        <f t="shared" si="18"/>
        <v>44044</v>
      </c>
      <c r="M67" s="701">
        <f t="shared" si="18"/>
        <v>43952</v>
      </c>
      <c r="N67" s="701">
        <f t="shared" si="18"/>
        <v>43862</v>
      </c>
      <c r="O67" s="701">
        <f t="shared" si="18"/>
        <v>43770</v>
      </c>
      <c r="P67" s="2904"/>
      <c r="Q67" s="2904"/>
      <c r="R67" s="2904"/>
      <c r="S67" s="2904"/>
      <c r="T67" s="2904"/>
      <c r="U67" s="2904"/>
      <c r="V67" s="2904"/>
      <c r="W67" s="2904"/>
      <c r="X67" s="2904"/>
      <c r="Y67" s="2904"/>
      <c r="Z67" s="2904"/>
      <c r="AA67" s="2904"/>
      <c r="AB67" s="2904"/>
      <c r="AC67" s="2904"/>
    </row>
    <row r="68" spans="1:29" ht="21.75" thickBot="1">
      <c r="A68" s="703" t="s">
        <v>2253</v>
      </c>
      <c r="B68" s="699"/>
      <c r="C68" s="704"/>
      <c r="D68" s="704"/>
      <c r="E68" s="704"/>
      <c r="F68" s="705"/>
      <c r="G68" s="705"/>
      <c r="H68" s="704"/>
      <c r="I68" s="704"/>
      <c r="J68" s="1052"/>
      <c r="K68" s="1053"/>
      <c r="L68" s="1054"/>
      <c r="M68" s="1052"/>
      <c r="N68" s="2948"/>
      <c r="O68" s="2948"/>
      <c r="P68" s="2948"/>
      <c r="Q68" s="2918"/>
      <c r="R68" s="2904"/>
      <c r="S68" s="2904"/>
      <c r="T68" s="2904"/>
      <c r="U68" s="2904"/>
      <c r="V68" s="2904"/>
      <c r="W68" s="2904"/>
      <c r="X68" s="2904"/>
      <c r="Y68" s="2904"/>
      <c r="Z68" s="2904"/>
      <c r="AA68" s="2904"/>
      <c r="AB68" s="2904"/>
      <c r="AC68" s="2904"/>
    </row>
    <row r="69" spans="1:29" s="465" customFormat="1" ht="15">
      <c r="A69" s="2126" t="s">
        <v>2360</v>
      </c>
      <c r="B69" s="1222"/>
      <c r="C69" s="1297" t="str">
        <f>YEAR(C67)&amp;"-"&amp;ROUNDUP(MONTH(C67)/3,0)</f>
        <v>2022-4</v>
      </c>
      <c r="D69" s="1297" t="str">
        <f>YEAR(D67)&amp;"-"&amp;ROUNDUP(MONTH(D67)/3,0)</f>
        <v>2022-3</v>
      </c>
      <c r="E69" s="1297" t="str">
        <f t="shared" ref="E69:O69" si="19">YEAR(E67)&amp;"-"&amp;ROUNDUP(MONTH(E67)/3,0)</f>
        <v>2022-2</v>
      </c>
      <c r="F69" s="1297" t="str">
        <f t="shared" si="19"/>
        <v>2022-1</v>
      </c>
      <c r="G69" s="1297" t="str">
        <f t="shared" si="19"/>
        <v>2021-4</v>
      </c>
      <c r="H69" s="1297" t="str">
        <f t="shared" si="19"/>
        <v>2021-3</v>
      </c>
      <c r="I69" s="1297" t="str">
        <f t="shared" si="19"/>
        <v>2021-2</v>
      </c>
      <c r="J69" s="1297" t="str">
        <f t="shared" si="19"/>
        <v>2021-1</v>
      </c>
      <c r="K69" s="1297" t="str">
        <f t="shared" si="19"/>
        <v>2020-4</v>
      </c>
      <c r="L69" s="1297" t="str">
        <f t="shared" si="19"/>
        <v>2020-3</v>
      </c>
      <c r="M69" s="1297" t="str">
        <f t="shared" si="19"/>
        <v>2020-2</v>
      </c>
      <c r="N69" s="1297" t="str">
        <f t="shared" si="19"/>
        <v>2020-1</v>
      </c>
      <c r="O69" s="1297" t="str">
        <f t="shared" si="19"/>
        <v>2019-4</v>
      </c>
      <c r="P69" s="2955"/>
      <c r="Q69" s="2920"/>
      <c r="R69" s="2920"/>
      <c r="S69" s="2920"/>
      <c r="T69" s="2920"/>
      <c r="U69" s="2920"/>
      <c r="V69" s="2920"/>
      <c r="W69" s="2920"/>
      <c r="X69" s="2920"/>
      <c r="Y69" s="2920"/>
      <c r="Z69" s="2920"/>
      <c r="AA69" s="2920"/>
      <c r="AB69" s="2920"/>
      <c r="AC69" s="2920"/>
    </row>
    <row r="70" spans="1:29" s="113" customFormat="1" ht="30" customHeight="1">
      <c r="A70" s="2127" t="s">
        <v>2361</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3"/>
      <c r="N70" s="552"/>
      <c r="O70" s="1294"/>
      <c r="P70" s="2918"/>
      <c r="Q70" s="2838"/>
      <c r="R70" s="2838"/>
      <c r="S70" s="2838"/>
      <c r="T70" s="2838"/>
      <c r="U70" s="2838"/>
      <c r="V70" s="2838"/>
      <c r="W70" s="2838"/>
      <c r="X70" s="2838"/>
      <c r="Y70" s="2838"/>
      <c r="Z70" s="2838"/>
      <c r="AA70" s="2838"/>
      <c r="AB70" s="2838"/>
      <c r="AC70" s="2838"/>
    </row>
    <row r="71" spans="1:29" s="113" customFormat="1" ht="15.75" thickBot="1">
      <c r="A71" s="472" t="s">
        <v>2164</v>
      </c>
      <c r="B71" s="473"/>
      <c r="C71" s="474"/>
      <c r="D71" s="475"/>
      <c r="E71" s="475"/>
      <c r="F71" s="475"/>
      <c r="G71" s="475"/>
      <c r="H71" s="475"/>
      <c r="I71" s="475"/>
      <c r="J71" s="475"/>
      <c r="K71" s="475"/>
      <c r="L71" s="475"/>
      <c r="M71" s="476"/>
      <c r="N71" s="475"/>
      <c r="O71" s="1055"/>
      <c r="P71" s="2918"/>
      <c r="Q71" s="2918"/>
      <c r="R71" s="2838"/>
      <c r="S71" s="2838"/>
      <c r="T71" s="2838"/>
      <c r="U71" s="2838"/>
      <c r="V71" s="2838"/>
      <c r="W71" s="2838"/>
      <c r="X71" s="2838"/>
      <c r="Y71" s="2838"/>
      <c r="Z71" s="2838"/>
      <c r="AA71" s="2838"/>
      <c r="AB71" s="2838"/>
      <c r="AC71" s="2838"/>
    </row>
    <row r="72" spans="1:29" s="113" customFormat="1" ht="15">
      <c r="A72" s="478" t="s">
        <v>2129</v>
      </c>
      <c r="B72" s="467"/>
      <c r="C72" s="479" t="s">
        <v>2231</v>
      </c>
      <c r="D72" s="480"/>
      <c r="E72" s="480"/>
      <c r="F72" s="480"/>
      <c r="G72" s="480"/>
      <c r="H72" s="480"/>
      <c r="I72" s="480"/>
      <c r="J72" s="480"/>
      <c r="K72" s="480"/>
      <c r="L72" s="481"/>
      <c r="M72" s="482"/>
      <c r="N72" s="2931"/>
      <c r="O72" s="2931"/>
      <c r="P72" s="2956"/>
      <c r="Q72" s="2918"/>
      <c r="R72" s="2838"/>
      <c r="S72" s="2838"/>
      <c r="T72" s="2838"/>
      <c r="U72" s="2838"/>
      <c r="V72" s="2838"/>
      <c r="W72" s="2838"/>
      <c r="X72" s="2838"/>
      <c r="Y72" s="2838"/>
      <c r="Z72" s="2838"/>
      <c r="AA72" s="2838"/>
      <c r="AB72" s="2838"/>
      <c r="AC72" s="2838"/>
    </row>
    <row r="73" spans="1:29" s="113" customFormat="1" ht="15.75" thickBot="1">
      <c r="A73" s="478"/>
      <c r="B73" s="467"/>
      <c r="C73" s="595">
        <v>100</v>
      </c>
      <c r="D73" s="469"/>
      <c r="E73" s="469"/>
      <c r="F73" s="469"/>
      <c r="G73" s="469"/>
      <c r="H73" s="469"/>
      <c r="I73" s="469"/>
      <c r="J73" s="469"/>
      <c r="K73" s="469"/>
      <c r="L73" s="469"/>
      <c r="M73" s="471"/>
      <c r="N73" s="2931"/>
      <c r="O73" s="2931"/>
      <c r="P73" s="2918"/>
      <c r="Q73" s="2918"/>
      <c r="R73" s="2838"/>
      <c r="S73" s="2838"/>
      <c r="T73" s="2838"/>
      <c r="U73" s="2838"/>
      <c r="V73" s="2838"/>
      <c r="W73" s="2838"/>
      <c r="X73" s="2838"/>
      <c r="Y73" s="2838"/>
      <c r="Z73" s="2838"/>
      <c r="AA73" s="2838"/>
      <c r="AB73" s="2838"/>
      <c r="AC73" s="2838"/>
    </row>
    <row r="74" spans="1:29">
      <c r="A74" s="484" t="s">
        <v>2167</v>
      </c>
      <c r="B74" s="485" t="s">
        <v>2133</v>
      </c>
      <c r="C74" s="487"/>
      <c r="D74" s="487"/>
      <c r="E74" s="487"/>
      <c r="F74" s="487"/>
      <c r="G74" s="487"/>
      <c r="H74" s="487"/>
      <c r="I74" s="487"/>
      <c r="J74" s="487"/>
      <c r="K74" s="488"/>
      <c r="L74" s="489"/>
      <c r="M74" s="490"/>
      <c r="N74" s="2932"/>
      <c r="O74" s="2932"/>
      <c r="P74" s="2957"/>
      <c r="Q74" s="2918"/>
      <c r="R74" s="2904"/>
      <c r="S74" s="2904"/>
      <c r="T74" s="2904"/>
      <c r="U74" s="2904"/>
      <c r="V74" s="2904"/>
      <c r="W74" s="2904"/>
      <c r="X74" s="2904"/>
      <c r="Y74" s="2904"/>
      <c r="Z74" s="2904"/>
      <c r="AA74" s="2904"/>
      <c r="AB74" s="2904"/>
      <c r="AC74" s="2904"/>
    </row>
    <row r="75" spans="1:29" ht="15.75" thickBot="1">
      <c r="A75" s="491"/>
      <c r="B75" s="492"/>
      <c r="C75" s="493"/>
      <c r="D75" s="493"/>
      <c r="E75" s="493"/>
      <c r="F75" s="493"/>
      <c r="G75" s="493"/>
      <c r="H75" s="493"/>
      <c r="I75" s="493"/>
      <c r="J75" s="493"/>
      <c r="K75" s="493"/>
      <c r="L75" s="493"/>
      <c r="M75" s="494"/>
      <c r="N75" s="2933"/>
      <c r="O75" s="2933"/>
      <c r="P75" s="2957"/>
      <c r="Q75" s="2918"/>
      <c r="R75" s="2904"/>
      <c r="S75" s="2904"/>
      <c r="T75" s="2904"/>
      <c r="U75" s="2904"/>
      <c r="V75" s="2904"/>
      <c r="W75" s="2904"/>
      <c r="X75" s="2904"/>
      <c r="Y75" s="2904"/>
      <c r="Z75" s="2904"/>
      <c r="AA75" s="2904"/>
      <c r="AB75" s="2904"/>
      <c r="AC75" s="2904"/>
    </row>
    <row r="76" spans="1:29" ht="27.75" thickTop="1">
      <c r="A76" s="491"/>
      <c r="B76" s="495" t="s">
        <v>2136</v>
      </c>
      <c r="C76" s="496"/>
      <c r="D76" s="496"/>
      <c r="E76" s="496"/>
      <c r="F76" s="496"/>
      <c r="G76" s="496"/>
      <c r="H76" s="496"/>
      <c r="I76" s="496"/>
      <c r="J76" s="496"/>
      <c r="K76" s="497"/>
      <c r="L76" s="498"/>
      <c r="M76" s="499"/>
      <c r="N76" s="2932"/>
      <c r="O76" s="2932"/>
      <c r="P76" s="2957"/>
      <c r="Q76" s="2918"/>
      <c r="R76" s="2904"/>
      <c r="S76" s="2904"/>
      <c r="T76" s="2904"/>
      <c r="U76" s="2904"/>
      <c r="V76" s="2904"/>
      <c r="W76" s="2904"/>
      <c r="X76" s="2904"/>
      <c r="Y76" s="2904"/>
      <c r="Z76" s="2904"/>
      <c r="AA76" s="2904"/>
      <c r="AB76" s="2904"/>
      <c r="AC76" s="2904"/>
    </row>
    <row r="77" spans="1:29" ht="15.75" thickBot="1">
      <c r="A77" s="491"/>
      <c r="B77" s="500"/>
      <c r="C77" s="501"/>
      <c r="D77" s="501"/>
      <c r="E77" s="501"/>
      <c r="F77" s="501"/>
      <c r="G77" s="501"/>
      <c r="H77" s="501"/>
      <c r="I77" s="501"/>
      <c r="J77" s="501"/>
      <c r="K77" s="501"/>
      <c r="L77" s="501"/>
      <c r="M77" s="502"/>
      <c r="N77" s="2933"/>
      <c r="O77" s="2933"/>
      <c r="P77" s="2957"/>
      <c r="Q77" s="2918"/>
      <c r="R77" s="2904"/>
      <c r="S77" s="2904"/>
      <c r="T77" s="2904"/>
      <c r="U77" s="2904"/>
      <c r="V77" s="2904"/>
      <c r="W77" s="2904"/>
      <c r="X77" s="2904"/>
      <c r="Y77" s="2904"/>
      <c r="Z77" s="2904"/>
      <c r="AA77" s="2904"/>
      <c r="AB77" s="2904"/>
      <c r="AC77" s="2904"/>
    </row>
    <row r="78" spans="1:29" ht="15.75" thickTop="1">
      <c r="A78" s="491"/>
      <c r="B78" s="503" t="s">
        <v>2137</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33"/>
      <c r="O78" s="2933"/>
      <c r="P78" s="2957"/>
      <c r="Q78" s="2918"/>
      <c r="R78" s="2904"/>
      <c r="S78" s="2904"/>
      <c r="T78" s="2904"/>
      <c r="U78" s="2904"/>
      <c r="V78" s="2904"/>
      <c r="W78" s="2904"/>
      <c r="X78" s="2904"/>
      <c r="Y78" s="2904"/>
      <c r="Z78" s="2904"/>
      <c r="AA78" s="2904"/>
      <c r="AB78" s="2904"/>
      <c r="AC78" s="2904"/>
    </row>
    <row r="79" spans="1:29" ht="15">
      <c r="A79" s="491"/>
      <c r="B79" s="505"/>
      <c r="C79" s="506"/>
      <c r="D79" s="506"/>
      <c r="E79" s="506"/>
      <c r="F79" s="506"/>
      <c r="G79" s="506"/>
      <c r="H79" s="506"/>
      <c r="I79" s="506"/>
      <c r="J79" s="506"/>
      <c r="K79" s="507"/>
      <c r="L79" s="508"/>
      <c r="M79" s="509"/>
      <c r="N79" s="2932"/>
      <c r="O79" s="2932"/>
      <c r="P79" s="2957"/>
      <c r="Q79" s="2918"/>
      <c r="R79" s="2904"/>
      <c r="S79" s="2904"/>
      <c r="T79" s="2904"/>
      <c r="U79" s="2904"/>
      <c r="V79" s="2904"/>
      <c r="W79" s="2904"/>
      <c r="X79" s="2904"/>
      <c r="Y79" s="2904"/>
      <c r="Z79" s="2904"/>
      <c r="AA79" s="2904"/>
      <c r="AB79" s="2904"/>
      <c r="AC79" s="2904"/>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33"/>
      <c r="O80" s="2933"/>
      <c r="P80" s="2957"/>
      <c r="Q80" s="2918"/>
      <c r="R80" s="2904"/>
      <c r="S80" s="2904"/>
      <c r="T80" s="2904"/>
      <c r="U80" s="2904"/>
      <c r="V80" s="2904"/>
      <c r="W80" s="2904"/>
      <c r="X80" s="2904"/>
      <c r="Y80" s="2904"/>
      <c r="Z80" s="2904"/>
      <c r="AA80" s="2904"/>
      <c r="AB80" s="2904"/>
      <c r="AC80" s="2904"/>
    </row>
    <row r="81" spans="1:29" s="430" customFormat="1" ht="15.75" thickTop="1">
      <c r="A81" s="510"/>
      <c r="B81" s="495" t="str">
        <f>B12</f>
        <v>配建</v>
      </c>
      <c r="C81" s="511"/>
      <c r="D81" s="511"/>
      <c r="E81" s="511"/>
      <c r="F81" s="511"/>
      <c r="G81" s="511"/>
      <c r="H81" s="512"/>
      <c r="I81" s="512"/>
      <c r="J81" s="512"/>
      <c r="K81" s="512"/>
      <c r="L81" s="513"/>
      <c r="M81" s="514"/>
      <c r="N81" s="2934"/>
      <c r="O81" s="2934"/>
      <c r="P81" s="2958"/>
      <c r="Q81" s="2925"/>
      <c r="R81" s="2926"/>
      <c r="S81" s="2926"/>
      <c r="T81" s="2926"/>
      <c r="U81" s="2926"/>
      <c r="V81" s="2926"/>
      <c r="W81" s="2926"/>
      <c r="X81" s="2926"/>
      <c r="Y81" s="2926"/>
      <c r="Z81" s="2926"/>
      <c r="AA81" s="2926"/>
      <c r="AB81" s="2926"/>
      <c r="AC81" s="2926"/>
    </row>
    <row r="82" spans="1:29" s="430" customFormat="1" ht="15.75" thickBot="1">
      <c r="A82" s="510"/>
      <c r="B82" s="500"/>
      <c r="C82" s="517"/>
      <c r="D82" s="493"/>
      <c r="E82" s="493"/>
      <c r="F82" s="493"/>
      <c r="G82" s="493"/>
      <c r="H82" s="493"/>
      <c r="I82" s="493"/>
      <c r="J82" s="493"/>
      <c r="K82" s="493"/>
      <c r="L82" s="493"/>
      <c r="M82" s="494"/>
      <c r="N82" s="2933"/>
      <c r="O82" s="2933"/>
      <c r="P82" s="2958"/>
      <c r="Q82" s="2925"/>
      <c r="R82" s="2926"/>
      <c r="S82" s="2926"/>
      <c r="T82" s="2926"/>
      <c r="U82" s="2926"/>
      <c r="V82" s="2926"/>
      <c r="W82" s="2926"/>
      <c r="X82" s="2926"/>
      <c r="Y82" s="2926"/>
      <c r="Z82" s="2926"/>
      <c r="AA82" s="2926"/>
      <c r="AB82" s="2926"/>
      <c r="AC82" s="2926"/>
    </row>
    <row r="83" spans="1:29" s="430" customFormat="1" ht="15.75" thickTop="1">
      <c r="A83" s="510"/>
      <c r="B83" s="495">
        <f>B13</f>
        <v>111</v>
      </c>
      <c r="C83" s="511"/>
      <c r="D83" s="511"/>
      <c r="E83" s="511"/>
      <c r="F83" s="511"/>
      <c r="G83" s="511"/>
      <c r="H83" s="512"/>
      <c r="I83" s="512"/>
      <c r="J83" s="512"/>
      <c r="K83" s="512"/>
      <c r="L83" s="513"/>
      <c r="M83" s="514"/>
      <c r="N83" s="2934"/>
      <c r="O83" s="2934"/>
      <c r="P83" s="2902"/>
      <c r="Q83" s="2928"/>
      <c r="R83" s="2926"/>
      <c r="S83" s="2926"/>
      <c r="T83" s="2926"/>
      <c r="U83" s="2926"/>
      <c r="V83" s="2926"/>
      <c r="W83" s="2926"/>
      <c r="X83" s="2926"/>
      <c r="Y83" s="2926"/>
      <c r="Z83" s="2926"/>
      <c r="AA83" s="2926"/>
      <c r="AB83" s="2926"/>
      <c r="AC83" s="2926"/>
    </row>
    <row r="84" spans="1:29" s="430" customFormat="1" ht="15.75" thickBot="1">
      <c r="A84" s="510"/>
      <c r="B84" s="500"/>
      <c r="C84" s="517"/>
      <c r="D84" s="517"/>
      <c r="E84" s="517"/>
      <c r="F84" s="517"/>
      <c r="G84" s="517"/>
      <c r="H84" s="519"/>
      <c r="I84" s="519"/>
      <c r="J84" s="519"/>
      <c r="K84" s="519"/>
      <c r="L84" s="519"/>
      <c r="M84" s="520"/>
      <c r="N84" s="2934"/>
      <c r="O84" s="2934"/>
      <c r="P84" s="2958"/>
      <c r="Q84" s="2925"/>
      <c r="R84" s="2926"/>
      <c r="S84" s="2926"/>
      <c r="T84" s="2926"/>
      <c r="U84" s="2926"/>
      <c r="V84" s="2926"/>
      <c r="W84" s="2926"/>
      <c r="X84" s="2926"/>
      <c r="Y84" s="2926"/>
      <c r="Z84" s="2926"/>
      <c r="AA84" s="2926"/>
      <c r="AB84" s="2926"/>
      <c r="AC84" s="2926"/>
    </row>
    <row r="85" spans="1:29" s="430" customFormat="1" ht="15.75" thickTop="1">
      <c r="A85" s="510"/>
      <c r="B85" s="503">
        <f>B14</f>
        <v>111</v>
      </c>
      <c r="C85" s="480"/>
      <c r="D85" s="480"/>
      <c r="E85" s="480"/>
      <c r="F85" s="480"/>
      <c r="G85" s="480"/>
      <c r="H85" s="521"/>
      <c r="I85" s="521"/>
      <c r="J85" s="521"/>
      <c r="K85" s="521"/>
      <c r="L85" s="522"/>
      <c r="M85" s="523"/>
      <c r="N85" s="2934"/>
      <c r="O85" s="2934"/>
      <c r="P85" s="2963"/>
      <c r="Q85" s="2925"/>
      <c r="R85" s="2926"/>
      <c r="S85" s="2926"/>
      <c r="T85" s="2926"/>
      <c r="U85" s="2926"/>
      <c r="V85" s="2926"/>
      <c r="W85" s="2926"/>
      <c r="X85" s="2926"/>
      <c r="Y85" s="2926"/>
      <c r="Z85" s="2926"/>
      <c r="AA85" s="2926"/>
      <c r="AB85" s="2926"/>
      <c r="AC85" s="2926"/>
    </row>
    <row r="86" spans="1:29" s="430" customFormat="1" ht="15.75" thickBot="1">
      <c r="A86" s="525"/>
      <c r="B86" s="526"/>
      <c r="C86" s="527"/>
      <c r="D86" s="527"/>
      <c r="E86" s="527"/>
      <c r="F86" s="527"/>
      <c r="G86" s="527"/>
      <c r="H86" s="528"/>
      <c r="I86" s="528"/>
      <c r="J86" s="528"/>
      <c r="K86" s="528"/>
      <c r="L86" s="528"/>
      <c r="M86" s="529"/>
      <c r="N86" s="2934"/>
      <c r="O86" s="2934"/>
      <c r="P86" s="2958"/>
      <c r="Q86" s="2925"/>
      <c r="R86" s="2926"/>
      <c r="S86" s="2926"/>
      <c r="T86" s="2926"/>
      <c r="U86" s="2926"/>
      <c r="V86" s="2926"/>
      <c r="W86" s="2926"/>
      <c r="X86" s="2926"/>
      <c r="Y86" s="2926"/>
      <c r="Z86" s="2926"/>
      <c r="AA86" s="2926"/>
      <c r="AB86" s="2926"/>
      <c r="AC86" s="2926"/>
    </row>
    <row r="87" spans="1:29">
      <c r="A87" s="484" t="s">
        <v>2138</v>
      </c>
      <c r="B87" s="485" t="s">
        <v>2175</v>
      </c>
      <c r="C87" s="530" t="s">
        <v>2176</v>
      </c>
      <c r="D87" s="530" t="s">
        <v>2177</v>
      </c>
      <c r="E87" s="530" t="s">
        <v>2178</v>
      </c>
      <c r="F87" s="530" t="s">
        <v>2179</v>
      </c>
      <c r="G87" s="530" t="s">
        <v>2180</v>
      </c>
      <c r="H87" s="486"/>
      <c r="I87" s="486"/>
      <c r="J87" s="486"/>
      <c r="K87" s="531"/>
      <c r="L87" s="532"/>
      <c r="M87" s="533"/>
      <c r="N87" s="2932"/>
      <c r="O87" s="2932"/>
      <c r="P87" s="2959"/>
      <c r="Q87" s="2918"/>
      <c r="R87" s="2904"/>
      <c r="S87" s="2904"/>
      <c r="T87" s="2904"/>
      <c r="U87" s="2904"/>
      <c r="V87" s="2904"/>
      <c r="W87" s="2904"/>
      <c r="X87" s="2904"/>
      <c r="Y87" s="2904"/>
      <c r="Z87" s="2904"/>
      <c r="AA87" s="2904"/>
      <c r="AB87" s="2904"/>
      <c r="AC87" s="2904"/>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33"/>
      <c r="O88" s="2933"/>
      <c r="P88" s="2957"/>
      <c r="Q88" s="2918"/>
      <c r="R88" s="2904"/>
      <c r="S88" s="2904"/>
      <c r="T88" s="2904"/>
      <c r="U88" s="2904"/>
      <c r="V88" s="2904"/>
      <c r="W88" s="2904"/>
      <c r="X88" s="2904"/>
      <c r="Y88" s="2904"/>
      <c r="Z88" s="2904"/>
      <c r="AA88" s="2904"/>
      <c r="AB88" s="2904"/>
      <c r="AC88" s="2904"/>
    </row>
    <row r="89" spans="1:29" ht="15.75" thickTop="1">
      <c r="A89" s="491"/>
      <c r="B89" s="495" t="s">
        <v>2362</v>
      </c>
      <c r="C89" s="535" t="s">
        <v>2176</v>
      </c>
      <c r="D89" s="535" t="s">
        <v>2177</v>
      </c>
      <c r="E89" s="535" t="s">
        <v>2178</v>
      </c>
      <c r="F89" s="535" t="s">
        <v>2179</v>
      </c>
      <c r="G89" s="535" t="s">
        <v>2180</v>
      </c>
      <c r="H89" s="496"/>
      <c r="I89" s="496"/>
      <c r="J89" s="496"/>
      <c r="K89" s="497"/>
      <c r="L89" s="498"/>
      <c r="M89" s="499"/>
      <c r="N89" s="2932"/>
      <c r="O89" s="2932"/>
      <c r="P89" s="2957"/>
      <c r="Q89" s="2918"/>
      <c r="R89" s="2904"/>
      <c r="S89" s="2904"/>
      <c r="T89" s="2904"/>
      <c r="U89" s="2904"/>
      <c r="V89" s="2904"/>
      <c r="W89" s="2904"/>
      <c r="X89" s="2904"/>
      <c r="Y89" s="2904"/>
      <c r="Z89" s="2904"/>
      <c r="AA89" s="2904"/>
      <c r="AB89" s="2904"/>
      <c r="AC89" s="2904"/>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33"/>
      <c r="O90" s="2933"/>
      <c r="P90" s="2957"/>
      <c r="Q90" s="2918"/>
      <c r="R90" s="2904"/>
      <c r="S90" s="2904"/>
      <c r="T90" s="2904"/>
      <c r="U90" s="2904"/>
      <c r="V90" s="2904"/>
      <c r="W90" s="2904"/>
      <c r="X90" s="2904"/>
      <c r="Y90" s="2904"/>
      <c r="Z90" s="2904"/>
      <c r="AA90" s="2904"/>
      <c r="AB90" s="2904"/>
      <c r="AC90" s="2904"/>
    </row>
    <row r="91" spans="1:29" ht="15.75" thickTop="1">
      <c r="A91" s="491"/>
      <c r="B91" s="495" t="s">
        <v>2276</v>
      </c>
      <c r="C91" s="535" t="s">
        <v>2176</v>
      </c>
      <c r="D91" s="535" t="s">
        <v>2177</v>
      </c>
      <c r="E91" s="535" t="s">
        <v>2178</v>
      </c>
      <c r="F91" s="535" t="s">
        <v>2179</v>
      </c>
      <c r="G91" s="535" t="s">
        <v>2180</v>
      </c>
      <c r="H91" s="496"/>
      <c r="I91" s="496"/>
      <c r="J91" s="496"/>
      <c r="K91" s="497"/>
      <c r="L91" s="498"/>
      <c r="M91" s="499"/>
      <c r="N91" s="2932"/>
      <c r="O91" s="2932"/>
      <c r="P91" s="2957"/>
      <c r="Q91" s="2918"/>
      <c r="R91" s="2904"/>
      <c r="S91" s="2904"/>
      <c r="T91" s="2904"/>
      <c r="U91" s="2904"/>
      <c r="V91" s="2904"/>
      <c r="W91" s="2904"/>
      <c r="X91" s="2904"/>
      <c r="Y91" s="2904"/>
      <c r="Z91" s="2904"/>
      <c r="AA91" s="2904"/>
      <c r="AB91" s="2904"/>
      <c r="AC91" s="2904"/>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33"/>
      <c r="O92" s="2933"/>
      <c r="P92" s="2957"/>
      <c r="Q92" s="2918"/>
      <c r="R92" s="2904"/>
      <c r="S92" s="2904"/>
      <c r="T92" s="2904"/>
      <c r="U92" s="2904"/>
      <c r="V92" s="2904"/>
      <c r="W92" s="2904"/>
      <c r="X92" s="2904"/>
      <c r="Y92" s="2904"/>
      <c r="Z92" s="2904"/>
      <c r="AA92" s="2904"/>
      <c r="AB92" s="2904"/>
      <c r="AC92" s="2904"/>
    </row>
    <row r="93" spans="1:29" ht="15.75" thickTop="1">
      <c r="A93" s="491"/>
      <c r="B93" s="495" t="s">
        <v>2181</v>
      </c>
      <c r="C93" s="535" t="s">
        <v>2176</v>
      </c>
      <c r="D93" s="535" t="s">
        <v>2177</v>
      </c>
      <c r="E93" s="535" t="s">
        <v>2178</v>
      </c>
      <c r="F93" s="535" t="s">
        <v>2179</v>
      </c>
      <c r="G93" s="535" t="s">
        <v>2180</v>
      </c>
      <c r="H93" s="496"/>
      <c r="I93" s="496"/>
      <c r="J93" s="496"/>
      <c r="K93" s="497"/>
      <c r="L93" s="498"/>
      <c r="M93" s="499"/>
      <c r="N93" s="2932"/>
      <c r="O93" s="2932"/>
      <c r="P93" s="2957"/>
      <c r="Q93" s="2918"/>
      <c r="R93" s="2904"/>
      <c r="S93" s="2904"/>
      <c r="T93" s="2904"/>
      <c r="U93" s="2904"/>
      <c r="V93" s="2904"/>
      <c r="W93" s="2904"/>
      <c r="X93" s="2904"/>
      <c r="Y93" s="2904"/>
      <c r="Z93" s="2904"/>
      <c r="AA93" s="2904"/>
      <c r="AB93" s="2904"/>
      <c r="AC93" s="2904"/>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33"/>
      <c r="O94" s="2933"/>
      <c r="P94" s="2957"/>
      <c r="Q94" s="2918"/>
      <c r="R94" s="2904"/>
      <c r="S94" s="2904"/>
      <c r="T94" s="2904"/>
      <c r="U94" s="2904"/>
      <c r="V94" s="2904"/>
      <c r="W94" s="2904"/>
      <c r="X94" s="2904"/>
      <c r="Y94" s="2904"/>
      <c r="Z94" s="2904"/>
      <c r="AA94" s="2904"/>
      <c r="AB94" s="2904"/>
      <c r="AC94" s="2904"/>
    </row>
    <row r="95" spans="1:29" s="113" customFormat="1" ht="15.75" thickTop="1">
      <c r="A95" s="536"/>
      <c r="B95" s="495" t="s">
        <v>2363</v>
      </c>
      <c r="C95" s="535" t="s">
        <v>2176</v>
      </c>
      <c r="D95" s="535" t="s">
        <v>2177</v>
      </c>
      <c r="E95" s="535" t="s">
        <v>2178</v>
      </c>
      <c r="F95" s="535" t="s">
        <v>2179</v>
      </c>
      <c r="G95" s="535" t="s">
        <v>2180</v>
      </c>
      <c r="H95" s="535"/>
      <c r="I95" s="535"/>
      <c r="J95" s="535"/>
      <c r="K95" s="535"/>
      <c r="L95" s="654"/>
      <c r="M95" s="578"/>
      <c r="N95" s="2931"/>
      <c r="O95" s="2931"/>
      <c r="P95" s="2957"/>
      <c r="Q95" s="2918"/>
      <c r="R95" s="2838"/>
      <c r="S95" s="2838"/>
      <c r="T95" s="2838"/>
      <c r="U95" s="2838"/>
      <c r="V95" s="2838"/>
      <c r="W95" s="2838"/>
      <c r="X95" s="2838"/>
      <c r="Y95" s="2838"/>
      <c r="Z95" s="2838"/>
      <c r="AA95" s="2838"/>
      <c r="AB95" s="2838"/>
      <c r="AC95" s="2838"/>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33"/>
      <c r="O96" s="2933"/>
      <c r="P96" s="2957"/>
      <c r="Q96" s="2918"/>
      <c r="R96" s="2838"/>
      <c r="S96" s="2838"/>
      <c r="T96" s="2838"/>
      <c r="U96" s="2838"/>
      <c r="V96" s="2838"/>
      <c r="W96" s="2838"/>
      <c r="X96" s="2838"/>
      <c r="Y96" s="2838"/>
      <c r="Z96" s="2838"/>
      <c r="AA96" s="2838"/>
      <c r="AB96" s="2838"/>
      <c r="AC96" s="2838"/>
    </row>
    <row r="97" spans="1:29" s="113" customFormat="1" ht="27.75" thickTop="1">
      <c r="A97" s="536"/>
      <c r="B97" s="495" t="s">
        <v>2364</v>
      </c>
      <c r="C97" s="530" t="s">
        <v>2176</v>
      </c>
      <c r="D97" s="530" t="s">
        <v>2177</v>
      </c>
      <c r="E97" s="530" t="s">
        <v>2178</v>
      </c>
      <c r="F97" s="530" t="s">
        <v>2179</v>
      </c>
      <c r="G97" s="530" t="s">
        <v>2180</v>
      </c>
      <c r="H97" s="535"/>
      <c r="I97" s="535"/>
      <c r="J97" s="535"/>
      <c r="K97" s="535"/>
      <c r="L97" s="535"/>
      <c r="M97" s="578"/>
      <c r="N97" s="2931"/>
      <c r="O97" s="2931"/>
      <c r="P97" s="2957"/>
      <c r="Q97" s="2918"/>
      <c r="R97" s="2838"/>
      <c r="S97" s="2838"/>
      <c r="T97" s="2838"/>
      <c r="U97" s="2838"/>
      <c r="V97" s="2838"/>
      <c r="W97" s="2838"/>
      <c r="X97" s="2838"/>
      <c r="Y97" s="2838"/>
      <c r="Z97" s="2838"/>
      <c r="AA97" s="2838"/>
      <c r="AB97" s="2838"/>
      <c r="AC97" s="2838"/>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33"/>
      <c r="O98" s="2933"/>
      <c r="P98" s="2957"/>
      <c r="Q98" s="2918"/>
      <c r="R98" s="2838"/>
      <c r="S98" s="2838"/>
      <c r="T98" s="2838"/>
      <c r="U98" s="2838"/>
      <c r="V98" s="2838"/>
      <c r="W98" s="2838"/>
      <c r="X98" s="2838"/>
      <c r="Y98" s="2838"/>
      <c r="Z98" s="2838"/>
      <c r="AA98" s="2838"/>
      <c r="AB98" s="2838"/>
      <c r="AC98" s="2838"/>
    </row>
    <row r="99" spans="1:29" s="430" customFormat="1" ht="15.75" thickTop="1">
      <c r="A99" s="510"/>
      <c r="B99" s="495" t="s">
        <v>2233</v>
      </c>
      <c r="C99" s="530" t="s">
        <v>2176</v>
      </c>
      <c r="D99" s="530" t="s">
        <v>2177</v>
      </c>
      <c r="E99" s="530" t="s">
        <v>2178</v>
      </c>
      <c r="F99" s="530" t="s">
        <v>2179</v>
      </c>
      <c r="G99" s="530" t="s">
        <v>2180</v>
      </c>
      <c r="H99" s="557"/>
      <c r="I99" s="557"/>
      <c r="J99" s="557"/>
      <c r="K99" s="557"/>
      <c r="L99" s="558"/>
      <c r="M99" s="559"/>
      <c r="N99" s="2934"/>
      <c r="O99" s="2934"/>
      <c r="P99" s="2958"/>
      <c r="Q99" s="2925"/>
      <c r="R99" s="2926"/>
      <c r="S99" s="2926"/>
      <c r="T99" s="2926"/>
      <c r="U99" s="2926"/>
      <c r="V99" s="2926"/>
      <c r="W99" s="2926"/>
      <c r="X99" s="2926"/>
      <c r="Y99" s="2926"/>
      <c r="Z99" s="2926"/>
      <c r="AA99" s="2926"/>
      <c r="AB99" s="2926"/>
      <c r="AC99" s="2926"/>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34"/>
      <c r="O100" s="2934"/>
      <c r="P100" s="2958"/>
      <c r="Q100" s="2925"/>
      <c r="R100" s="2926"/>
      <c r="S100" s="2926"/>
      <c r="T100" s="2926"/>
      <c r="U100" s="2926"/>
      <c r="V100" s="2926"/>
      <c r="W100" s="2926"/>
      <c r="X100" s="2926"/>
      <c r="Y100" s="2926"/>
      <c r="Z100" s="2926"/>
      <c r="AA100" s="2926"/>
      <c r="AB100" s="2926"/>
      <c r="AC100" s="2926"/>
    </row>
    <row r="101" spans="1:29" s="430" customFormat="1" ht="15.75" thickTop="1">
      <c r="A101" s="510"/>
      <c r="B101" s="503" t="s">
        <v>2234</v>
      </c>
      <c r="C101" s="616" t="s">
        <v>2254</v>
      </c>
      <c r="D101" s="616" t="s">
        <v>2255</v>
      </c>
      <c r="E101" s="616" t="s">
        <v>2256</v>
      </c>
      <c r="F101" s="616" t="s">
        <v>2257</v>
      </c>
      <c r="G101" s="616" t="s">
        <v>2258</v>
      </c>
      <c r="H101" s="557"/>
      <c r="I101" s="557"/>
      <c r="J101" s="557"/>
      <c r="K101" s="557"/>
      <c r="L101" s="557"/>
      <c r="M101" s="1247"/>
      <c r="N101" s="2934"/>
      <c r="O101" s="2934"/>
      <c r="P101" s="2958"/>
      <c r="Q101" s="2925"/>
      <c r="R101" s="2926"/>
      <c r="S101" s="2926"/>
      <c r="T101" s="2926"/>
      <c r="U101" s="2926"/>
      <c r="V101" s="2926"/>
      <c r="W101" s="2926"/>
      <c r="X101" s="2926"/>
      <c r="Y101" s="2926"/>
      <c r="Z101" s="2926"/>
      <c r="AA101" s="2926"/>
      <c r="AB101" s="2926"/>
      <c r="AC101" s="2926"/>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7"/>
      <c r="N102" s="2934"/>
      <c r="O102" s="2934"/>
      <c r="P102" s="2958"/>
      <c r="Q102" s="2925"/>
      <c r="R102" s="2926"/>
      <c r="S102" s="2926"/>
      <c r="T102" s="2926"/>
      <c r="U102" s="2926"/>
      <c r="V102" s="2926"/>
      <c r="W102" s="2926"/>
      <c r="X102" s="2926"/>
      <c r="Y102" s="2926"/>
      <c r="Z102" s="2926"/>
      <c r="AA102" s="2926"/>
      <c r="AB102" s="2926"/>
      <c r="AC102" s="2926"/>
    </row>
    <row r="103" spans="1:29" ht="15.75" thickTop="1">
      <c r="A103" s="491"/>
      <c r="B103" s="495" t="str">
        <f>B31</f>
        <v>临街状况</v>
      </c>
      <c r="C103" s="496" t="s">
        <v>2365</v>
      </c>
      <c r="D103" s="496" t="s">
        <v>2366</v>
      </c>
      <c r="E103" s="496" t="s">
        <v>2367</v>
      </c>
      <c r="F103" s="496" t="s">
        <v>2368</v>
      </c>
      <c r="G103" s="496"/>
      <c r="H103" s="496"/>
      <c r="I103" s="496"/>
      <c r="J103" s="496"/>
      <c r="K103" s="497"/>
      <c r="L103" s="498"/>
      <c r="M103" s="499"/>
      <c r="N103" s="2932"/>
      <c r="O103" s="2932"/>
      <c r="P103" s="2957"/>
      <c r="Q103" s="2918"/>
      <c r="R103" s="2904"/>
      <c r="S103" s="2904"/>
      <c r="T103" s="2904"/>
      <c r="U103" s="2904"/>
      <c r="V103" s="2904"/>
      <c r="W103" s="2904"/>
      <c r="X103" s="2904"/>
      <c r="Y103" s="2904"/>
      <c r="Z103" s="2904"/>
      <c r="AA103" s="2904"/>
      <c r="AB103" s="2904"/>
      <c r="AC103" s="2904"/>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33"/>
      <c r="O104" s="2933"/>
      <c r="P104" s="2957"/>
      <c r="Q104" s="2918"/>
      <c r="R104" s="2904"/>
      <c r="S104" s="2904"/>
      <c r="T104" s="2904"/>
      <c r="U104" s="2904"/>
      <c r="V104" s="2904"/>
      <c r="W104" s="2904"/>
      <c r="X104" s="2904"/>
      <c r="Y104" s="2904"/>
      <c r="Z104" s="2904"/>
      <c r="AA104" s="2904"/>
      <c r="AB104" s="2904"/>
      <c r="AC104" s="2904"/>
    </row>
    <row r="105" spans="1:29" ht="27.75" thickTop="1">
      <c r="A105" s="491"/>
      <c r="B105" s="495" t="s">
        <v>2270</v>
      </c>
      <c r="C105" s="511"/>
      <c r="D105" s="511"/>
      <c r="E105" s="511"/>
      <c r="F105" s="511"/>
      <c r="G105" s="511"/>
      <c r="H105" s="540"/>
      <c r="I105" s="540"/>
      <c r="J105" s="540"/>
      <c r="K105" s="541"/>
      <c r="L105" s="542"/>
      <c r="M105" s="543"/>
      <c r="N105" s="2932"/>
      <c r="O105" s="2932"/>
      <c r="P105" s="2957"/>
      <c r="Q105" s="2918"/>
      <c r="R105" s="2904"/>
      <c r="S105" s="2904"/>
      <c r="T105" s="2904"/>
      <c r="U105" s="2904"/>
      <c r="V105" s="2904"/>
      <c r="W105" s="2904"/>
      <c r="X105" s="2904"/>
      <c r="Y105" s="2904"/>
      <c r="Z105" s="2904"/>
      <c r="AA105" s="2904"/>
      <c r="AB105" s="2904"/>
      <c r="AC105" s="2904"/>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33"/>
      <c r="O106" s="2933"/>
      <c r="P106" s="2957"/>
      <c r="Q106" s="2918"/>
      <c r="R106" s="2904"/>
      <c r="S106" s="2904"/>
      <c r="T106" s="2904"/>
      <c r="U106" s="2904"/>
      <c r="V106" s="2904"/>
      <c r="W106" s="2904"/>
      <c r="X106" s="2904"/>
      <c r="Y106" s="2904"/>
      <c r="Z106" s="2904"/>
      <c r="AA106" s="2904"/>
      <c r="AB106" s="2904"/>
      <c r="AC106" s="2904"/>
    </row>
    <row r="107" spans="1:29" ht="15.75" thickTop="1">
      <c r="A107" s="491"/>
      <c r="B107" s="495" t="s">
        <v>2329</v>
      </c>
      <c r="C107" s="540"/>
      <c r="D107" s="540"/>
      <c r="E107" s="540"/>
      <c r="F107" s="540"/>
      <c r="G107" s="540"/>
      <c r="H107" s="540"/>
      <c r="I107" s="540"/>
      <c r="J107" s="540"/>
      <c r="K107" s="541"/>
      <c r="L107" s="542"/>
      <c r="M107" s="543"/>
      <c r="N107" s="2932"/>
      <c r="O107" s="2932"/>
      <c r="P107" s="2957"/>
      <c r="Q107" s="2918"/>
      <c r="R107" s="2904"/>
      <c r="S107" s="2904"/>
      <c r="T107" s="2904"/>
      <c r="U107" s="2904"/>
      <c r="V107" s="2904"/>
      <c r="W107" s="2904"/>
      <c r="X107" s="2904"/>
      <c r="Y107" s="2904"/>
      <c r="Z107" s="2904"/>
      <c r="AA107" s="2904"/>
      <c r="AB107" s="2904"/>
      <c r="AC107" s="2904"/>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33"/>
      <c r="O108" s="2933"/>
      <c r="P108" s="2957"/>
      <c r="Q108" s="2918"/>
      <c r="R108" s="2904"/>
      <c r="S108" s="2904"/>
      <c r="T108" s="2904"/>
      <c r="U108" s="2904"/>
      <c r="V108" s="2904"/>
      <c r="W108" s="2904"/>
      <c r="X108" s="2904"/>
      <c r="Y108" s="2904"/>
      <c r="Z108" s="2904"/>
      <c r="AA108" s="2904"/>
      <c r="AB108" s="2904"/>
      <c r="AC108" s="2904"/>
    </row>
    <row r="109" spans="1:29" ht="15.75" thickTop="1">
      <c r="A109" s="491"/>
      <c r="B109" s="503">
        <f>B35</f>
        <v>111</v>
      </c>
      <c r="C109" s="511"/>
      <c r="D109" s="511"/>
      <c r="E109" s="511"/>
      <c r="F109" s="511"/>
      <c r="G109" s="544"/>
      <c r="H109" s="544"/>
      <c r="I109" s="544"/>
      <c r="J109" s="544"/>
      <c r="K109" s="545"/>
      <c r="L109" s="546"/>
      <c r="M109" s="547"/>
      <c r="N109" s="2932"/>
      <c r="O109" s="2932"/>
      <c r="P109" s="2957"/>
      <c r="Q109" s="2918"/>
      <c r="R109" s="2904"/>
      <c r="S109" s="2904"/>
      <c r="T109" s="2904"/>
      <c r="U109" s="2904"/>
      <c r="V109" s="2904"/>
      <c r="W109" s="2904"/>
      <c r="X109" s="2904"/>
      <c r="Y109" s="2904"/>
      <c r="Z109" s="2904"/>
      <c r="AA109" s="2904"/>
      <c r="AB109" s="2904"/>
      <c r="AC109" s="2904"/>
    </row>
    <row r="110" spans="1:29" ht="15.75" thickBot="1">
      <c r="A110" s="491"/>
      <c r="B110" s="526"/>
      <c r="C110" s="517"/>
      <c r="D110" s="517"/>
      <c r="E110" s="517"/>
      <c r="F110" s="517"/>
      <c r="G110" s="548"/>
      <c r="H110" s="548"/>
      <c r="I110" s="548"/>
      <c r="J110" s="548"/>
      <c r="K110" s="548"/>
      <c r="L110" s="548"/>
      <c r="M110" s="549"/>
      <c r="N110" s="2933"/>
      <c r="O110" s="2933"/>
      <c r="P110" s="2957"/>
      <c r="Q110" s="2918"/>
      <c r="R110" s="2904"/>
      <c r="S110" s="2904"/>
      <c r="T110" s="2904"/>
      <c r="U110" s="2904"/>
      <c r="V110" s="2904"/>
      <c r="W110" s="2904"/>
      <c r="X110" s="2904"/>
      <c r="Y110" s="2904"/>
      <c r="Z110" s="2904"/>
      <c r="AA110" s="2904"/>
      <c r="AB110" s="2904"/>
      <c r="AC110" s="2904"/>
    </row>
    <row r="111" spans="1:29" ht="15" thickTop="1">
      <c r="A111" s="631"/>
      <c r="B111" s="495">
        <f>B36</f>
        <v>111</v>
      </c>
      <c r="C111" s="480"/>
      <c r="D111" s="480"/>
      <c r="E111" s="480"/>
      <c r="F111" s="480"/>
      <c r="G111" s="540"/>
      <c r="H111" s="540"/>
      <c r="I111" s="540"/>
      <c r="J111" s="540"/>
      <c r="K111" s="541"/>
      <c r="L111" s="542"/>
      <c r="M111" s="543"/>
      <c r="N111" s="2932"/>
      <c r="O111" s="2932"/>
      <c r="P111" s="2957"/>
      <c r="Q111" s="2918"/>
      <c r="R111" s="2904"/>
      <c r="S111" s="2904"/>
      <c r="T111" s="2904"/>
      <c r="U111" s="2904"/>
      <c r="V111" s="2904"/>
      <c r="W111" s="2904"/>
      <c r="X111" s="2904"/>
      <c r="Y111" s="2904"/>
      <c r="Z111" s="2904"/>
      <c r="AA111" s="2904"/>
      <c r="AB111" s="2904"/>
      <c r="AC111" s="2904"/>
    </row>
    <row r="112" spans="1:29" ht="15.75" thickBot="1">
      <c r="A112" s="491"/>
      <c r="B112" s="500"/>
      <c r="C112" s="527"/>
      <c r="D112" s="527"/>
      <c r="E112" s="527"/>
      <c r="F112" s="527"/>
      <c r="G112" s="493"/>
      <c r="H112" s="493"/>
      <c r="I112" s="493"/>
      <c r="J112" s="493"/>
      <c r="K112" s="493"/>
      <c r="L112" s="493"/>
      <c r="M112" s="494"/>
      <c r="N112" s="2933"/>
      <c r="O112" s="2933"/>
      <c r="P112" s="2957"/>
      <c r="Q112" s="2918"/>
      <c r="R112" s="2904"/>
      <c r="S112" s="2904"/>
      <c r="T112" s="2904"/>
      <c r="U112" s="2904"/>
      <c r="V112" s="2904"/>
      <c r="W112" s="2904"/>
      <c r="X112" s="2904"/>
      <c r="Y112" s="2904"/>
      <c r="Z112" s="2904"/>
      <c r="AA112" s="2904"/>
      <c r="AB112" s="2904"/>
      <c r="AC112" s="2904"/>
    </row>
    <row r="113" spans="1:29" s="430" customFormat="1" ht="15" thickTop="1">
      <c r="A113" s="550"/>
      <c r="B113" s="551">
        <f>B37</f>
        <v>111</v>
      </c>
      <c r="C113" s="552"/>
      <c r="D113" s="552"/>
      <c r="E113" s="552"/>
      <c r="F113" s="552"/>
      <c r="G113" s="552"/>
      <c r="H113" s="552"/>
      <c r="I113" s="552"/>
      <c r="J113" s="553"/>
      <c r="K113" s="553"/>
      <c r="L113" s="554"/>
      <c r="M113" s="555"/>
      <c r="N113" s="2934"/>
      <c r="O113" s="2934"/>
      <c r="P113" s="2958"/>
      <c r="Q113" s="2925"/>
      <c r="R113" s="2926"/>
      <c r="S113" s="2926"/>
      <c r="T113" s="2926"/>
      <c r="U113" s="2926"/>
      <c r="V113" s="2926"/>
      <c r="W113" s="2926"/>
      <c r="X113" s="2926"/>
      <c r="Y113" s="2926"/>
      <c r="Z113" s="2926"/>
      <c r="AA113" s="2926"/>
      <c r="AB113" s="2926"/>
      <c r="AC113" s="2926"/>
    </row>
    <row r="114" spans="1:29" s="430" customFormat="1" ht="15.75" thickBot="1">
      <c r="A114" s="510"/>
      <c r="B114" s="503"/>
      <c r="C114" s="469"/>
      <c r="D114" s="633"/>
      <c r="E114" s="633"/>
      <c r="F114" s="633"/>
      <c r="G114" s="633"/>
      <c r="H114" s="633"/>
      <c r="I114" s="633"/>
      <c r="J114" s="633"/>
      <c r="K114" s="633"/>
      <c r="L114" s="633"/>
      <c r="M114" s="655"/>
      <c r="N114" s="2933"/>
      <c r="O114" s="2933"/>
      <c r="P114" s="2958"/>
      <c r="Q114" s="2925"/>
      <c r="R114" s="2926"/>
      <c r="S114" s="2926"/>
      <c r="T114" s="2926"/>
      <c r="U114" s="2926"/>
      <c r="V114" s="2926"/>
      <c r="W114" s="2926"/>
      <c r="X114" s="2926"/>
      <c r="Y114" s="2926"/>
      <c r="Z114" s="2926"/>
      <c r="AA114" s="2926"/>
      <c r="AB114" s="2926"/>
      <c r="AC114" s="2926"/>
    </row>
    <row r="115" spans="1:29">
      <c r="A115" s="484" t="s">
        <v>2142</v>
      </c>
      <c r="B115" s="485" t="s">
        <v>2369</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32"/>
      <c r="O115" s="2932"/>
      <c r="P115" s="2957"/>
      <c r="Q115" s="2918"/>
      <c r="R115" s="2904"/>
      <c r="S115" s="2904"/>
      <c r="T115" s="2904"/>
      <c r="U115" s="2904"/>
      <c r="V115" s="2904"/>
      <c r="W115" s="2904"/>
      <c r="X115" s="2904"/>
      <c r="Y115" s="2904"/>
      <c r="Z115" s="2904"/>
      <c r="AA115" s="2904"/>
      <c r="AB115" s="2904"/>
      <c r="AC115" s="2904"/>
    </row>
    <row r="116" spans="1:29" ht="15">
      <c r="A116" s="491"/>
      <c r="B116" s="503"/>
      <c r="C116" s="552"/>
      <c r="D116" s="552"/>
      <c r="E116" s="552"/>
      <c r="F116" s="552"/>
      <c r="G116" s="552"/>
      <c r="H116" s="552"/>
      <c r="I116" s="552"/>
      <c r="J116" s="553"/>
      <c r="K116" s="553"/>
      <c r="L116" s="554"/>
      <c r="M116" s="555"/>
      <c r="N116" s="2932"/>
      <c r="O116" s="2932"/>
      <c r="P116" s="2957"/>
      <c r="Q116" s="2918"/>
      <c r="R116" s="2904"/>
      <c r="S116" s="2904"/>
      <c r="T116" s="2904"/>
      <c r="U116" s="2904"/>
      <c r="V116" s="2904"/>
      <c r="W116" s="2904"/>
      <c r="X116" s="2904"/>
      <c r="Y116" s="2904"/>
      <c r="Z116" s="2904"/>
      <c r="AA116" s="2904"/>
      <c r="AB116" s="2904"/>
      <c r="AC116" s="2904"/>
    </row>
    <row r="117" spans="1:29" ht="15.75" thickBot="1">
      <c r="A117" s="491"/>
      <c r="B117" s="500"/>
      <c r="C117" s="527"/>
      <c r="D117" s="548"/>
      <c r="E117" s="548"/>
      <c r="F117" s="548"/>
      <c r="G117" s="548"/>
      <c r="H117" s="548"/>
      <c r="I117" s="548"/>
      <c r="J117" s="548"/>
      <c r="K117" s="548"/>
      <c r="L117" s="548"/>
      <c r="M117" s="549"/>
      <c r="N117" s="2933"/>
      <c r="O117" s="2933"/>
      <c r="P117" s="2957"/>
      <c r="Q117" s="2918"/>
      <c r="R117" s="2904"/>
      <c r="S117" s="2904"/>
      <c r="T117" s="2904"/>
      <c r="U117" s="2904"/>
      <c r="V117" s="2904"/>
      <c r="W117" s="2904"/>
      <c r="X117" s="2904"/>
      <c r="Y117" s="2904"/>
      <c r="Z117" s="2904"/>
      <c r="AA117" s="2904"/>
      <c r="AB117" s="2904"/>
      <c r="AC117" s="2904"/>
    </row>
    <row r="118" spans="1:29" ht="15" thickTop="1">
      <c r="A118" s="556"/>
      <c r="B118" s="495" t="s">
        <v>2370</v>
      </c>
      <c r="C118" s="540"/>
      <c r="D118" s="540"/>
      <c r="E118" s="540"/>
      <c r="F118" s="540"/>
      <c r="G118" s="540"/>
      <c r="H118" s="540"/>
      <c r="I118" s="540"/>
      <c r="J118" s="540"/>
      <c r="K118" s="541"/>
      <c r="L118" s="542"/>
      <c r="M118" s="543"/>
      <c r="N118" s="2932"/>
      <c r="O118" s="2932"/>
      <c r="P118" s="2957"/>
      <c r="Q118" s="2918"/>
      <c r="R118" s="2904"/>
      <c r="S118" s="2904"/>
      <c r="T118" s="2904"/>
      <c r="U118" s="2904"/>
      <c r="V118" s="2904"/>
      <c r="W118" s="2904"/>
      <c r="X118" s="2904"/>
      <c r="Y118" s="2904"/>
      <c r="Z118" s="2904"/>
      <c r="AA118" s="2904"/>
      <c r="AB118" s="2904"/>
      <c r="AC118" s="2904"/>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33"/>
      <c r="O119" s="2933"/>
      <c r="P119" s="2957"/>
      <c r="Q119" s="2918"/>
      <c r="R119" s="2904"/>
      <c r="S119" s="2904"/>
      <c r="T119" s="2904"/>
      <c r="U119" s="2904"/>
      <c r="V119" s="2904"/>
      <c r="W119" s="2904"/>
      <c r="X119" s="2904"/>
      <c r="Y119" s="2904"/>
      <c r="Z119" s="2904"/>
      <c r="AA119" s="2904"/>
      <c r="AB119" s="2904"/>
      <c r="AC119" s="2904"/>
    </row>
    <row r="120" spans="1:29" ht="15" thickTop="1">
      <c r="A120" s="556"/>
      <c r="B120" s="495" t="s">
        <v>2371</v>
      </c>
      <c r="C120" s="511"/>
      <c r="D120" s="511"/>
      <c r="E120" s="511"/>
      <c r="F120" s="540"/>
      <c r="G120" s="540"/>
      <c r="H120" s="540"/>
      <c r="I120" s="540"/>
      <c r="J120" s="540"/>
      <c r="K120" s="541"/>
      <c r="L120" s="542"/>
      <c r="M120" s="543"/>
      <c r="N120" s="2932"/>
      <c r="O120" s="2932"/>
      <c r="P120" s="2957"/>
      <c r="Q120" s="2918"/>
      <c r="R120" s="2904"/>
      <c r="S120" s="2904"/>
      <c r="T120" s="2904"/>
      <c r="U120" s="2904"/>
      <c r="V120" s="2904"/>
      <c r="W120" s="2904"/>
      <c r="X120" s="2904"/>
      <c r="Y120" s="2904"/>
      <c r="Z120" s="2904"/>
      <c r="AA120" s="2904"/>
      <c r="AB120" s="2904"/>
      <c r="AC120" s="2904"/>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33"/>
      <c r="O121" s="2933"/>
      <c r="P121" s="2957"/>
      <c r="Q121" s="2918"/>
      <c r="R121" s="2904"/>
      <c r="S121" s="2904"/>
      <c r="T121" s="2904"/>
      <c r="U121" s="2904"/>
      <c r="V121" s="2904"/>
      <c r="W121" s="2904"/>
      <c r="X121" s="2904"/>
      <c r="Y121" s="2904"/>
      <c r="Z121" s="2904"/>
      <c r="AA121" s="2904"/>
      <c r="AB121" s="2904"/>
      <c r="AC121" s="2904"/>
    </row>
    <row r="122" spans="1:29" s="430" customFormat="1" ht="15" thickTop="1">
      <c r="A122" s="550"/>
      <c r="B122" s="495" t="s">
        <v>2372</v>
      </c>
      <c r="C122" s="511"/>
      <c r="D122" s="511"/>
      <c r="E122" s="511"/>
      <c r="F122" s="511"/>
      <c r="G122" s="511"/>
      <c r="H122" s="540"/>
      <c r="I122" s="540"/>
      <c r="J122" s="540"/>
      <c r="K122" s="541"/>
      <c r="L122" s="542"/>
      <c r="M122" s="543"/>
      <c r="N122" s="2934"/>
      <c r="O122" s="2934"/>
      <c r="P122" s="2958"/>
      <c r="Q122" s="2925"/>
      <c r="R122" s="2926"/>
      <c r="S122" s="2926"/>
      <c r="T122" s="2926"/>
      <c r="U122" s="2926"/>
      <c r="V122" s="2926"/>
      <c r="W122" s="2926"/>
      <c r="X122" s="2926"/>
      <c r="Y122" s="2926"/>
      <c r="Z122" s="2926"/>
      <c r="AA122" s="2926"/>
      <c r="AB122" s="2926"/>
      <c r="AC122" s="2926"/>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34"/>
      <c r="O123" s="2934"/>
      <c r="P123" s="2958"/>
      <c r="Q123" s="2925"/>
      <c r="R123" s="2926"/>
      <c r="S123" s="2926"/>
      <c r="T123" s="2926"/>
      <c r="U123" s="2926"/>
      <c r="V123" s="2926"/>
      <c r="W123" s="2926"/>
      <c r="X123" s="2926"/>
      <c r="Y123" s="2926"/>
      <c r="Z123" s="2926"/>
      <c r="AA123" s="2926"/>
      <c r="AB123" s="2926"/>
      <c r="AC123" s="2926"/>
    </row>
    <row r="124" spans="1:29" ht="15" thickTop="1">
      <c r="A124" s="556"/>
      <c r="B124" s="495" t="s">
        <v>2373</v>
      </c>
      <c r="C124" s="511"/>
      <c r="D124" s="511"/>
      <c r="E124" s="540"/>
      <c r="F124" s="540"/>
      <c r="G124" s="540"/>
      <c r="H124" s="540"/>
      <c r="I124" s="540"/>
      <c r="J124" s="540"/>
      <c r="K124" s="541"/>
      <c r="L124" s="542"/>
      <c r="M124" s="543"/>
      <c r="N124" s="2932"/>
      <c r="O124" s="2932"/>
      <c r="P124" s="2957"/>
      <c r="Q124" s="2918"/>
      <c r="R124" s="2904"/>
      <c r="S124" s="2904"/>
      <c r="T124" s="2904"/>
      <c r="U124" s="2904"/>
      <c r="V124" s="2904"/>
      <c r="W124" s="2904"/>
      <c r="X124" s="2904"/>
      <c r="Y124" s="2904"/>
      <c r="Z124" s="2904"/>
      <c r="AA124" s="2904"/>
      <c r="AB124" s="2904"/>
      <c r="AC124" s="2904"/>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33"/>
      <c r="O125" s="2933"/>
      <c r="P125" s="2957"/>
      <c r="Q125" s="2918"/>
      <c r="R125" s="2904"/>
      <c r="S125" s="2904"/>
      <c r="T125" s="2904"/>
      <c r="U125" s="2904"/>
      <c r="V125" s="2904"/>
      <c r="W125" s="2904"/>
      <c r="X125" s="2904"/>
      <c r="Y125" s="2904"/>
      <c r="Z125" s="2904"/>
      <c r="AA125" s="2904"/>
      <c r="AB125" s="2904"/>
      <c r="AC125" s="2904"/>
    </row>
    <row r="126" spans="1:29" ht="15" thickTop="1">
      <c r="A126" s="556"/>
      <c r="B126" s="495">
        <f>B43</f>
        <v>111</v>
      </c>
      <c r="C126" s="511"/>
      <c r="D126" s="511"/>
      <c r="E126" s="511"/>
      <c r="F126" s="511"/>
      <c r="G126" s="511"/>
      <c r="H126" s="540"/>
      <c r="I126" s="540"/>
      <c r="J126" s="540"/>
      <c r="K126" s="541"/>
      <c r="L126" s="542"/>
      <c r="M126" s="543"/>
      <c r="N126" s="2932"/>
      <c r="O126" s="2932"/>
      <c r="P126" s="2957"/>
      <c r="Q126" s="2918"/>
      <c r="R126" s="2904"/>
      <c r="S126" s="2904"/>
      <c r="T126" s="2904"/>
      <c r="U126" s="2904"/>
      <c r="V126" s="2904"/>
      <c r="W126" s="2904"/>
      <c r="X126" s="2904"/>
      <c r="Y126" s="2904"/>
      <c r="Z126" s="2904"/>
      <c r="AA126" s="2904"/>
      <c r="AB126" s="2904"/>
      <c r="AC126" s="2904"/>
    </row>
    <row r="127" spans="1:29" ht="15.75" thickBot="1">
      <c r="A127" s="491"/>
      <c r="B127" s="500"/>
      <c r="C127" s="517"/>
      <c r="D127" s="517"/>
      <c r="E127" s="517"/>
      <c r="F127" s="517"/>
      <c r="G127" s="493"/>
      <c r="H127" s="493"/>
      <c r="I127" s="493"/>
      <c r="J127" s="493"/>
      <c r="K127" s="493"/>
      <c r="L127" s="493"/>
      <c r="M127" s="494"/>
      <c r="N127" s="2933"/>
      <c r="O127" s="2933"/>
      <c r="P127" s="2957"/>
      <c r="Q127" s="2918"/>
      <c r="R127" s="2904"/>
      <c r="S127" s="2904"/>
      <c r="T127" s="2904"/>
      <c r="U127" s="2904"/>
      <c r="V127" s="2904"/>
      <c r="W127" s="2904"/>
      <c r="X127" s="2904"/>
      <c r="Y127" s="2904"/>
      <c r="Z127" s="2904"/>
      <c r="AA127" s="2904"/>
      <c r="AB127" s="2904"/>
      <c r="AC127" s="2904"/>
    </row>
    <row r="128" spans="1:29" ht="15" thickTop="1">
      <c r="A128" s="556"/>
      <c r="B128" s="495">
        <f>B44</f>
        <v>111</v>
      </c>
      <c r="C128" s="480"/>
      <c r="D128" s="480"/>
      <c r="E128" s="480"/>
      <c r="F128" s="480"/>
      <c r="G128" s="540"/>
      <c r="H128" s="540"/>
      <c r="I128" s="540"/>
      <c r="J128" s="540"/>
      <c r="K128" s="541"/>
      <c r="L128" s="542"/>
      <c r="M128" s="543"/>
      <c r="N128" s="2932"/>
      <c r="O128" s="2932"/>
      <c r="P128" s="2957"/>
      <c r="Q128" s="2918"/>
      <c r="R128" s="2904"/>
      <c r="S128" s="2904"/>
      <c r="T128" s="2904"/>
      <c r="U128" s="2904"/>
      <c r="V128" s="2904"/>
      <c r="W128" s="2904"/>
      <c r="X128" s="2904"/>
      <c r="Y128" s="2904"/>
      <c r="Z128" s="2904"/>
      <c r="AA128" s="2904"/>
      <c r="AB128" s="2904"/>
      <c r="AC128" s="2904"/>
    </row>
    <row r="129" spans="1:29" ht="15.75" thickBot="1">
      <c r="A129" s="491"/>
      <c r="B129" s="500"/>
      <c r="C129" s="527"/>
      <c r="D129" s="527"/>
      <c r="E129" s="527"/>
      <c r="F129" s="527"/>
      <c r="G129" s="493"/>
      <c r="H129" s="493"/>
      <c r="I129" s="493"/>
      <c r="J129" s="493"/>
      <c r="K129" s="493"/>
      <c r="L129" s="493"/>
      <c r="M129" s="494"/>
      <c r="N129" s="2933"/>
      <c r="O129" s="2933"/>
      <c r="P129" s="2957"/>
      <c r="Q129" s="2918"/>
      <c r="R129" s="2904"/>
      <c r="S129" s="2904"/>
      <c r="T129" s="2904"/>
      <c r="U129" s="2904"/>
      <c r="V129" s="2904"/>
      <c r="W129" s="2904"/>
      <c r="X129" s="2904"/>
      <c r="Y129" s="2904"/>
      <c r="Z129" s="2904"/>
      <c r="AA129" s="2904"/>
      <c r="AB129" s="2904"/>
      <c r="AC129" s="2904"/>
    </row>
    <row r="130" spans="1:29" s="430" customFormat="1" ht="15" thickTop="1">
      <c r="A130" s="550"/>
      <c r="B130" s="495">
        <f>B45</f>
        <v>111</v>
      </c>
      <c r="C130" s="480"/>
      <c r="D130" s="480"/>
      <c r="E130" s="480"/>
      <c r="F130" s="480"/>
      <c r="G130" s="512"/>
      <c r="H130" s="512"/>
      <c r="I130" s="512"/>
      <c r="J130" s="512"/>
      <c r="K130" s="512"/>
      <c r="L130" s="513"/>
      <c r="M130" s="514"/>
      <c r="N130" s="2934"/>
      <c r="O130" s="2934"/>
      <c r="P130" s="2958"/>
      <c r="Q130" s="2925"/>
      <c r="R130" s="2926"/>
      <c r="S130" s="2926"/>
      <c r="T130" s="2926"/>
      <c r="U130" s="2926"/>
      <c r="V130" s="2926"/>
      <c r="W130" s="2926"/>
      <c r="X130" s="2926"/>
      <c r="Y130" s="2926"/>
      <c r="Z130" s="2926"/>
      <c r="AA130" s="2926"/>
      <c r="AB130" s="2926"/>
      <c r="AC130" s="2926"/>
    </row>
    <row r="131" spans="1:29" s="430" customFormat="1" ht="15.75" thickBot="1">
      <c r="A131" s="525"/>
      <c r="B131" s="656"/>
      <c r="C131" s="527"/>
      <c r="D131" s="527"/>
      <c r="E131" s="527"/>
      <c r="F131" s="527"/>
      <c r="G131" s="548"/>
      <c r="H131" s="548"/>
      <c r="I131" s="548"/>
      <c r="J131" s="548"/>
      <c r="K131" s="548"/>
      <c r="L131" s="548"/>
      <c r="M131" s="549"/>
      <c r="N131" s="2934"/>
      <c r="O131" s="2934"/>
      <c r="P131" s="2958"/>
      <c r="Q131" s="2925"/>
      <c r="R131" s="2926"/>
      <c r="S131" s="2926"/>
      <c r="T131" s="2926"/>
      <c r="U131" s="2926"/>
      <c r="V131" s="2926"/>
      <c r="W131" s="2926"/>
      <c r="X131" s="2926"/>
      <c r="Y131" s="2926"/>
      <c r="Z131" s="2926"/>
      <c r="AA131" s="2926"/>
      <c r="AB131" s="2926"/>
      <c r="AC131" s="2926"/>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Q80" sqref="Q8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2323</v>
      </c>
      <c r="B1" s="355"/>
      <c r="C1" s="356" t="s">
        <v>2374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1906</v>
      </c>
      <c r="B2" s="627" t="e">
        <f>F61</f>
        <v>#DIV/0!</v>
      </c>
      <c r="C2" s="1020"/>
      <c r="D2" s="1020"/>
      <c r="E2" s="1020"/>
      <c r="F2" s="1021"/>
      <c r="G2" s="1020"/>
      <c r="H2" s="1020"/>
      <c r="I2" s="1020"/>
      <c r="J2" s="1020"/>
      <c r="K2" s="1022"/>
      <c r="L2" s="2913"/>
      <c r="M2" s="2914"/>
      <c r="N2" s="2914"/>
      <c r="O2" s="2914"/>
      <c r="P2" s="708"/>
      <c r="Q2" s="708"/>
      <c r="R2" s="708"/>
      <c r="S2" s="708"/>
      <c r="T2" s="708"/>
      <c r="U2" s="708"/>
      <c r="V2" s="708"/>
      <c r="W2" s="708"/>
      <c r="X2" s="708"/>
      <c r="Y2" s="708"/>
      <c r="Z2" s="708"/>
      <c r="AA2" s="708"/>
      <c r="AB2" s="708"/>
      <c r="AC2" s="709"/>
    </row>
    <row r="3" spans="1:29" s="358" customFormat="1" ht="28.5" customHeight="1" thickBot="1">
      <c r="A3" s="209" t="s">
        <v>1908</v>
      </c>
      <c r="B3" s="566" t="e">
        <f>ROUND(IF(D3="",B2*10000/'数据-汇总表'!E3,B2*10000/D3),0)</f>
        <v>#DIV/0!</v>
      </c>
      <c r="C3" s="209" t="s">
        <v>2325</v>
      </c>
      <c r="D3" s="1308"/>
      <c r="E3" s="1020"/>
      <c r="F3" s="1021"/>
      <c r="G3" s="1020"/>
      <c r="H3" s="1020"/>
      <c r="I3" s="1020"/>
      <c r="J3" s="1020"/>
      <c r="K3" s="1022"/>
      <c r="L3" s="2913"/>
      <c r="M3" s="2914"/>
      <c r="N3" s="2914"/>
      <c r="O3" s="2914"/>
      <c r="P3" s="708"/>
      <c r="Q3" s="708"/>
      <c r="R3" s="708"/>
      <c r="S3" s="708"/>
      <c r="T3" s="708"/>
      <c r="U3" s="708"/>
      <c r="V3" s="708"/>
      <c r="W3" s="708"/>
      <c r="X3" s="708"/>
      <c r="Y3" s="708"/>
      <c r="Z3" s="708"/>
      <c r="AA3" s="708"/>
      <c r="AB3" s="725"/>
      <c r="AC3" s="722"/>
    </row>
    <row r="4" spans="1:29" ht="15">
      <c r="A4" s="361" t="s">
        <v>2224</v>
      </c>
      <c r="B4" s="362"/>
      <c r="C4" s="3468" t="s">
        <v>2225</v>
      </c>
      <c r="D4" s="3469"/>
      <c r="E4" s="3470" t="s">
        <v>2226</v>
      </c>
      <c r="F4" s="3471"/>
      <c r="G4" s="3468" t="s">
        <v>2227</v>
      </c>
      <c r="H4" s="3469"/>
      <c r="I4" s="3468" t="s">
        <v>2228</v>
      </c>
      <c r="J4" s="3469"/>
      <c r="K4" s="567" t="s">
        <v>2229</v>
      </c>
      <c r="L4" s="2894"/>
      <c r="M4" s="2895"/>
      <c r="N4" s="2895"/>
      <c r="O4" s="2895"/>
      <c r="P4" s="3472" t="s">
        <v>2230</v>
      </c>
      <c r="Q4" s="3473"/>
      <c r="R4" s="3455" t="s">
        <v>2226</v>
      </c>
      <c r="S4" s="3456"/>
      <c r="T4" s="3455" t="s">
        <v>2227</v>
      </c>
      <c r="U4" s="3456"/>
      <c r="V4" s="3480" t="s">
        <v>2228</v>
      </c>
      <c r="W4" s="3480"/>
      <c r="X4" s="1490"/>
      <c r="Y4" s="3455" t="s">
        <v>2230</v>
      </c>
      <c r="Z4" s="3456"/>
      <c r="AA4" s="3450" t="s">
        <v>2226</v>
      </c>
      <c r="AB4" s="3451" t="s">
        <v>2227</v>
      </c>
      <c r="AC4" s="3450" t="s">
        <v>2228</v>
      </c>
    </row>
    <row r="5" spans="1:29" ht="15">
      <c r="A5" s="364"/>
      <c r="B5" s="365"/>
      <c r="C5" s="3461" t="s">
        <v>2121</v>
      </c>
      <c r="D5" s="3462"/>
      <c r="E5" s="3459" t="s">
        <v>2122</v>
      </c>
      <c r="F5" s="3460"/>
      <c r="G5" s="3461" t="s">
        <v>2123</v>
      </c>
      <c r="H5" s="3462"/>
      <c r="I5" s="3461" t="s">
        <v>2124</v>
      </c>
      <c r="J5" s="3462"/>
      <c r="K5" s="567"/>
      <c r="L5" s="2894"/>
      <c r="M5" s="2895"/>
      <c r="N5" s="2895"/>
      <c r="O5" s="2895"/>
      <c r="P5" s="3474"/>
      <c r="Q5" s="3475"/>
      <c r="R5" s="3457"/>
      <c r="S5" s="3458"/>
      <c r="T5" s="3457"/>
      <c r="U5" s="3458"/>
      <c r="V5" s="3480"/>
      <c r="W5" s="3480"/>
      <c r="X5" s="1490"/>
      <c r="Y5" s="3457"/>
      <c r="Z5" s="3458"/>
      <c r="AA5" s="3451"/>
      <c r="AB5" s="3451"/>
      <c r="AC5" s="3451"/>
    </row>
    <row r="6" spans="1:29" ht="15.75" thickBot="1">
      <c r="A6" s="366"/>
      <c r="B6" s="367"/>
      <c r="C6" s="3516" t="s">
        <v>2375</v>
      </c>
      <c r="D6" s="3517"/>
      <c r="E6" s="3518" t="s">
        <v>2375</v>
      </c>
      <c r="F6" s="3519"/>
      <c r="G6" s="3516" t="s">
        <v>2375</v>
      </c>
      <c r="H6" s="3517"/>
      <c r="I6" s="3516" t="s">
        <v>2375</v>
      </c>
      <c r="J6" s="3517"/>
      <c r="K6" s="567" t="s">
        <v>2126</v>
      </c>
      <c r="L6" s="2894"/>
      <c r="M6" s="2895"/>
      <c r="N6" s="2895"/>
      <c r="O6" s="2895"/>
      <c r="P6" s="3476"/>
      <c r="Q6" s="3477"/>
      <c r="R6" s="3457"/>
      <c r="S6" s="3458"/>
      <c r="T6" s="3478"/>
      <c r="U6" s="3479"/>
      <c r="V6" s="3480"/>
      <c r="W6" s="3480"/>
      <c r="X6" s="1490"/>
      <c r="Y6" s="3478"/>
      <c r="Z6" s="3479"/>
      <c r="AA6" s="3452"/>
      <c r="AB6" s="3452"/>
      <c r="AC6" s="3452"/>
    </row>
    <row r="7" spans="1:29" s="113" customFormat="1" ht="15.75" thickBot="1">
      <c r="A7" s="368" t="s">
        <v>2127</v>
      </c>
      <c r="B7" s="369"/>
      <c r="C7" s="370">
        <f>'数据-取费表'!B2</f>
        <v>44869</v>
      </c>
      <c r="D7" s="371">
        <v>100</v>
      </c>
      <c r="E7" s="372"/>
      <c r="F7" s="373">
        <f>SUMIF(65:65,YEAR(E7)&amp;"-"&amp;INT((MONTH(E7)+2)/3),66:66)</f>
        <v>0</v>
      </c>
      <c r="G7" s="2111"/>
      <c r="H7" s="371">
        <f>SUMIF(65:65,YEAR(G7)&amp;"-"&amp;INT((MONTH(G7)+2)/3),66:66)</f>
        <v>0</v>
      </c>
      <c r="I7" s="2111"/>
      <c r="J7" s="371">
        <f>SUMIF(65:65,YEAR(I7)&amp;"-"&amp;INT((MONTH(I7)+2)/3),66:66)</f>
        <v>0</v>
      </c>
      <c r="K7" s="568"/>
      <c r="L7" s="2896"/>
      <c r="M7" s="2897"/>
      <c r="N7" s="2897"/>
      <c r="O7" s="2897"/>
      <c r="P7" s="3453" t="s">
        <v>2128</v>
      </c>
      <c r="Q7" s="3481"/>
      <c r="R7" s="710" t="s">
        <v>17</v>
      </c>
      <c r="S7" s="711">
        <f t="shared" ref="S7:S15" si="0">F7</f>
        <v>0</v>
      </c>
      <c r="T7" s="710" t="s">
        <v>17</v>
      </c>
      <c r="U7" s="711">
        <f t="shared" ref="U7:U15" si="1">H7</f>
        <v>0</v>
      </c>
      <c r="V7" s="710" t="s">
        <v>17</v>
      </c>
      <c r="W7" s="711">
        <f t="shared" ref="W7:W15" si="2">J7</f>
        <v>0</v>
      </c>
      <c r="X7" s="712"/>
      <c r="Y7" s="3453" t="s">
        <v>2128</v>
      </c>
      <c r="Z7" s="3454"/>
      <c r="AA7" s="713" t="e">
        <f>D7/F7</f>
        <v>#DIV/0!</v>
      </c>
      <c r="AB7" s="713" t="e">
        <f>D7/H7</f>
        <v>#DIV/0!</v>
      </c>
      <c r="AC7" s="713" t="e">
        <f>D7/J7</f>
        <v>#DIV/0!</v>
      </c>
    </row>
    <row r="8" spans="1:29" s="113" customFormat="1" ht="15.75" thickBot="1">
      <c r="A8" s="368" t="s">
        <v>2129</v>
      </c>
      <c r="B8" s="369"/>
      <c r="C8" s="374" t="s">
        <v>2130</v>
      </c>
      <c r="D8" s="371">
        <v>100</v>
      </c>
      <c r="E8" s="374"/>
      <c r="F8" s="373">
        <f>SUMIF(68:68,E8,69:69)-SUMIF(68:68,C8,69:69)+100</f>
        <v>0</v>
      </c>
      <c r="G8" s="374"/>
      <c r="H8" s="371">
        <f>SUMIF(68:68,G8,69:69)-SUMIF(68:68,C8,69:69)+100</f>
        <v>0</v>
      </c>
      <c r="I8" s="374"/>
      <c r="J8" s="371">
        <f>SUMIF(68:68,I8,69:69)-SUMIF(68:68,C8,69:69)+100</f>
        <v>0</v>
      </c>
      <c r="K8" s="568"/>
      <c r="L8" s="2896"/>
      <c r="M8" s="2897"/>
      <c r="N8" s="2897"/>
      <c r="O8" s="2897"/>
      <c r="P8" s="3453" t="s">
        <v>2131</v>
      </c>
      <c r="Q8" s="3454"/>
      <c r="R8" s="710" t="s">
        <v>17</v>
      </c>
      <c r="S8" s="711">
        <f t="shared" si="0"/>
        <v>0</v>
      </c>
      <c r="T8" s="710" t="s">
        <v>17</v>
      </c>
      <c r="U8" s="711">
        <f t="shared" si="1"/>
        <v>0</v>
      </c>
      <c r="V8" s="710" t="s">
        <v>17</v>
      </c>
      <c r="W8" s="711">
        <f t="shared" si="2"/>
        <v>0</v>
      </c>
      <c r="X8" s="712"/>
      <c r="Y8" s="3453" t="s">
        <v>2131</v>
      </c>
      <c r="Z8" s="3454"/>
      <c r="AA8" s="713" t="e">
        <f t="shared" ref="AA8:AA40" si="3">D8/F8</f>
        <v>#DIV/0!</v>
      </c>
      <c r="AB8" s="713" t="e">
        <f t="shared" ref="AB8:AB40" si="4">D8/H8</f>
        <v>#DIV/0!</v>
      </c>
      <c r="AC8" s="713" t="e">
        <f t="shared" ref="AC8:AC40" si="5">D8/J8</f>
        <v>#DIV/0!</v>
      </c>
    </row>
    <row r="9" spans="1:29" s="113" customFormat="1">
      <c r="A9" s="375" t="s">
        <v>2132</v>
      </c>
      <c r="B9" s="67" t="s">
        <v>2133</v>
      </c>
      <c r="C9" s="2114"/>
      <c r="D9" s="131">
        <v>100</v>
      </c>
      <c r="E9" s="2114"/>
      <c r="F9" s="131">
        <f>SUMIF(70:70,E9,71:71)-SUMIF(70:70,C9,71:71)+100</f>
        <v>100</v>
      </c>
      <c r="G9" s="2114"/>
      <c r="H9" s="131">
        <f>SUMIF(70:70,G9,71:71)-SUMIF(70:70,C9,71:71)+100</f>
        <v>100</v>
      </c>
      <c r="I9" s="2114"/>
      <c r="J9" s="131">
        <f>SUMIF(70:70,I9,71:71)-SUMIF(70:70,C9,71:71)+100</f>
        <v>100</v>
      </c>
      <c r="K9" s="568"/>
      <c r="L9" s="2896"/>
      <c r="M9" s="2897"/>
      <c r="N9" s="2897"/>
      <c r="O9" s="2951"/>
      <c r="P9" s="3485" t="s">
        <v>2134</v>
      </c>
      <c r="Q9" s="1478" t="str">
        <f t="shared" ref="Q9:Q15" si="6">B9</f>
        <v>用途</v>
      </c>
      <c r="R9" s="710" t="s">
        <v>17</v>
      </c>
      <c r="S9" s="711">
        <f t="shared" si="0"/>
        <v>100</v>
      </c>
      <c r="T9" s="710" t="s">
        <v>17</v>
      </c>
      <c r="U9" s="711">
        <f t="shared" si="1"/>
        <v>100</v>
      </c>
      <c r="V9" s="710" t="s">
        <v>17</v>
      </c>
      <c r="W9" s="711">
        <f t="shared" si="2"/>
        <v>100</v>
      </c>
      <c r="X9" s="712"/>
      <c r="Y9" s="3397" t="s">
        <v>2135</v>
      </c>
      <c r="Z9" s="55" t="str">
        <f t="shared" ref="Z9:Z15" si="7">Q9</f>
        <v>用途</v>
      </c>
      <c r="AA9" s="713">
        <f t="shared" si="3"/>
        <v>1</v>
      </c>
      <c r="AB9" s="713">
        <f t="shared" si="4"/>
        <v>1</v>
      </c>
      <c r="AC9" s="713">
        <f t="shared" si="5"/>
        <v>1</v>
      </c>
    </row>
    <row r="10" spans="1:29" s="386" customFormat="1" ht="27">
      <c r="A10" s="380"/>
      <c r="B10" s="381" t="s">
        <v>2136</v>
      </c>
      <c r="C10" s="391"/>
      <c r="D10" s="132">
        <v>100</v>
      </c>
      <c r="E10" s="391"/>
      <c r="F10" s="132">
        <f>ROUND(100/'数据-取费表'!G16,0)</f>
        <v>100</v>
      </c>
      <c r="G10" s="391"/>
      <c r="H10" s="132">
        <f>ROUND(100/'数据-取费表'!G16,0)</f>
        <v>100</v>
      </c>
      <c r="I10" s="391"/>
      <c r="J10" s="132">
        <f>ROUND(100/'数据-取费表'!G16,0)</f>
        <v>100</v>
      </c>
      <c r="K10" s="628"/>
      <c r="L10" s="2898"/>
      <c r="M10" s="2899"/>
      <c r="N10" s="2899"/>
      <c r="O10" s="2952"/>
      <c r="P10" s="3485"/>
      <c r="Q10" s="1478" t="str">
        <f t="shared" si="6"/>
        <v>土地使用年限（年）</v>
      </c>
      <c r="R10" s="710" t="s">
        <v>17</v>
      </c>
      <c r="S10" s="711">
        <f t="shared" si="0"/>
        <v>100</v>
      </c>
      <c r="T10" s="710" t="s">
        <v>17</v>
      </c>
      <c r="U10" s="711">
        <f t="shared" si="1"/>
        <v>100</v>
      </c>
      <c r="V10" s="710" t="s">
        <v>17</v>
      </c>
      <c r="W10" s="711">
        <f t="shared" si="2"/>
        <v>100</v>
      </c>
      <c r="X10" s="712"/>
      <c r="Y10" s="3397"/>
      <c r="Z10" s="55" t="str">
        <f t="shared" si="7"/>
        <v>土地使用年限（年）</v>
      </c>
      <c r="AA10" s="713">
        <f t="shared" si="3"/>
        <v>1</v>
      </c>
      <c r="AB10" s="713">
        <f t="shared" si="4"/>
        <v>1</v>
      </c>
      <c r="AC10" s="713">
        <f t="shared" si="5"/>
        <v>1</v>
      </c>
    </row>
    <row r="11" spans="1:29" ht="15">
      <c r="A11" s="387"/>
      <c r="B11" s="381" t="s">
        <v>2137</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00"/>
      <c r="M11" s="2895"/>
      <c r="N11" s="2895"/>
      <c r="O11" s="2953"/>
      <c r="P11" s="3485"/>
      <c r="Q11" s="1478" t="str">
        <f t="shared" si="6"/>
        <v>容积率</v>
      </c>
      <c r="R11" s="710" t="s">
        <v>17</v>
      </c>
      <c r="S11" s="711" t="e">
        <f t="shared" si="0"/>
        <v>#N/A</v>
      </c>
      <c r="T11" s="710" t="s">
        <v>17</v>
      </c>
      <c r="U11" s="711" t="e">
        <f t="shared" si="1"/>
        <v>#N/A</v>
      </c>
      <c r="V11" s="710" t="s">
        <v>17</v>
      </c>
      <c r="W11" s="711" t="e">
        <f t="shared" si="2"/>
        <v>#N/A</v>
      </c>
      <c r="X11" s="712"/>
      <c r="Y11" s="3397"/>
      <c r="Z11" s="55" t="str">
        <f t="shared" si="7"/>
        <v>容积率</v>
      </c>
      <c r="AA11" s="713" t="e">
        <f t="shared" si="3"/>
        <v>#N/A</v>
      </c>
      <c r="AB11" s="713" t="e">
        <f t="shared" si="4"/>
        <v>#N/A</v>
      </c>
      <c r="AC11" s="713" t="e">
        <f t="shared" si="5"/>
        <v>#N/A</v>
      </c>
    </row>
    <row r="12" spans="1:29" s="113" customFormat="1" ht="15">
      <c r="A12" s="390"/>
      <c r="B12" s="2030">
        <v>111</v>
      </c>
      <c r="C12" s="391"/>
      <c r="D12" s="392">
        <v>100</v>
      </c>
      <c r="E12" s="506"/>
      <c r="F12" s="132">
        <f>SUMIF(77:77,E12,78:78)-SUMIF(77:77,C12,78:78)+100</f>
        <v>100</v>
      </c>
      <c r="G12" s="630"/>
      <c r="H12" s="132">
        <f>SUMIF(77:77,G12,78:78)-SUMIF(77:77,C12,78:78)+100</f>
        <v>100</v>
      </c>
      <c r="I12" s="506"/>
      <c r="J12" s="132">
        <f>SUMIF(77:77,I12,78:78)-SUMIF(77:77,C12,78:78)+100</f>
        <v>100</v>
      </c>
      <c r="K12" s="628"/>
      <c r="L12" s="2896"/>
      <c r="M12" s="2897"/>
      <c r="N12" s="2897"/>
      <c r="O12" s="2951"/>
      <c r="P12" s="3485"/>
      <c r="Q12" s="1478">
        <f t="shared" si="6"/>
        <v>111</v>
      </c>
      <c r="R12" s="710" t="s">
        <v>17</v>
      </c>
      <c r="S12" s="711">
        <f t="shared" si="0"/>
        <v>100</v>
      </c>
      <c r="T12" s="710" t="s">
        <v>17</v>
      </c>
      <c r="U12" s="711">
        <f t="shared" si="1"/>
        <v>100</v>
      </c>
      <c r="V12" s="710" t="s">
        <v>17</v>
      </c>
      <c r="W12" s="711">
        <f t="shared" si="2"/>
        <v>100</v>
      </c>
      <c r="X12" s="712"/>
      <c r="Y12" s="3397"/>
      <c r="Z12" s="55">
        <f t="shared" si="7"/>
        <v>111</v>
      </c>
      <c r="AA12" s="713">
        <f>D12/F12</f>
        <v>1</v>
      </c>
      <c r="AB12" s="713">
        <f>D12/H12</f>
        <v>1</v>
      </c>
      <c r="AC12" s="713">
        <f>D12/J12</f>
        <v>1</v>
      </c>
    </row>
    <row r="13" spans="1:29" ht="15">
      <c r="A13" s="387"/>
      <c r="B13" s="2030">
        <v>111</v>
      </c>
      <c r="C13" s="393"/>
      <c r="D13" s="394">
        <v>100</v>
      </c>
      <c r="E13" s="506"/>
      <c r="F13" s="132">
        <f>SUMIF(79:79,E13,80:80)-SUMIF(79:79,C13,80:80)+100</f>
        <v>100</v>
      </c>
      <c r="G13" s="630"/>
      <c r="H13" s="394">
        <f>SUMIF(79:79,G13,80:80)-SUMIF(79:79,C13,80:80)+100</f>
        <v>100</v>
      </c>
      <c r="I13" s="506"/>
      <c r="J13" s="394">
        <f>SUMIF(79:79,I13,80:80)-SUMIF(79:79,C13,80:80)+100</f>
        <v>100</v>
      </c>
      <c r="K13" s="628"/>
      <c r="L13" s="2901"/>
      <c r="M13" s="2895"/>
      <c r="N13" s="2895"/>
      <c r="O13" s="2953"/>
      <c r="P13" s="3485"/>
      <c r="Q13" s="1478">
        <f t="shared" si="6"/>
        <v>111</v>
      </c>
      <c r="R13" s="710" t="s">
        <v>17</v>
      </c>
      <c r="S13" s="711">
        <f t="shared" si="0"/>
        <v>100</v>
      </c>
      <c r="T13" s="710" t="s">
        <v>17</v>
      </c>
      <c r="U13" s="711">
        <f t="shared" si="1"/>
        <v>100</v>
      </c>
      <c r="V13" s="710" t="s">
        <v>17</v>
      </c>
      <c r="W13" s="711">
        <f t="shared" si="2"/>
        <v>100</v>
      </c>
      <c r="X13" s="712"/>
      <c r="Y13" s="3397"/>
      <c r="Z13" s="55">
        <f t="shared" si="7"/>
        <v>111</v>
      </c>
      <c r="AA13" s="713">
        <f t="shared" si="3"/>
        <v>1</v>
      </c>
      <c r="AB13" s="713">
        <f t="shared" si="4"/>
        <v>1</v>
      </c>
      <c r="AC13" s="713">
        <f t="shared" si="5"/>
        <v>1</v>
      </c>
    </row>
    <row r="14" spans="1:29" ht="15.75" thickBot="1">
      <c r="A14" s="395"/>
      <c r="B14" s="2032">
        <v>111</v>
      </c>
      <c r="C14" s="396"/>
      <c r="D14" s="397">
        <v>100</v>
      </c>
      <c r="E14" s="506"/>
      <c r="F14" s="397">
        <f>SUMIF(81:81,E14,82:82)-SUMIF(81:81,C14,82:82)+100</f>
        <v>100</v>
      </c>
      <c r="G14" s="630"/>
      <c r="H14" s="397">
        <f>SUMIF(81:81,G14,82:82)-SUMIF(81:81,C14,82:82)+100</f>
        <v>100</v>
      </c>
      <c r="I14" s="506"/>
      <c r="J14" s="397">
        <f>SUMIF(81:81,I14,82:82)-SUMIF(81:81,C14,82:82)+100</f>
        <v>100</v>
      </c>
      <c r="K14" s="628"/>
      <c r="L14" s="2901"/>
      <c r="M14" s="2895"/>
      <c r="N14" s="2895"/>
      <c r="O14" s="2953"/>
      <c r="P14" s="3485"/>
      <c r="Q14" s="1478">
        <f t="shared" si="6"/>
        <v>111</v>
      </c>
      <c r="R14" s="710" t="s">
        <v>17</v>
      </c>
      <c r="S14" s="711">
        <f t="shared" si="0"/>
        <v>100</v>
      </c>
      <c r="T14" s="710" t="s">
        <v>17</v>
      </c>
      <c r="U14" s="711">
        <f t="shared" si="1"/>
        <v>100</v>
      </c>
      <c r="V14" s="710" t="s">
        <v>17</v>
      </c>
      <c r="W14" s="711">
        <f t="shared" si="2"/>
        <v>100</v>
      </c>
      <c r="X14" s="712"/>
      <c r="Y14" s="3397"/>
      <c r="Z14" s="55">
        <f t="shared" si="7"/>
        <v>111</v>
      </c>
      <c r="AA14" s="713">
        <f t="shared" si="3"/>
        <v>1</v>
      </c>
      <c r="AB14" s="713">
        <f t="shared" si="4"/>
        <v>1</v>
      </c>
      <c r="AC14" s="713">
        <f t="shared" si="5"/>
        <v>1</v>
      </c>
    </row>
    <row r="15" spans="1:29" ht="57">
      <c r="A15" s="399" t="s">
        <v>2138</v>
      </c>
      <c r="B15" s="585" t="s">
        <v>2376</v>
      </c>
      <c r="C15" s="2108"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01"/>
      <c r="M15" s="2895"/>
      <c r="N15" s="2895"/>
      <c r="O15" s="2953"/>
      <c r="P15" s="3487" t="s">
        <v>2139</v>
      </c>
      <c r="Q15" s="1487" t="str">
        <f t="shared" si="6"/>
        <v>产业集聚程度</v>
      </c>
      <c r="R15" s="714" t="s">
        <v>17</v>
      </c>
      <c r="S15" s="715">
        <f t="shared" si="0"/>
        <v>100</v>
      </c>
      <c r="T15" s="714" t="s">
        <v>17</v>
      </c>
      <c r="U15" s="715">
        <f t="shared" si="1"/>
        <v>100</v>
      </c>
      <c r="V15" s="714" t="s">
        <v>17</v>
      </c>
      <c r="W15" s="715">
        <f t="shared" si="2"/>
        <v>100</v>
      </c>
      <c r="X15" s="1490"/>
      <c r="Y15" s="3487" t="s">
        <v>2139</v>
      </c>
      <c r="Z15" s="1491" t="str">
        <f t="shared" si="7"/>
        <v>产业集聚程度</v>
      </c>
      <c r="AA15" s="1488">
        <f t="shared" si="3"/>
        <v>1</v>
      </c>
      <c r="AB15" s="1488">
        <f t="shared" si="4"/>
        <v>1</v>
      </c>
      <c r="AC15" s="1488">
        <f t="shared" si="5"/>
        <v>1</v>
      </c>
    </row>
    <row r="16" spans="1:29" ht="15">
      <c r="A16" s="387"/>
      <c r="B16" s="586"/>
      <c r="C16" s="406"/>
      <c r="D16" s="407"/>
      <c r="E16" s="2041"/>
      <c r="F16" s="407"/>
      <c r="G16" s="2041"/>
      <c r="H16" s="409"/>
      <c r="I16" s="2041"/>
      <c r="J16" s="407"/>
      <c r="K16" s="628"/>
      <c r="L16" s="2901"/>
      <c r="M16" s="2895"/>
      <c r="N16" s="2895"/>
      <c r="O16" s="2953"/>
      <c r="P16" s="3488"/>
      <c r="Q16" s="1487"/>
      <c r="R16" s="714"/>
      <c r="S16" s="715"/>
      <c r="T16" s="714"/>
      <c r="U16" s="715"/>
      <c r="V16" s="714"/>
      <c r="W16" s="715"/>
      <c r="X16" s="1490"/>
      <c r="Y16" s="3488"/>
      <c r="Z16" s="1491"/>
      <c r="AA16" s="1488">
        <v>1</v>
      </c>
      <c r="AB16" s="1488">
        <v>1</v>
      </c>
      <c r="AC16" s="1488">
        <v>1</v>
      </c>
    </row>
    <row r="17" spans="1:29" ht="85.5">
      <c r="A17" s="387"/>
      <c r="B17" s="587" t="s">
        <v>2288</v>
      </c>
      <c r="C17" s="2037"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01"/>
      <c r="M17" s="2895"/>
      <c r="N17" s="2895"/>
      <c r="O17" s="2953"/>
      <c r="P17" s="3488"/>
      <c r="Q17" s="1487" t="str">
        <f>B17</f>
        <v>交通便捷度</v>
      </c>
      <c r="R17" s="714" t="s">
        <v>17</v>
      </c>
      <c r="S17" s="715">
        <f>F17</f>
        <v>100</v>
      </c>
      <c r="T17" s="714" t="s">
        <v>17</v>
      </c>
      <c r="U17" s="715">
        <f>H17</f>
        <v>100</v>
      </c>
      <c r="V17" s="714" t="s">
        <v>17</v>
      </c>
      <c r="W17" s="715">
        <f>J17</f>
        <v>100</v>
      </c>
      <c r="X17" s="1490"/>
      <c r="Y17" s="3488"/>
      <c r="Z17" s="1491" t="str">
        <f>Q17</f>
        <v>交通便捷度</v>
      </c>
      <c r="AA17" s="1488">
        <f t="shared" si="3"/>
        <v>1</v>
      </c>
      <c r="AB17" s="1488">
        <f t="shared" si="4"/>
        <v>1</v>
      </c>
      <c r="AC17" s="1488">
        <f t="shared" si="5"/>
        <v>1</v>
      </c>
    </row>
    <row r="18" spans="1:29" ht="15">
      <c r="A18" s="387"/>
      <c r="B18" s="588"/>
      <c r="C18" s="406"/>
      <c r="D18" s="407"/>
      <c r="E18" s="2035"/>
      <c r="F18" s="407"/>
      <c r="G18" s="2035"/>
      <c r="H18" s="407"/>
      <c r="I18" s="2034"/>
      <c r="J18" s="407"/>
      <c r="K18" s="628"/>
      <c r="L18" s="2901"/>
      <c r="M18" s="2895"/>
      <c r="N18" s="2895"/>
      <c r="O18" s="2953"/>
      <c r="P18" s="3488"/>
      <c r="Q18" s="1487"/>
      <c r="R18" s="714"/>
      <c r="S18" s="715"/>
      <c r="T18" s="714"/>
      <c r="U18" s="715"/>
      <c r="V18" s="714"/>
      <c r="W18" s="715"/>
      <c r="X18" s="1490"/>
      <c r="Y18" s="3488"/>
      <c r="Z18" s="1491"/>
      <c r="AA18" s="1488">
        <v>1</v>
      </c>
      <c r="AB18" s="1488">
        <v>1</v>
      </c>
      <c r="AC18" s="1488">
        <v>1</v>
      </c>
    </row>
    <row r="19" spans="1:29" ht="15">
      <c r="A19" s="387"/>
      <c r="B19" s="587" t="s">
        <v>2327</v>
      </c>
      <c r="C19" s="2037">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01"/>
      <c r="M19" s="2895"/>
      <c r="N19" s="2895"/>
      <c r="O19" s="2953"/>
      <c r="P19" s="3488"/>
      <c r="Q19" s="1487" t="str">
        <f t="shared" ref="Q19:Q33" si="8">B19</f>
        <v>区域土地利用方向</v>
      </c>
      <c r="R19" s="714" t="s">
        <v>17</v>
      </c>
      <c r="S19" s="715">
        <f>F19</f>
        <v>100</v>
      </c>
      <c r="T19" s="714" t="s">
        <v>17</v>
      </c>
      <c r="U19" s="715">
        <f>H19</f>
        <v>100</v>
      </c>
      <c r="V19" s="714" t="s">
        <v>17</v>
      </c>
      <c r="W19" s="715">
        <f>J19</f>
        <v>100</v>
      </c>
      <c r="X19" s="1490"/>
      <c r="Y19" s="3488"/>
      <c r="Z19" s="1491" t="str">
        <f>Q19</f>
        <v>区域土地利用方向</v>
      </c>
      <c r="AA19" s="1488">
        <f t="shared" si="3"/>
        <v>1</v>
      </c>
      <c r="AB19" s="1488">
        <f t="shared" si="4"/>
        <v>1</v>
      </c>
      <c r="AC19" s="1488">
        <f t="shared" si="5"/>
        <v>1</v>
      </c>
    </row>
    <row r="20" spans="1:29" ht="15">
      <c r="A20" s="364"/>
      <c r="B20" s="588"/>
      <c r="C20" s="406"/>
      <c r="D20" s="407"/>
      <c r="E20" s="2035"/>
      <c r="F20" s="407"/>
      <c r="G20" s="2035"/>
      <c r="H20" s="407"/>
      <c r="I20" s="2035"/>
      <c r="J20" s="407"/>
      <c r="K20" s="751"/>
      <c r="L20" s="2901"/>
      <c r="M20" s="2895"/>
      <c r="N20" s="2895"/>
      <c r="O20" s="2953"/>
      <c r="P20" s="3488"/>
      <c r="Q20" s="1487"/>
      <c r="R20" s="714"/>
      <c r="S20" s="715"/>
      <c r="T20" s="714"/>
      <c r="U20" s="715"/>
      <c r="V20" s="714"/>
      <c r="W20" s="715"/>
      <c r="X20" s="1490"/>
      <c r="Y20" s="3488"/>
      <c r="Z20" s="1491"/>
      <c r="AA20" s="1488"/>
      <c r="AB20" s="1488"/>
      <c r="AC20" s="1488"/>
    </row>
    <row r="21" spans="1:29" ht="71.25">
      <c r="A21" s="364"/>
      <c r="B21" s="587" t="s">
        <v>2377</v>
      </c>
      <c r="C21" s="2037"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01"/>
      <c r="M21" s="2895"/>
      <c r="N21" s="2895"/>
      <c r="O21" s="2953"/>
      <c r="P21" s="3488"/>
      <c r="Q21" s="1487" t="str">
        <f t="shared" si="8"/>
        <v>环境状况</v>
      </c>
      <c r="R21" s="714" t="s">
        <v>17</v>
      </c>
      <c r="S21" s="715">
        <f>F21</f>
        <v>100</v>
      </c>
      <c r="T21" s="714" t="s">
        <v>17</v>
      </c>
      <c r="U21" s="715">
        <f>H21</f>
        <v>100</v>
      </c>
      <c r="V21" s="714" t="s">
        <v>17</v>
      </c>
      <c r="W21" s="715">
        <f>J21</f>
        <v>100</v>
      </c>
      <c r="X21" s="1490"/>
      <c r="Y21" s="3488"/>
      <c r="Z21" s="1491" t="str">
        <f>Q21</f>
        <v>环境状况</v>
      </c>
      <c r="AA21" s="1488">
        <f t="shared" si="3"/>
        <v>1</v>
      </c>
      <c r="AB21" s="1488">
        <f t="shared" si="4"/>
        <v>1</v>
      </c>
      <c r="AC21" s="1488">
        <f t="shared" si="5"/>
        <v>1</v>
      </c>
    </row>
    <row r="22" spans="1:29" ht="15">
      <c r="A22" s="364"/>
      <c r="B22" s="588"/>
      <c r="C22" s="406"/>
      <c r="D22" s="407"/>
      <c r="E22" s="2041"/>
      <c r="F22" s="407"/>
      <c r="G22" s="2041"/>
      <c r="H22" s="407"/>
      <c r="I22" s="406"/>
      <c r="J22" s="407"/>
      <c r="K22" s="628"/>
      <c r="L22" s="2901"/>
      <c r="M22" s="2895"/>
      <c r="N22" s="2895"/>
      <c r="O22" s="2953"/>
      <c r="P22" s="3488"/>
      <c r="Q22" s="1487"/>
      <c r="R22" s="714"/>
      <c r="S22" s="715"/>
      <c r="T22" s="714"/>
      <c r="U22" s="715"/>
      <c r="V22" s="714"/>
      <c r="W22" s="715"/>
      <c r="X22" s="1490"/>
      <c r="Y22" s="3488"/>
      <c r="Z22" s="1491"/>
      <c r="AA22" s="1488">
        <v>1</v>
      </c>
      <c r="AB22" s="1488">
        <v>1</v>
      </c>
      <c r="AC22" s="1488">
        <v>1</v>
      </c>
    </row>
    <row r="23" spans="1:29" s="113" customFormat="1" ht="42.75">
      <c r="A23" s="605"/>
      <c r="B23" s="589" t="s">
        <v>2233</v>
      </c>
      <c r="C23" s="2037"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896"/>
      <c r="M23" s="2897"/>
      <c r="N23" s="2897"/>
      <c r="O23" s="2951"/>
      <c r="P23" s="3488"/>
      <c r="Q23" s="1478" t="str">
        <f t="shared" si="8"/>
        <v>公共配套设施</v>
      </c>
      <c r="R23" s="710" t="s">
        <v>17</v>
      </c>
      <c r="S23" s="711">
        <f>F23</f>
        <v>100</v>
      </c>
      <c r="T23" s="710" t="s">
        <v>17</v>
      </c>
      <c r="U23" s="711">
        <f>H23</f>
        <v>100</v>
      </c>
      <c r="V23" s="710" t="s">
        <v>17</v>
      </c>
      <c r="W23" s="711">
        <f>J23</f>
        <v>100</v>
      </c>
      <c r="X23" s="712"/>
      <c r="Y23" s="3488"/>
      <c r="Z23" s="55" t="str">
        <f>Q23</f>
        <v>公共配套设施</v>
      </c>
      <c r="AA23" s="1488">
        <f>D23/F23</f>
        <v>1</v>
      </c>
      <c r="AB23" s="1488">
        <f>D23/H23</f>
        <v>1</v>
      </c>
      <c r="AC23" s="1488">
        <f>D23/J23</f>
        <v>1</v>
      </c>
    </row>
    <row r="24" spans="1:29" s="113" customFormat="1" ht="15">
      <c r="A24" s="605"/>
      <c r="B24" s="588"/>
      <c r="C24" s="2115"/>
      <c r="D24" s="407"/>
      <c r="E24" s="2041"/>
      <c r="F24" s="407"/>
      <c r="G24" s="2041"/>
      <c r="H24" s="407"/>
      <c r="I24" s="406"/>
      <c r="J24" s="407"/>
      <c r="K24" s="628"/>
      <c r="L24" s="2896"/>
      <c r="M24" s="2897"/>
      <c r="N24" s="2897"/>
      <c r="O24" s="2951"/>
      <c r="P24" s="3488"/>
      <c r="Q24" s="1478"/>
      <c r="R24" s="710"/>
      <c r="S24" s="711"/>
      <c r="T24" s="710"/>
      <c r="U24" s="711"/>
      <c r="V24" s="710"/>
      <c r="W24" s="711"/>
      <c r="X24" s="712"/>
      <c r="Y24" s="3488"/>
      <c r="Z24" s="55"/>
      <c r="AA24" s="713">
        <v>1</v>
      </c>
      <c r="AB24" s="713">
        <v>1</v>
      </c>
      <c r="AC24" s="713">
        <v>1</v>
      </c>
    </row>
    <row r="25" spans="1:29" s="113" customFormat="1" ht="28.5">
      <c r="A25" s="605"/>
      <c r="B25" s="589" t="s">
        <v>2234</v>
      </c>
      <c r="C25" s="2037"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896"/>
      <c r="M25" s="2897"/>
      <c r="N25" s="2897"/>
      <c r="O25" s="2951"/>
      <c r="P25" s="3488"/>
      <c r="Q25" s="1478" t="str">
        <f t="shared" ref="Q25" si="9">B25</f>
        <v>基础设施水平</v>
      </c>
      <c r="R25" s="710" t="s">
        <v>17</v>
      </c>
      <c r="S25" s="711">
        <f>F25</f>
        <v>100</v>
      </c>
      <c r="T25" s="710" t="s">
        <v>17</v>
      </c>
      <c r="U25" s="711">
        <f>H25</f>
        <v>100</v>
      </c>
      <c r="V25" s="710" t="s">
        <v>17</v>
      </c>
      <c r="W25" s="711">
        <f>J25</f>
        <v>100</v>
      </c>
      <c r="X25" s="712"/>
      <c r="Y25" s="3488"/>
      <c r="Z25" s="55" t="str">
        <f>Q25</f>
        <v>基础设施水平</v>
      </c>
      <c r="AA25" s="1488">
        <f>D25/F25</f>
        <v>1</v>
      </c>
      <c r="AB25" s="1488">
        <f>D25/H25</f>
        <v>1</v>
      </c>
      <c r="AC25" s="1488">
        <f>D25/J25</f>
        <v>1</v>
      </c>
    </row>
    <row r="26" spans="1:29" s="113" customFormat="1" ht="15">
      <c r="A26" s="605"/>
      <c r="B26" s="588"/>
      <c r="C26" s="2115"/>
      <c r="D26" s="407"/>
      <c r="E26" s="2116"/>
      <c r="F26" s="407"/>
      <c r="G26" s="2116"/>
      <c r="H26" s="407"/>
      <c r="I26" s="2116"/>
      <c r="J26" s="407"/>
      <c r="K26" s="628"/>
      <c r="L26" s="2896"/>
      <c r="M26" s="2897"/>
      <c r="N26" s="2897"/>
      <c r="O26" s="2951"/>
      <c r="P26" s="3488"/>
      <c r="Q26" s="1478"/>
      <c r="R26" s="710"/>
      <c r="S26" s="711"/>
      <c r="T26" s="710"/>
      <c r="U26" s="711"/>
      <c r="V26" s="710"/>
      <c r="W26" s="711"/>
      <c r="X26" s="712"/>
      <c r="Y26" s="3488"/>
      <c r="Z26" s="55"/>
      <c r="AA26" s="713">
        <v>1</v>
      </c>
      <c r="AB26" s="713">
        <v>1</v>
      </c>
      <c r="AC26" s="713">
        <v>1</v>
      </c>
    </row>
    <row r="27" spans="1:29" ht="15">
      <c r="A27" s="387"/>
      <c r="B27" s="588" t="s">
        <v>2235</v>
      </c>
      <c r="C27" s="573"/>
      <c r="D27" s="394">
        <v>100</v>
      </c>
      <c r="E27" s="590"/>
      <c r="F27" s="394">
        <f>SUMIF(95:95,E27,96:96)-SUMIF(95:95,C27,96:96)+100</f>
        <v>100</v>
      </c>
      <c r="G27" s="590"/>
      <c r="H27" s="394">
        <f>SUMIF(95:95,G27,96:96)-SUMIF(95:95,C27,96:96)+100</f>
        <v>100</v>
      </c>
      <c r="I27" s="590"/>
      <c r="J27" s="394">
        <f>SUMIF(95:95,I27,96:96)-SUMIF(95:95,C27,96:96)+100</f>
        <v>100</v>
      </c>
      <c r="K27" s="629"/>
      <c r="L27" s="2901"/>
      <c r="M27" s="2895"/>
      <c r="N27" s="2895"/>
      <c r="O27" s="2953"/>
      <c r="P27" s="3488"/>
      <c r="Q27" s="1487" t="str">
        <f t="shared" si="8"/>
        <v>临街状况</v>
      </c>
      <c r="R27" s="714" t="s">
        <v>17</v>
      </c>
      <c r="S27" s="715">
        <f t="shared" ref="S27:S40" si="10">F27</f>
        <v>100</v>
      </c>
      <c r="T27" s="714" t="s">
        <v>17</v>
      </c>
      <c r="U27" s="715">
        <f t="shared" ref="U27:U40" si="11">H27</f>
        <v>100</v>
      </c>
      <c r="V27" s="714" t="s">
        <v>17</v>
      </c>
      <c r="W27" s="715">
        <f t="shared" ref="W27:W40" si="12">J27</f>
        <v>100</v>
      </c>
      <c r="X27" s="1490"/>
      <c r="Y27" s="3488"/>
      <c r="Z27" s="1491" t="str">
        <f t="shared" ref="Z27:Z40" si="13">Q27</f>
        <v>临街状况</v>
      </c>
      <c r="AA27" s="1488">
        <f t="shared" si="3"/>
        <v>1</v>
      </c>
      <c r="AB27" s="1488">
        <f t="shared" si="4"/>
        <v>1</v>
      </c>
      <c r="AC27" s="1488">
        <f t="shared" si="5"/>
        <v>1</v>
      </c>
    </row>
    <row r="28" spans="1:29" ht="27">
      <c r="A28" s="387"/>
      <c r="B28" s="589" t="s">
        <v>2270</v>
      </c>
      <c r="C28" s="2128">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01"/>
      <c r="M28" s="2895"/>
      <c r="N28" s="2895"/>
      <c r="O28" s="2953"/>
      <c r="P28" s="3488"/>
      <c r="Q28" s="1487" t="str">
        <f t="shared" si="8"/>
        <v>毗邻道路的类型与等级</v>
      </c>
      <c r="R28" s="714" t="s">
        <v>17</v>
      </c>
      <c r="S28" s="715">
        <f t="shared" si="10"/>
        <v>100</v>
      </c>
      <c r="T28" s="714" t="s">
        <v>17</v>
      </c>
      <c r="U28" s="715">
        <f t="shared" si="11"/>
        <v>100</v>
      </c>
      <c r="V28" s="714" t="s">
        <v>17</v>
      </c>
      <c r="W28" s="715">
        <f t="shared" si="12"/>
        <v>100</v>
      </c>
      <c r="X28" s="1490"/>
      <c r="Y28" s="3488"/>
      <c r="Z28" s="1491" t="str">
        <f t="shared" si="13"/>
        <v>毗邻道路的类型与等级</v>
      </c>
      <c r="AA28" s="1488">
        <f t="shared" si="3"/>
        <v>1</v>
      </c>
      <c r="AB28" s="1488">
        <f t="shared" si="4"/>
        <v>1</v>
      </c>
      <c r="AC28" s="1488">
        <f t="shared" si="5"/>
        <v>1</v>
      </c>
    </row>
    <row r="29" spans="1:29" ht="15">
      <c r="A29" s="387"/>
      <c r="B29" s="588"/>
      <c r="C29" s="406"/>
      <c r="D29" s="407"/>
      <c r="E29" s="2041"/>
      <c r="F29" s="407"/>
      <c r="G29" s="2041"/>
      <c r="H29" s="407"/>
      <c r="I29" s="2041"/>
      <c r="J29" s="407"/>
      <c r="K29" s="570"/>
      <c r="L29" s="2901"/>
      <c r="M29" s="2895"/>
      <c r="N29" s="2895"/>
      <c r="O29" s="2953"/>
      <c r="P29" s="3488"/>
      <c r="Q29" s="1487"/>
      <c r="R29" s="714"/>
      <c r="S29" s="715"/>
      <c r="T29" s="714"/>
      <c r="U29" s="715"/>
      <c r="V29" s="714"/>
      <c r="W29" s="715"/>
      <c r="X29" s="1490"/>
      <c r="Y29" s="3488"/>
      <c r="Z29" s="1491"/>
      <c r="AA29" s="1488">
        <v>1</v>
      </c>
      <c r="AB29" s="1488">
        <v>1</v>
      </c>
      <c r="AC29" s="1488">
        <v>1</v>
      </c>
    </row>
    <row r="30" spans="1:29" ht="15">
      <c r="A30" s="387"/>
      <c r="B30" s="610" t="s">
        <v>2329</v>
      </c>
      <c r="C30" s="1251">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01"/>
      <c r="M30" s="2895"/>
      <c r="N30" s="2895"/>
      <c r="O30" s="2953"/>
      <c r="P30" s="3488"/>
      <c r="Q30" s="1487" t="str">
        <f t="shared" si="8"/>
        <v>土地级别</v>
      </c>
      <c r="R30" s="714" t="s">
        <v>17</v>
      </c>
      <c r="S30" s="715">
        <f t="shared" si="10"/>
        <v>100</v>
      </c>
      <c r="T30" s="714" t="s">
        <v>17</v>
      </c>
      <c r="U30" s="715">
        <f t="shared" si="11"/>
        <v>100</v>
      </c>
      <c r="V30" s="714" t="s">
        <v>17</v>
      </c>
      <c r="W30" s="715">
        <f t="shared" si="12"/>
        <v>100</v>
      </c>
      <c r="X30" s="1490"/>
      <c r="Y30" s="3488"/>
      <c r="Z30" s="1491" t="str">
        <f t="shared" si="13"/>
        <v>土地级别</v>
      </c>
      <c r="AA30" s="1488">
        <f t="shared" si="3"/>
        <v>1</v>
      </c>
      <c r="AB30" s="1488">
        <f t="shared" si="4"/>
        <v>1</v>
      </c>
      <c r="AC30" s="1488">
        <f t="shared" si="5"/>
        <v>1</v>
      </c>
    </row>
    <row r="31" spans="1:29" ht="15">
      <c r="A31" s="364"/>
      <c r="B31" s="2103">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01"/>
      <c r="M31" s="2895"/>
      <c r="N31" s="2895"/>
      <c r="O31" s="2953"/>
      <c r="P31" s="3488"/>
      <c r="Q31" s="1487">
        <f t="shared" si="8"/>
        <v>111</v>
      </c>
      <c r="R31" s="714" t="s">
        <v>17</v>
      </c>
      <c r="S31" s="715">
        <f t="shared" si="10"/>
        <v>100</v>
      </c>
      <c r="T31" s="714" t="s">
        <v>17</v>
      </c>
      <c r="U31" s="715">
        <f t="shared" si="11"/>
        <v>100</v>
      </c>
      <c r="V31" s="714" t="s">
        <v>17</v>
      </c>
      <c r="W31" s="715">
        <f t="shared" si="12"/>
        <v>100</v>
      </c>
      <c r="X31" s="1490"/>
      <c r="Y31" s="3488"/>
      <c r="Z31" s="1491">
        <f t="shared" si="13"/>
        <v>111</v>
      </c>
      <c r="AA31" s="1488">
        <f t="shared" si="3"/>
        <v>1</v>
      </c>
      <c r="AB31" s="1488">
        <f t="shared" si="4"/>
        <v>1</v>
      </c>
      <c r="AC31" s="1488">
        <f t="shared" si="5"/>
        <v>1</v>
      </c>
    </row>
    <row r="32" spans="1:29" ht="15">
      <c r="A32" s="631"/>
      <c r="B32" s="2129">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01"/>
      <c r="M32" s="2895"/>
      <c r="N32" s="2895"/>
      <c r="O32" s="2953"/>
      <c r="P32" s="3511" t="s">
        <v>2144</v>
      </c>
      <c r="Q32" s="1487">
        <f t="shared" si="8"/>
        <v>111</v>
      </c>
      <c r="R32" s="714" t="s">
        <v>17</v>
      </c>
      <c r="S32" s="715">
        <f t="shared" si="10"/>
        <v>100</v>
      </c>
      <c r="T32" s="714" t="s">
        <v>17</v>
      </c>
      <c r="U32" s="715">
        <f t="shared" si="11"/>
        <v>100</v>
      </c>
      <c r="V32" s="714" t="s">
        <v>17</v>
      </c>
      <c r="W32" s="715">
        <f t="shared" si="12"/>
        <v>100</v>
      </c>
      <c r="X32" s="1490"/>
      <c r="Y32" s="3492" t="s">
        <v>2144</v>
      </c>
      <c r="Z32" s="1491">
        <f t="shared" si="13"/>
        <v>111</v>
      </c>
      <c r="AA32" s="1488">
        <f t="shared" si="3"/>
        <v>1</v>
      </c>
      <c r="AB32" s="1488">
        <f t="shared" si="4"/>
        <v>1</v>
      </c>
      <c r="AC32" s="1488">
        <f t="shared" si="5"/>
        <v>1</v>
      </c>
    </row>
    <row r="33" spans="1:31" s="430" customFormat="1" ht="15.75" thickBot="1">
      <c r="A33" s="632"/>
      <c r="B33" s="2130">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00"/>
      <c r="M33" s="2902"/>
      <c r="N33" s="2902"/>
      <c r="O33" s="2954"/>
      <c r="P33" s="3492"/>
      <c r="Q33" s="1487">
        <f t="shared" si="8"/>
        <v>111</v>
      </c>
      <c r="R33" s="717" t="s">
        <v>17</v>
      </c>
      <c r="S33" s="718">
        <f t="shared" si="10"/>
        <v>100</v>
      </c>
      <c r="T33" s="717" t="s">
        <v>17</v>
      </c>
      <c r="U33" s="718">
        <f t="shared" si="11"/>
        <v>100</v>
      </c>
      <c r="V33" s="717" t="s">
        <v>17</v>
      </c>
      <c r="W33" s="718">
        <f t="shared" si="12"/>
        <v>100</v>
      </c>
      <c r="X33" s="719"/>
      <c r="Y33" s="3492"/>
      <c r="Z33" s="720">
        <f t="shared" si="13"/>
        <v>111</v>
      </c>
      <c r="AA33" s="1488">
        <f t="shared" si="3"/>
        <v>1</v>
      </c>
      <c r="AB33" s="1488">
        <f t="shared" si="4"/>
        <v>1</v>
      </c>
      <c r="AC33" s="1488">
        <f t="shared" si="5"/>
        <v>1</v>
      </c>
    </row>
    <row r="34" spans="1:31" ht="15">
      <c r="A34" s="399" t="s">
        <v>2142</v>
      </c>
      <c r="B34" s="415" t="s">
        <v>2330</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01"/>
      <c r="M34" s="2895"/>
      <c r="N34" s="2895"/>
      <c r="O34" s="2953"/>
      <c r="P34" s="3492"/>
      <c r="Q34" s="1487" t="str">
        <f>B34</f>
        <v>宗地面积</v>
      </c>
      <c r="R34" s="714" t="s">
        <v>17</v>
      </c>
      <c r="S34" s="715" t="e">
        <f t="shared" si="10"/>
        <v>#N/A</v>
      </c>
      <c r="T34" s="714" t="s">
        <v>17</v>
      </c>
      <c r="U34" s="715" t="e">
        <f t="shared" si="11"/>
        <v>#N/A</v>
      </c>
      <c r="V34" s="714" t="s">
        <v>17</v>
      </c>
      <c r="W34" s="715" t="e">
        <f t="shared" si="12"/>
        <v>#N/A</v>
      </c>
      <c r="X34" s="1490"/>
      <c r="Y34" s="3492"/>
      <c r="Z34" s="1491" t="str">
        <f t="shared" si="13"/>
        <v>宗地面积</v>
      </c>
      <c r="AA34" s="1488" t="e">
        <f t="shared" si="3"/>
        <v>#N/A</v>
      </c>
      <c r="AB34" s="1488" t="e">
        <f t="shared" si="4"/>
        <v>#N/A</v>
      </c>
      <c r="AC34" s="1488" t="e">
        <f t="shared" si="5"/>
        <v>#N/A</v>
      </c>
    </row>
    <row r="35" spans="1:31" ht="15">
      <c r="A35" s="431"/>
      <c r="B35" s="381" t="s">
        <v>2331</v>
      </c>
      <c r="C35" s="2043"/>
      <c r="D35" s="394">
        <v>100</v>
      </c>
      <c r="E35" s="2043"/>
      <c r="F35" s="394">
        <f>SUMIF(110:110,E35,111:111)-SUMIF(110:110,C35,111:111)+100</f>
        <v>100</v>
      </c>
      <c r="G35" s="2043"/>
      <c r="H35" s="394">
        <f>SUMIF(110:110,G35,111:111)-SUMIF(110:110,C35,111:111)+100</f>
        <v>100</v>
      </c>
      <c r="I35" s="2043"/>
      <c r="J35" s="394">
        <f>SUMIF(110:110,I35,111:111)-SUMIF(110:110,C35,111:111)+100</f>
        <v>100</v>
      </c>
      <c r="K35" s="569"/>
      <c r="L35" s="2901"/>
      <c r="M35" s="2895"/>
      <c r="N35" s="2895"/>
      <c r="O35" s="2953"/>
      <c r="P35" s="3492"/>
      <c r="Q35" s="1487" t="str">
        <f t="shared" ref="Q35:Q40" si="14">B35</f>
        <v>宗地形状</v>
      </c>
      <c r="R35" s="714" t="s">
        <v>17</v>
      </c>
      <c r="S35" s="715">
        <f t="shared" si="10"/>
        <v>100</v>
      </c>
      <c r="T35" s="714" t="s">
        <v>17</v>
      </c>
      <c r="U35" s="715">
        <f t="shared" si="11"/>
        <v>100</v>
      </c>
      <c r="V35" s="714" t="s">
        <v>17</v>
      </c>
      <c r="W35" s="715">
        <f t="shared" si="12"/>
        <v>100</v>
      </c>
      <c r="X35" s="1490"/>
      <c r="Y35" s="3492"/>
      <c r="Z35" s="1491" t="str">
        <f t="shared" si="13"/>
        <v>宗地形状</v>
      </c>
      <c r="AA35" s="1488">
        <f t="shared" si="3"/>
        <v>1</v>
      </c>
      <c r="AB35" s="1488">
        <f t="shared" si="4"/>
        <v>1</v>
      </c>
      <c r="AC35" s="1488">
        <f t="shared" si="5"/>
        <v>1</v>
      </c>
    </row>
    <row r="36" spans="1:31" s="113" customFormat="1" ht="15">
      <c r="A36" s="432"/>
      <c r="B36" s="381" t="s">
        <v>2333</v>
      </c>
      <c r="C36" s="2117"/>
      <c r="D36" s="132">
        <v>100</v>
      </c>
      <c r="E36" s="2117"/>
      <c r="F36" s="394">
        <f>SUMIF(112:112,E36,113:113)-SUMIF(112:112,C36,113:113)+100</f>
        <v>100</v>
      </c>
      <c r="G36" s="2117"/>
      <c r="H36" s="394">
        <f>SUMIF(112:112,G36,113:113)-SUMIF(112:112,C36,113:113)+100</f>
        <v>100</v>
      </c>
      <c r="I36" s="2117"/>
      <c r="J36" s="394">
        <f>SUMIF(112:112,I36,113:113)-SUMIF(112:112,C36,113:113)+100</f>
        <v>100</v>
      </c>
      <c r="K36" s="569"/>
      <c r="L36" s="2896"/>
      <c r="M36" s="2897"/>
      <c r="N36" s="2897"/>
      <c r="O36" s="2951"/>
      <c r="P36" s="3492"/>
      <c r="Q36" s="1487" t="str">
        <f t="shared" si="14"/>
        <v>宗地开发程度</v>
      </c>
      <c r="R36" s="710" t="s">
        <v>17</v>
      </c>
      <c r="S36" s="711">
        <f t="shared" si="10"/>
        <v>100</v>
      </c>
      <c r="T36" s="710" t="s">
        <v>17</v>
      </c>
      <c r="U36" s="711">
        <f t="shared" si="11"/>
        <v>100</v>
      </c>
      <c r="V36" s="710" t="s">
        <v>17</v>
      </c>
      <c r="W36" s="711">
        <f t="shared" si="12"/>
        <v>100</v>
      </c>
      <c r="X36" s="712"/>
      <c r="Y36" s="3492"/>
      <c r="Z36" s="55" t="str">
        <f t="shared" si="13"/>
        <v>宗地开发程度</v>
      </c>
      <c r="AA36" s="713">
        <f t="shared" si="3"/>
        <v>1</v>
      </c>
      <c r="AB36" s="713">
        <f t="shared" si="4"/>
        <v>1</v>
      </c>
      <c r="AC36" s="713">
        <f t="shared" si="5"/>
        <v>1</v>
      </c>
    </row>
    <row r="37" spans="1:31" ht="15">
      <c r="A37" s="431"/>
      <c r="B37" s="381" t="s">
        <v>2334</v>
      </c>
      <c r="C37" s="2043"/>
      <c r="D37" s="394">
        <v>100</v>
      </c>
      <c r="E37" s="2043"/>
      <c r="F37" s="394">
        <f>SUMIF(114:114,E37,115:115)-SUMIF(114:114,C37,115:115)+100</f>
        <v>100</v>
      </c>
      <c r="G37" s="2043"/>
      <c r="H37" s="394">
        <f>SUMIF(114:114,G37,115:115)-SUMIF(114:114,C37,115:115)+100</f>
        <v>100</v>
      </c>
      <c r="I37" s="2043"/>
      <c r="J37" s="394">
        <f>SUMIF(114:114,I37,115:115)-SUMIF(114:114,C37,115:115)+100</f>
        <v>100</v>
      </c>
      <c r="K37" s="569"/>
      <c r="L37" s="2901"/>
      <c r="M37" s="2895"/>
      <c r="N37" s="2895"/>
      <c r="O37" s="2953"/>
      <c r="P37" s="3492" t="s">
        <v>2144</v>
      </c>
      <c r="Q37" s="1487" t="str">
        <f t="shared" si="14"/>
        <v>工程地质条件</v>
      </c>
      <c r="R37" s="714" t="s">
        <v>17</v>
      </c>
      <c r="S37" s="715">
        <f t="shared" si="10"/>
        <v>100</v>
      </c>
      <c r="T37" s="714" t="s">
        <v>17</v>
      </c>
      <c r="U37" s="715">
        <f t="shared" si="11"/>
        <v>100</v>
      </c>
      <c r="V37" s="714" t="s">
        <v>17</v>
      </c>
      <c r="W37" s="715">
        <f t="shared" si="12"/>
        <v>100</v>
      </c>
      <c r="X37" s="1490"/>
      <c r="Y37" s="3492" t="s">
        <v>2144</v>
      </c>
      <c r="Z37" s="1491" t="str">
        <f t="shared" si="13"/>
        <v>工程地质条件</v>
      </c>
      <c r="AA37" s="1488">
        <f t="shared" si="3"/>
        <v>1</v>
      </c>
      <c r="AB37" s="1488">
        <f t="shared" si="4"/>
        <v>1</v>
      </c>
      <c r="AC37" s="1488">
        <f t="shared" si="5"/>
        <v>1</v>
      </c>
    </row>
    <row r="38" spans="1:31" ht="15">
      <c r="A38" s="431"/>
      <c r="B38" s="1249">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01"/>
      <c r="M38" s="2895"/>
      <c r="N38" s="2895"/>
      <c r="O38" s="2953"/>
      <c r="P38" s="3492"/>
      <c r="Q38" s="1487">
        <f t="shared" si="14"/>
        <v>111</v>
      </c>
      <c r="R38" s="714" t="s">
        <v>17</v>
      </c>
      <c r="S38" s="715">
        <f t="shared" si="10"/>
        <v>100</v>
      </c>
      <c r="T38" s="714" t="s">
        <v>17</v>
      </c>
      <c r="U38" s="715">
        <f t="shared" si="11"/>
        <v>100</v>
      </c>
      <c r="V38" s="714" t="s">
        <v>17</v>
      </c>
      <c r="W38" s="715">
        <f t="shared" si="12"/>
        <v>100</v>
      </c>
      <c r="X38" s="1490"/>
      <c r="Y38" s="3492"/>
      <c r="Z38" s="1491">
        <f t="shared" si="13"/>
        <v>111</v>
      </c>
      <c r="AA38" s="1488">
        <f t="shared" si="3"/>
        <v>1</v>
      </c>
      <c r="AB38" s="1488">
        <f t="shared" si="4"/>
        <v>1</v>
      </c>
      <c r="AC38" s="1488">
        <f t="shared" si="5"/>
        <v>1</v>
      </c>
    </row>
    <row r="39" spans="1:31" ht="15">
      <c r="A39" s="431"/>
      <c r="B39" s="1249">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01"/>
      <c r="M39" s="2895"/>
      <c r="N39" s="2895"/>
      <c r="O39" s="2953"/>
      <c r="P39" s="3492"/>
      <c r="Q39" s="1487">
        <f t="shared" si="14"/>
        <v>111</v>
      </c>
      <c r="R39" s="714" t="s">
        <v>17</v>
      </c>
      <c r="S39" s="715">
        <f t="shared" si="10"/>
        <v>100</v>
      </c>
      <c r="T39" s="714" t="s">
        <v>17</v>
      </c>
      <c r="U39" s="715">
        <f t="shared" si="11"/>
        <v>100</v>
      </c>
      <c r="V39" s="714" t="s">
        <v>17</v>
      </c>
      <c r="W39" s="715">
        <f t="shared" si="12"/>
        <v>100</v>
      </c>
      <c r="X39" s="1490"/>
      <c r="Y39" s="3492"/>
      <c r="Z39" s="1491">
        <f t="shared" si="13"/>
        <v>111</v>
      </c>
      <c r="AA39" s="1488">
        <f t="shared" si="3"/>
        <v>1</v>
      </c>
      <c r="AB39" s="1488">
        <f t="shared" si="4"/>
        <v>1</v>
      </c>
      <c r="AC39" s="1488">
        <f t="shared" si="5"/>
        <v>1</v>
      </c>
    </row>
    <row r="40" spans="1:31" s="430" customFormat="1" ht="15.75" thickBot="1">
      <c r="A40" s="427"/>
      <c r="B40" s="1249">
        <v>111</v>
      </c>
      <c r="C40" s="2118"/>
      <c r="D40" s="133">
        <v>100</v>
      </c>
      <c r="E40" s="630"/>
      <c r="F40" s="397">
        <f>SUMIF(120:120,E40,121:121)-SUMIF(120:120,C40,121:121)+100</f>
        <v>100</v>
      </c>
      <c r="G40" s="630"/>
      <c r="H40" s="397">
        <f>SUMIF(120:120,G40,121:121)-SUMIF(120:120,C40,121:121)+100</f>
        <v>100</v>
      </c>
      <c r="I40" s="506"/>
      <c r="J40" s="397">
        <f>SUMIF(120:120,I40,121:121)-SUMIF(120:120,C40,121:121)+100</f>
        <v>100</v>
      </c>
      <c r="K40" s="637"/>
      <c r="L40" s="2900"/>
      <c r="M40" s="2902"/>
      <c r="N40" s="2902"/>
      <c r="O40" s="2954"/>
      <c r="P40" s="3492"/>
      <c r="Q40" s="1487">
        <f t="shared" si="14"/>
        <v>111</v>
      </c>
      <c r="R40" s="717" t="s">
        <v>17</v>
      </c>
      <c r="S40" s="718">
        <f t="shared" si="10"/>
        <v>100</v>
      </c>
      <c r="T40" s="717" t="s">
        <v>17</v>
      </c>
      <c r="U40" s="718">
        <f t="shared" si="11"/>
        <v>100</v>
      </c>
      <c r="V40" s="717" t="s">
        <v>17</v>
      </c>
      <c r="W40" s="718">
        <f t="shared" si="12"/>
        <v>100</v>
      </c>
      <c r="X40" s="719"/>
      <c r="Y40" s="3492"/>
      <c r="Z40" s="720">
        <f t="shared" si="13"/>
        <v>111</v>
      </c>
      <c r="AA40" s="1488">
        <f t="shared" si="3"/>
        <v>1</v>
      </c>
      <c r="AB40" s="1488">
        <f t="shared" si="4"/>
        <v>1</v>
      </c>
      <c r="AC40" s="1488">
        <f t="shared" si="5"/>
        <v>1</v>
      </c>
    </row>
    <row r="41" spans="1:31" ht="15">
      <c r="A41" s="438" t="s">
        <v>2299</v>
      </c>
      <c r="B41" s="2119" t="s">
        <v>2378</v>
      </c>
      <c r="C41" s="638" t="s">
        <v>1</v>
      </c>
      <c r="D41" s="440"/>
      <c r="E41" s="441"/>
      <c r="F41" s="442"/>
      <c r="G41" s="443"/>
      <c r="H41" s="444"/>
      <c r="I41" s="441"/>
      <c r="J41" s="444"/>
      <c r="K41" s="723"/>
      <c r="L41" s="2903"/>
      <c r="M41" s="2895"/>
      <c r="N41" s="2895"/>
      <c r="O41" s="2904"/>
      <c r="P41" s="3485" t="str">
        <f>A41</f>
        <v>成交单价</v>
      </c>
      <c r="Q41" s="3485"/>
      <c r="R41" s="3480">
        <f>E41</f>
        <v>0</v>
      </c>
      <c r="S41" s="3480"/>
      <c r="T41" s="3480">
        <f>G41</f>
        <v>0</v>
      </c>
      <c r="U41" s="3480"/>
      <c r="V41" s="3480">
        <f>I41</f>
        <v>0</v>
      </c>
      <c r="W41" s="3480"/>
      <c r="X41" s="699"/>
      <c r="Y41" s="721"/>
      <c r="Z41" s="699"/>
      <c r="AA41" s="699"/>
      <c r="AB41" s="699"/>
      <c r="AC41" s="699"/>
    </row>
    <row r="42" spans="1:31" ht="15.75" thickBot="1">
      <c r="A42" s="445" t="s">
        <v>2248</v>
      </c>
      <c r="B42" s="639"/>
      <c r="C42" s="448" t="e">
        <f>R43</f>
        <v>#DIV/0!</v>
      </c>
      <c r="D42" s="2489" t="s">
        <v>2638</v>
      </c>
      <c r="E42" s="448" t="e">
        <f>R42</f>
        <v>#DIV/0!</v>
      </c>
      <c r="F42" s="2490"/>
      <c r="G42" s="447" t="e">
        <f>T42</f>
        <v>#DIV/0!</v>
      </c>
      <c r="H42" s="2490"/>
      <c r="I42" s="448" t="e">
        <f>V42</f>
        <v>#DIV/0!</v>
      </c>
      <c r="J42" s="2490"/>
      <c r="K42" s="2492">
        <f>F42+H42+J42</f>
        <v>0</v>
      </c>
      <c r="L42" s="2903"/>
      <c r="M42" s="2895"/>
      <c r="N42" s="2895"/>
      <c r="O42" s="2904"/>
      <c r="P42" s="3485" t="str">
        <f>A42</f>
        <v>比较价值（元/平方米）</v>
      </c>
      <c r="Q42" s="3485"/>
      <c r="R42" s="3513" t="e">
        <f>ROUND(PRODUCT(R41,AA7:AA40),0)</f>
        <v>#DIV/0!</v>
      </c>
      <c r="S42" s="3513"/>
      <c r="T42" s="3513" t="e">
        <f>ROUND(PRODUCT(T41,AB7:AB40),0)</f>
        <v>#DIV/0!</v>
      </c>
      <c r="U42" s="3513"/>
      <c r="V42" s="3513" t="e">
        <f>ROUND(PRODUCT(V41,AC7:AC40),0)</f>
        <v>#DIV/0!</v>
      </c>
      <c r="W42" s="3513"/>
      <c r="X42" s="699"/>
      <c r="Y42" s="699"/>
      <c r="Z42" s="699"/>
      <c r="AA42" s="699"/>
      <c r="AB42" s="699"/>
      <c r="AC42" s="699"/>
    </row>
    <row r="43" spans="1:31" ht="15.75" thickBot="1">
      <c r="A43" s="449" t="s">
        <v>2249</v>
      </c>
      <c r="B43" s="450"/>
      <c r="C43" s="451" t="e">
        <f>R43</f>
        <v>#DIV/0!</v>
      </c>
      <c r="D43" s="451"/>
      <c r="E43" s="451"/>
      <c r="F43" s="451"/>
      <c r="G43" s="451"/>
      <c r="H43" s="451"/>
      <c r="I43" s="451"/>
      <c r="J43" s="451"/>
      <c r="K43" s="724"/>
      <c r="L43" s="2903"/>
      <c r="M43" s="2895"/>
      <c r="N43" s="2895"/>
      <c r="O43" s="2904"/>
      <c r="P43" s="3482" t="str">
        <f>A43</f>
        <v>估价对象XX用房的比较价值（楼面单价，元/平方米）</v>
      </c>
      <c r="Q43" s="3483"/>
      <c r="R43" s="3514" t="e">
        <f>ROUND(IF(D42="简单平均",AVERAGE(R42:W42),R42*F42+T42*H42+V42*J42),0)</f>
        <v>#DIV/0!</v>
      </c>
      <c r="S43" s="3514"/>
      <c r="T43" s="3514"/>
      <c r="U43" s="3514"/>
      <c r="V43" s="3514"/>
      <c r="W43" s="3514"/>
      <c r="X43" s="699"/>
      <c r="Y43" s="699"/>
      <c r="Z43" s="699"/>
      <c r="AA43" s="699"/>
      <c r="AB43" s="699"/>
      <c r="AC43" s="699"/>
    </row>
    <row r="44" spans="1:31">
      <c r="A44" s="2904"/>
      <c r="B44" s="2904"/>
      <c r="C44" s="2904"/>
      <c r="D44" s="2904"/>
      <c r="E44" s="2904"/>
      <c r="F44" s="2904"/>
      <c r="G44" s="2908"/>
      <c r="H44" s="2904"/>
      <c r="I44" s="2904"/>
      <c r="J44" s="2904"/>
      <c r="K44" s="2909"/>
      <c r="L44" s="2905"/>
      <c r="M44" s="2895"/>
      <c r="N44" s="2895"/>
      <c r="O44" s="2904"/>
      <c r="P44" s="2904"/>
      <c r="Q44" s="2904"/>
      <c r="R44" s="2904"/>
      <c r="S44" s="2904"/>
      <c r="T44" s="2904"/>
      <c r="U44" s="2904"/>
      <c r="V44" s="2904"/>
      <c r="W44" s="2904"/>
      <c r="X44" s="2904"/>
      <c r="Y44" s="2904"/>
      <c r="Z44" s="2904"/>
      <c r="AA44" s="2904"/>
      <c r="AB44" s="2904"/>
      <c r="AC44" s="2904"/>
      <c r="AD44" s="2904"/>
      <c r="AE44" s="2904"/>
    </row>
    <row r="45" spans="1:31">
      <c r="A45" s="2904"/>
      <c r="B45" s="2904"/>
      <c r="C45" s="2904"/>
      <c r="D45" s="2904"/>
      <c r="E45" s="2904"/>
      <c r="F45" s="2904"/>
      <c r="G45" s="2904"/>
      <c r="H45" s="2904"/>
      <c r="I45" s="2904"/>
      <c r="J45" s="2904"/>
      <c r="K45" s="2909"/>
      <c r="L45" s="2905"/>
      <c r="M45" s="2895"/>
      <c r="N45" s="2895"/>
      <c r="O45" s="2904"/>
      <c r="P45" s="2904"/>
      <c r="Q45" s="2904"/>
      <c r="R45" s="2904"/>
      <c r="S45" s="2904"/>
      <c r="T45" s="2904"/>
      <c r="U45" s="2904"/>
      <c r="V45" s="2904"/>
      <c r="W45" s="2904"/>
      <c r="X45" s="2904"/>
      <c r="Y45" s="2904"/>
      <c r="Z45" s="2904"/>
      <c r="AA45" s="2904"/>
      <c r="AB45" s="2904"/>
      <c r="AC45" s="2904"/>
      <c r="AD45" s="2904"/>
      <c r="AE45" s="2904"/>
    </row>
    <row r="46" spans="1:31" ht="13.5" customHeight="1">
      <c r="A46" s="2904"/>
      <c r="B46" s="2904"/>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9"/>
      <c r="L46" s="2905"/>
      <c r="M46" s="2895"/>
      <c r="N46" s="2895"/>
      <c r="O46" s="2904"/>
      <c r="P46" s="2904"/>
      <c r="Q46" s="2904"/>
      <c r="R46" s="2904"/>
      <c r="S46" s="2904"/>
      <c r="T46" s="2904"/>
      <c r="U46" s="2904"/>
      <c r="V46" s="2904"/>
      <c r="W46" s="2904"/>
      <c r="X46" s="2904"/>
      <c r="Y46" s="2904"/>
      <c r="Z46" s="2904"/>
      <c r="AA46" s="2904"/>
      <c r="AB46" s="2904"/>
      <c r="AC46" s="2904"/>
      <c r="AD46" s="2904"/>
      <c r="AE46" s="2904"/>
    </row>
    <row r="47" spans="1:31" ht="13.5" customHeight="1">
      <c r="A47" s="2904"/>
      <c r="B47" s="2904"/>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9"/>
      <c r="L47" s="2905"/>
      <c r="M47" s="2904"/>
      <c r="N47" s="2904"/>
      <c r="O47" s="2904"/>
      <c r="P47" s="2904"/>
      <c r="Q47" s="2904"/>
      <c r="R47" s="2904"/>
      <c r="S47" s="2904"/>
      <c r="T47" s="2904"/>
      <c r="U47" s="2904"/>
      <c r="V47" s="2904"/>
      <c r="W47" s="2904"/>
      <c r="X47" s="2904"/>
      <c r="Y47" s="2904"/>
      <c r="Z47" s="2904"/>
      <c r="AA47" s="2904"/>
      <c r="AB47" s="2904"/>
      <c r="AC47" s="2904"/>
      <c r="AD47" s="2904"/>
      <c r="AE47" s="2904"/>
    </row>
    <row r="48" spans="1:31" s="459" customFormat="1" ht="13.5" customHeight="1">
      <c r="A48" s="2907"/>
      <c r="B48" s="2907"/>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12"/>
      <c r="L48" s="2906"/>
      <c r="M48" s="2907"/>
      <c r="N48" s="2907"/>
      <c r="O48" s="2907"/>
      <c r="P48" s="2907"/>
      <c r="Q48" s="2907"/>
      <c r="R48" s="2907"/>
      <c r="S48" s="2907"/>
      <c r="T48" s="2907"/>
      <c r="U48" s="2907"/>
      <c r="V48" s="2907"/>
      <c r="W48" s="2907"/>
      <c r="X48" s="2907"/>
      <c r="Y48" s="2907"/>
      <c r="Z48" s="2907"/>
      <c r="AA48" s="2907"/>
      <c r="AB48" s="2907"/>
      <c r="AC48" s="2907"/>
      <c r="AD48" s="2907"/>
      <c r="AE48" s="2907"/>
    </row>
    <row r="49" spans="1:31" s="459" customFormat="1" ht="15" thickBot="1">
      <c r="A49" s="2907"/>
      <c r="B49" s="2910"/>
      <c r="C49" s="702"/>
      <c r="D49" s="700"/>
      <c r="E49" s="700"/>
      <c r="F49" s="700"/>
      <c r="G49" s="700"/>
      <c r="H49" s="700"/>
      <c r="I49" s="700"/>
      <c r="J49" s="700"/>
      <c r="K49" s="2912"/>
      <c r="L49" s="2906"/>
      <c r="M49" s="2907"/>
      <c r="N49" s="2907"/>
      <c r="O49" s="2907"/>
      <c r="P49" s="2907"/>
      <c r="Q49" s="2907"/>
      <c r="R49" s="2907"/>
      <c r="S49" s="2907"/>
      <c r="T49" s="2907"/>
      <c r="U49" s="2907"/>
      <c r="V49" s="2907"/>
      <c r="W49" s="2907"/>
      <c r="X49" s="2907"/>
      <c r="Y49" s="2907"/>
      <c r="Z49" s="2907"/>
      <c r="AA49" s="2907"/>
      <c r="AB49" s="2907"/>
      <c r="AC49" s="2907"/>
      <c r="AD49" s="2907"/>
      <c r="AE49" s="2907"/>
    </row>
    <row r="50" spans="1:31" ht="27">
      <c r="A50" s="640" t="s">
        <v>2337</v>
      </c>
      <c r="B50" s="641" t="s">
        <v>2338</v>
      </c>
      <c r="C50" s="2120" t="s">
        <v>2339</v>
      </c>
      <c r="D50" s="2121" t="s">
        <v>2340</v>
      </c>
      <c r="E50" s="642" t="s">
        <v>2341</v>
      </c>
      <c r="F50" s="643" t="s">
        <v>2342</v>
      </c>
      <c r="G50" s="3468" t="s">
        <v>2343</v>
      </c>
      <c r="H50" s="3515"/>
      <c r="I50" s="1491" t="s">
        <v>2379</v>
      </c>
      <c r="J50" s="1491">
        <f>项目基本情况!F35</f>
        <v>0</v>
      </c>
      <c r="K50" s="2123" t="s">
        <v>2345</v>
      </c>
      <c r="L50" s="2905"/>
      <c r="M50" s="2904"/>
      <c r="N50" s="2904"/>
      <c r="O50" s="2904"/>
      <c r="P50" s="2904"/>
      <c r="Q50" s="2904"/>
      <c r="R50" s="2904"/>
      <c r="S50" s="2904"/>
      <c r="T50" s="2904"/>
      <c r="U50" s="2904"/>
      <c r="V50" s="2904"/>
      <c r="W50" s="2904"/>
      <c r="X50" s="2904"/>
      <c r="Y50" s="2904"/>
      <c r="Z50" s="2904"/>
      <c r="AA50" s="2904"/>
      <c r="AB50" s="2904"/>
      <c r="AC50" s="2904"/>
      <c r="AD50" s="2904"/>
      <c r="AE50" s="2904"/>
    </row>
    <row r="51" spans="1:31" s="648" customFormat="1">
      <c r="A51" s="644" t="s">
        <v>2346</v>
      </c>
      <c r="B51" s="645" t="e">
        <f>C43</f>
        <v>#DIV/0!</v>
      </c>
      <c r="C51" s="646">
        <v>1</v>
      </c>
      <c r="D51" s="1056">
        <v>1</v>
      </c>
      <c r="E51" s="646">
        <f>'数据-汇总表'!E8+'数据-汇总表'!E9</f>
        <v>5413.53</v>
      </c>
      <c r="F51" s="647" t="e">
        <f t="shared" ref="F51:F60" si="15">ROUND(B51*E51/10000,0)</f>
        <v>#DIV/0!</v>
      </c>
      <c r="G51" s="3467"/>
      <c r="H51" s="3485"/>
      <c r="I51" s="860">
        <v>1</v>
      </c>
      <c r="J51" s="860">
        <v>1</v>
      </c>
      <c r="K51" s="2907"/>
      <c r="L51" s="2961"/>
      <c r="M51" s="2961"/>
      <c r="N51" s="2961"/>
      <c r="O51" s="2961"/>
      <c r="P51" s="2961"/>
      <c r="Q51" s="2961"/>
      <c r="R51" s="2961"/>
      <c r="S51" s="2961"/>
      <c r="T51" s="2961"/>
      <c r="U51" s="2961"/>
      <c r="V51" s="2961"/>
      <c r="W51" s="2961"/>
      <c r="X51" s="2961"/>
      <c r="Y51" s="2961"/>
      <c r="Z51" s="2961"/>
      <c r="AA51" s="2961"/>
      <c r="AB51" s="2961"/>
      <c r="AC51" s="2961"/>
      <c r="AD51" s="2961"/>
      <c r="AE51" s="2961"/>
    </row>
    <row r="52" spans="1:31" s="648" customFormat="1">
      <c r="A52" s="649" t="s">
        <v>2347</v>
      </c>
      <c r="B52" s="224" t="e">
        <f>ROUND($C$43*C52*D52,0)</f>
        <v>#DIV/0!</v>
      </c>
      <c r="C52" s="176">
        <f t="shared" ref="C52:C60" si="16">IF($C$50="北京市系数",I52,J52)</f>
        <v>0.6</v>
      </c>
      <c r="D52" s="1057">
        <v>0.25</v>
      </c>
      <c r="E52" s="650"/>
      <c r="F52" s="647" t="e">
        <f t="shared" si="15"/>
        <v>#DIV/0!</v>
      </c>
      <c r="G52" s="3228" t="s">
        <v>2348</v>
      </c>
      <c r="H52" s="999" t="str">
        <f>项目基本情况!B37</f>
        <v>三级</v>
      </c>
      <c r="I52" s="860">
        <f>SUMIF(修正!A57:A68,H52,修正!B57:B68)</f>
        <v>0.6</v>
      </c>
      <c r="J52" s="861"/>
      <c r="K52" s="2904"/>
      <c r="L52" s="2961"/>
      <c r="M52" s="2961"/>
      <c r="N52" s="2961"/>
      <c r="O52" s="2961"/>
      <c r="P52" s="2961"/>
      <c r="Q52" s="2961"/>
      <c r="R52" s="2961"/>
      <c r="S52" s="2961"/>
      <c r="T52" s="2961"/>
      <c r="U52" s="2961"/>
      <c r="V52" s="2961"/>
      <c r="W52" s="2961"/>
      <c r="X52" s="2961"/>
      <c r="Y52" s="2961"/>
      <c r="Z52" s="2961"/>
      <c r="AA52" s="2961"/>
      <c r="AB52" s="2961"/>
      <c r="AC52" s="2961"/>
      <c r="AD52" s="2961"/>
      <c r="AE52" s="2961"/>
    </row>
    <row r="53" spans="1:31" s="648" customFormat="1">
      <c r="A53" s="649" t="s">
        <v>2349</v>
      </c>
      <c r="B53" s="224" t="e">
        <f t="shared" ref="B53:B60" si="17">ROUND($C$43*C53*D53,0)</f>
        <v>#DIV/0!</v>
      </c>
      <c r="C53" s="176">
        <f t="shared" si="16"/>
        <v>0.3</v>
      </c>
      <c r="D53" s="1057">
        <v>0.25</v>
      </c>
      <c r="E53" s="650"/>
      <c r="F53" s="647" t="e">
        <f t="shared" si="15"/>
        <v>#DIV/0!</v>
      </c>
      <c r="G53" s="3229"/>
      <c r="H53" s="999" t="str">
        <f>项目基本情况!B37</f>
        <v>三级</v>
      </c>
      <c r="I53" s="860">
        <f>SUMIF(修正!A57:A68,H53,修正!C57:C68)</f>
        <v>0.3</v>
      </c>
      <c r="J53" s="861"/>
      <c r="K53" s="2907"/>
      <c r="L53" s="2961"/>
      <c r="M53" s="2961"/>
      <c r="N53" s="2961"/>
      <c r="O53" s="2961"/>
      <c r="P53" s="2961"/>
      <c r="Q53" s="2961"/>
      <c r="R53" s="2961"/>
      <c r="S53" s="2961"/>
      <c r="T53" s="2961"/>
      <c r="U53" s="2961"/>
      <c r="V53" s="2961"/>
      <c r="W53" s="2961"/>
      <c r="X53" s="2961"/>
      <c r="Y53" s="2961"/>
      <c r="Z53" s="2961"/>
      <c r="AA53" s="2961"/>
      <c r="AB53" s="2961"/>
      <c r="AC53" s="2961"/>
      <c r="AD53" s="2961"/>
      <c r="AE53" s="2961"/>
    </row>
    <row r="54" spans="1:31" s="648" customFormat="1">
      <c r="A54" s="649" t="s">
        <v>2350</v>
      </c>
      <c r="B54" s="224" t="e">
        <f t="shared" si="17"/>
        <v>#DIV/0!</v>
      </c>
      <c r="C54" s="176">
        <f t="shared" si="16"/>
        <v>0.25</v>
      </c>
      <c r="D54" s="1057">
        <v>0.25</v>
      </c>
      <c r="E54" s="650"/>
      <c r="F54" s="647" t="e">
        <f t="shared" si="15"/>
        <v>#DIV/0!</v>
      </c>
      <c r="G54" s="3229"/>
      <c r="H54" s="999" t="str">
        <f>项目基本情况!B37</f>
        <v>三级</v>
      </c>
      <c r="I54" s="860">
        <f>SUMIF(修正!A57:A68,H54,修正!D57:D68)</f>
        <v>0.25</v>
      </c>
      <c r="J54" s="861"/>
      <c r="K54" s="2904"/>
      <c r="L54" s="2961"/>
      <c r="M54" s="2961"/>
      <c r="N54" s="2961"/>
      <c r="O54" s="2961"/>
      <c r="P54" s="2961"/>
      <c r="Q54" s="2961"/>
      <c r="R54" s="2961"/>
      <c r="S54" s="2961"/>
      <c r="T54" s="2961"/>
      <c r="U54" s="2961"/>
      <c r="V54" s="2961"/>
      <c r="W54" s="2961"/>
      <c r="X54" s="2961"/>
      <c r="Y54" s="2961"/>
      <c r="Z54" s="2961"/>
      <c r="AA54" s="2961"/>
      <c r="AB54" s="2961"/>
      <c r="AC54" s="2961"/>
      <c r="AD54" s="2961"/>
      <c r="AE54" s="2961"/>
    </row>
    <row r="55" spans="1:31" s="648" customFormat="1" hidden="1">
      <c r="A55" s="649"/>
      <c r="B55" s="224"/>
      <c r="C55" s="176"/>
      <c r="D55" s="1057"/>
      <c r="E55" s="650"/>
      <c r="F55" s="647"/>
      <c r="G55" s="3230"/>
      <c r="H55" s="999"/>
      <c r="I55" s="860"/>
      <c r="J55" s="861"/>
      <c r="K55" s="2907"/>
      <c r="L55" s="2961"/>
      <c r="M55" s="2961"/>
      <c r="N55" s="2961"/>
      <c r="O55" s="2961"/>
      <c r="P55" s="2961"/>
      <c r="Q55" s="2961"/>
      <c r="R55" s="2961"/>
      <c r="S55" s="2961"/>
      <c r="T55" s="2961"/>
      <c r="U55" s="2961"/>
      <c r="V55" s="2961"/>
      <c r="W55" s="2961"/>
      <c r="X55" s="2961"/>
      <c r="Y55" s="2961"/>
      <c r="Z55" s="2961"/>
      <c r="AA55" s="2961"/>
      <c r="AB55" s="2961"/>
      <c r="AC55" s="2961"/>
      <c r="AD55" s="2961"/>
      <c r="AE55" s="2961"/>
    </row>
    <row r="56" spans="1:31" s="648" customFormat="1">
      <c r="A56" s="649" t="s">
        <v>2351</v>
      </c>
      <c r="B56" s="224" t="e">
        <f t="shared" si="17"/>
        <v>#DIV/0!</v>
      </c>
      <c r="C56" s="176">
        <f t="shared" si="16"/>
        <v>0</v>
      </c>
      <c r="D56" s="1057">
        <v>0.25</v>
      </c>
      <c r="E56" s="223">
        <f>'数据-汇总表'!E11</f>
        <v>0</v>
      </c>
      <c r="F56" s="647" t="e">
        <f t="shared" si="15"/>
        <v>#DIV/0!</v>
      </c>
      <c r="G56" s="2124" t="s">
        <v>2352</v>
      </c>
      <c r="H56" s="999">
        <f>项目基本情况!C37</f>
        <v>0</v>
      </c>
      <c r="I56" s="860">
        <f>SUMIF(修正!A57:A68,H56,修正!E57:E68)</f>
        <v>0</v>
      </c>
      <c r="J56" s="861"/>
      <c r="K56" s="2904"/>
      <c r="L56" s="2961"/>
      <c r="M56" s="2961"/>
      <c r="N56" s="2961"/>
      <c r="O56" s="2961"/>
      <c r="P56" s="2961"/>
      <c r="Q56" s="2961"/>
      <c r="R56" s="2961"/>
      <c r="S56" s="2961"/>
      <c r="T56" s="2961"/>
      <c r="U56" s="2961"/>
      <c r="V56" s="2961"/>
      <c r="W56" s="2961"/>
      <c r="X56" s="2961"/>
      <c r="Y56" s="2961"/>
      <c r="Z56" s="2961"/>
      <c r="AA56" s="2961"/>
      <c r="AB56" s="2961"/>
      <c r="AC56" s="2961"/>
      <c r="AD56" s="2961"/>
      <c r="AE56" s="2961"/>
    </row>
    <row r="57" spans="1:31" s="648" customFormat="1">
      <c r="A57" s="649" t="s">
        <v>2353</v>
      </c>
      <c r="B57" s="224" t="e">
        <f t="shared" si="17"/>
        <v>#DIV/0!</v>
      </c>
      <c r="C57" s="176">
        <f t="shared" si="16"/>
        <v>0</v>
      </c>
      <c r="D57" s="1057">
        <v>0.25</v>
      </c>
      <c r="E57" s="223">
        <f>'数据-汇总表'!E12</f>
        <v>0</v>
      </c>
      <c r="F57" s="647" t="e">
        <f t="shared" si="15"/>
        <v>#DIV/0!</v>
      </c>
      <c r="G57" s="1004" t="s">
        <v>2354</v>
      </c>
      <c r="H57" s="999">
        <f>IF(G57="商业",项目基本情况!B37,IF(G57="办公",项目基本情况!C37,IF(G57="住宅",项目基本情况!D37,项目基本情况!E37)))</f>
        <v>0</v>
      </c>
      <c r="I57" s="860">
        <f>SUMIF(修正!A57:A68,H57,修正!F57:F68)</f>
        <v>0</v>
      </c>
      <c r="J57" s="861"/>
      <c r="K57" s="2907"/>
      <c r="L57" s="2961"/>
      <c r="M57" s="2961"/>
      <c r="N57" s="2961"/>
      <c r="O57" s="2961"/>
      <c r="P57" s="2961"/>
      <c r="Q57" s="2961"/>
      <c r="R57" s="2961"/>
      <c r="S57" s="2961"/>
      <c r="T57" s="2961"/>
      <c r="U57" s="2961"/>
      <c r="V57" s="2961"/>
      <c r="W57" s="2961"/>
      <c r="X57" s="2961"/>
      <c r="Y57" s="2961"/>
      <c r="Z57" s="2961"/>
      <c r="AA57" s="2961"/>
      <c r="AB57" s="2961"/>
      <c r="AC57" s="2961"/>
      <c r="AD57" s="2961"/>
      <c r="AE57" s="2961"/>
    </row>
    <row r="58" spans="1:31" s="648" customFormat="1">
      <c r="A58" s="649" t="s">
        <v>2355</v>
      </c>
      <c r="B58" s="224" t="e">
        <f t="shared" si="17"/>
        <v>#DIV/0!</v>
      </c>
      <c r="C58" s="176">
        <f t="shared" si="16"/>
        <v>0</v>
      </c>
      <c r="D58" s="1057">
        <v>0.25</v>
      </c>
      <c r="E58" s="223">
        <f>'数据-汇总表'!E13</f>
        <v>0</v>
      </c>
      <c r="F58" s="647" t="e">
        <f t="shared" si="15"/>
        <v>#DIV/0!</v>
      </c>
      <c r="G58" s="1004" t="s">
        <v>2356</v>
      </c>
      <c r="H58" s="999">
        <f>IF(G58="商业",项目基本情况!B37,IF(G58="办公",项目基本情况!C37,IF(G58="住宅",项目基本情况!D37,项目基本情况!E37)))</f>
        <v>0</v>
      </c>
      <c r="I58" s="860">
        <f>SUMIF(修正!A57:A68,H58,修正!G57:G68)</f>
        <v>0</v>
      </c>
      <c r="J58" s="861"/>
      <c r="K58" s="2904"/>
      <c r="L58" s="2961"/>
      <c r="M58" s="2961"/>
      <c r="N58" s="2961"/>
      <c r="O58" s="2961"/>
      <c r="P58" s="2961"/>
      <c r="Q58" s="2961"/>
      <c r="R58" s="2961"/>
      <c r="S58" s="2961"/>
      <c r="T58" s="2961"/>
      <c r="U58" s="2961"/>
      <c r="V58" s="2961"/>
      <c r="W58" s="2961"/>
      <c r="X58" s="2961"/>
      <c r="Y58" s="2961"/>
      <c r="Z58" s="2961"/>
      <c r="AA58" s="2961"/>
      <c r="AB58" s="2961"/>
      <c r="AC58" s="2961"/>
      <c r="AD58" s="2961"/>
      <c r="AE58" s="2961"/>
    </row>
    <row r="59" spans="1:31" s="648" customFormat="1">
      <c r="A59" s="649" t="s">
        <v>2357</v>
      </c>
      <c r="B59" s="224" t="e">
        <f t="shared" si="17"/>
        <v>#DIV/0!</v>
      </c>
      <c r="C59" s="176">
        <f t="shared" si="16"/>
        <v>0.15</v>
      </c>
      <c r="D59" s="1057">
        <v>0.25</v>
      </c>
      <c r="E59" s="223">
        <f>'数据-汇总表'!E14</f>
        <v>0</v>
      </c>
      <c r="F59" s="647" t="e">
        <f t="shared" si="15"/>
        <v>#DIV/0!</v>
      </c>
      <c r="G59" s="2124" t="s">
        <v>2348</v>
      </c>
      <c r="H59" s="999" t="str">
        <f>项目基本情况!B37</f>
        <v>三级</v>
      </c>
      <c r="I59" s="860">
        <f>SUMIF(修正!A57:A68,H59,修正!G57:G68)</f>
        <v>0.15</v>
      </c>
      <c r="J59" s="861"/>
      <c r="K59" s="2907"/>
      <c r="L59" s="2961"/>
      <c r="M59" s="2961"/>
      <c r="N59" s="2961"/>
      <c r="O59" s="2961"/>
      <c r="P59" s="2961"/>
      <c r="Q59" s="2961"/>
      <c r="R59" s="2961"/>
      <c r="S59" s="2961"/>
      <c r="T59" s="2961"/>
      <c r="U59" s="2961"/>
      <c r="V59" s="2961"/>
      <c r="W59" s="2961"/>
      <c r="X59" s="2961"/>
      <c r="Y59" s="2961"/>
      <c r="Z59" s="2961"/>
      <c r="AA59" s="2961"/>
      <c r="AB59" s="2961"/>
      <c r="AC59" s="2961"/>
      <c r="AD59" s="2961"/>
      <c r="AE59" s="2961"/>
    </row>
    <row r="60" spans="1:31" s="648" customFormat="1" ht="15" thickBot="1">
      <c r="A60" s="649" t="s">
        <v>2358</v>
      </c>
      <c r="B60" s="224" t="e">
        <f t="shared" si="17"/>
        <v>#DIV/0!</v>
      </c>
      <c r="C60" s="176">
        <f t="shared" si="16"/>
        <v>0</v>
      </c>
      <c r="D60" s="1057">
        <v>0.25</v>
      </c>
      <c r="E60" s="223">
        <f>'数据-汇总表'!E15</f>
        <v>0</v>
      </c>
      <c r="F60" s="647" t="e">
        <f t="shared" si="15"/>
        <v>#DIV/0!</v>
      </c>
      <c r="G60" s="2125" t="s">
        <v>2352</v>
      </c>
      <c r="H60" s="1009">
        <f>项目基本情况!C37</f>
        <v>0</v>
      </c>
      <c r="I60" s="860">
        <f>SUMIF(修正!A57:A68,H60,修正!G57:G68)</f>
        <v>0</v>
      </c>
      <c r="J60" s="861"/>
      <c r="K60" s="2904"/>
      <c r="L60" s="2961"/>
      <c r="M60" s="2961"/>
      <c r="N60" s="2961"/>
      <c r="O60" s="2961"/>
      <c r="P60" s="2961"/>
      <c r="Q60" s="2961"/>
      <c r="R60" s="2961"/>
      <c r="S60" s="2961"/>
      <c r="T60" s="2961"/>
      <c r="U60" s="2961"/>
      <c r="V60" s="2961"/>
      <c r="W60" s="2961"/>
      <c r="X60" s="2961"/>
      <c r="Y60" s="2961"/>
      <c r="Z60" s="2961"/>
      <c r="AA60" s="2961"/>
      <c r="AB60" s="2961"/>
      <c r="AC60" s="2961"/>
      <c r="AD60" s="2961"/>
      <c r="AE60" s="2961"/>
    </row>
    <row r="61" spans="1:31" s="648" customFormat="1" ht="15" thickBot="1">
      <c r="A61" s="651" t="s">
        <v>2359</v>
      </c>
      <c r="B61" s="652" t="s">
        <v>28</v>
      </c>
      <c r="C61" s="652" t="s">
        <v>29</v>
      </c>
      <c r="D61" s="652" t="s">
        <v>816</v>
      </c>
      <c r="E61" s="652">
        <f>IF(B41="楼面地价",SUM(E51:E60),'数据-汇总表'!D3)</f>
        <v>0</v>
      </c>
      <c r="F61" s="653" t="e">
        <f>IF(B41="楼面地价",SUM(F51:F60),ROUND(C43*E61/10000,0))</f>
        <v>#DIV/0!</v>
      </c>
      <c r="G61" s="1051"/>
      <c r="H61" s="1051"/>
      <c r="I61" s="1051"/>
      <c r="J61" s="1051"/>
      <c r="K61" s="2909"/>
      <c r="L61" s="2961"/>
      <c r="M61" s="2961"/>
      <c r="N61" s="2961"/>
      <c r="O61" s="2961"/>
      <c r="P61" s="2961"/>
      <c r="Q61" s="2961"/>
      <c r="R61" s="2961"/>
      <c r="S61" s="2961"/>
      <c r="T61" s="2961"/>
      <c r="U61" s="2961"/>
      <c r="V61" s="2961"/>
      <c r="W61" s="2961"/>
      <c r="X61" s="2961"/>
      <c r="Y61" s="2961"/>
      <c r="Z61" s="2961"/>
      <c r="AA61" s="2961"/>
      <c r="AB61" s="2961"/>
      <c r="AC61" s="2961"/>
      <c r="AD61" s="2961"/>
      <c r="AE61" s="2961"/>
    </row>
    <row r="62" spans="1:31">
      <c r="A62" s="1039"/>
      <c r="B62" s="1041"/>
      <c r="C62" s="1043"/>
      <c r="D62" s="1039"/>
      <c r="E62" s="1039"/>
      <c r="F62" s="1039"/>
      <c r="G62" s="1039"/>
      <c r="H62" s="1039"/>
      <c r="I62" s="1039"/>
      <c r="J62" s="1039"/>
      <c r="K62" s="1000"/>
      <c r="L62" s="1001"/>
      <c r="M62" s="1039"/>
      <c r="N62" s="1039"/>
      <c r="O62" s="1039"/>
      <c r="P62" s="2904"/>
      <c r="Q62" s="2904"/>
      <c r="R62" s="2904"/>
      <c r="S62" s="2904"/>
      <c r="T62" s="2904"/>
      <c r="U62" s="2904"/>
      <c r="V62" s="2904"/>
      <c r="W62" s="2904"/>
      <c r="X62" s="2904"/>
      <c r="Y62" s="2904"/>
      <c r="Z62" s="2904"/>
      <c r="AA62" s="2904"/>
      <c r="AB62" s="2904"/>
      <c r="AC62" s="2904"/>
      <c r="AD62" s="2904"/>
      <c r="AE62" s="2904"/>
    </row>
    <row r="63" spans="1:31">
      <c r="A63" s="1039"/>
      <c r="B63" s="1041"/>
      <c r="C63" s="701" t="str">
        <f>YEAR(C7)&amp;"-"&amp;MONTH(C7)&amp;"-1"</f>
        <v>2022-11-1</v>
      </c>
      <c r="D63" s="701">
        <f>EDATE(C63,-3)</f>
        <v>44774</v>
      </c>
      <c r="E63" s="701">
        <f>EDATE(D63,-3)</f>
        <v>44682</v>
      </c>
      <c r="F63" s="701">
        <f t="shared" ref="F63:O63" si="18">EDATE(E63,-3)</f>
        <v>44593</v>
      </c>
      <c r="G63" s="701">
        <f t="shared" si="18"/>
        <v>44501</v>
      </c>
      <c r="H63" s="701">
        <f t="shared" si="18"/>
        <v>44409</v>
      </c>
      <c r="I63" s="701">
        <f t="shared" si="18"/>
        <v>44317</v>
      </c>
      <c r="J63" s="701">
        <f t="shared" si="18"/>
        <v>44228</v>
      </c>
      <c r="K63" s="701">
        <f t="shared" si="18"/>
        <v>44136</v>
      </c>
      <c r="L63" s="701">
        <f t="shared" si="18"/>
        <v>44044</v>
      </c>
      <c r="M63" s="701">
        <f t="shared" si="18"/>
        <v>43952</v>
      </c>
      <c r="N63" s="701">
        <f t="shared" si="18"/>
        <v>43862</v>
      </c>
      <c r="O63" s="701">
        <f t="shared" si="18"/>
        <v>43770</v>
      </c>
      <c r="P63" s="2904"/>
      <c r="Q63" s="2904"/>
      <c r="R63" s="2904"/>
      <c r="S63" s="2904"/>
      <c r="T63" s="2904"/>
      <c r="U63" s="2904"/>
      <c r="V63" s="2904"/>
      <c r="W63" s="2904"/>
      <c r="X63" s="2904"/>
      <c r="Y63" s="2904"/>
      <c r="Z63" s="2904"/>
      <c r="AA63" s="2904"/>
      <c r="AB63" s="2904"/>
      <c r="AC63" s="2904"/>
      <c r="AD63" s="2904"/>
      <c r="AE63" s="2904"/>
    </row>
    <row r="64" spans="1:31" ht="21.75" thickBot="1">
      <c r="A64" s="703" t="s">
        <v>2253</v>
      </c>
      <c r="B64" s="699"/>
      <c r="C64" s="704"/>
      <c r="D64" s="704"/>
      <c r="E64" s="704"/>
      <c r="F64" s="705"/>
      <c r="G64" s="705"/>
      <c r="H64" s="704"/>
      <c r="I64" s="704"/>
      <c r="J64" s="704"/>
      <c r="K64" s="706"/>
      <c r="L64" s="707"/>
      <c r="M64" s="704"/>
      <c r="N64" s="704"/>
      <c r="O64" s="1052"/>
      <c r="P64" s="2948"/>
      <c r="Q64" s="2918"/>
      <c r="R64" s="2904"/>
      <c r="S64" s="2904"/>
      <c r="T64" s="2904"/>
      <c r="U64" s="2904"/>
      <c r="V64" s="2904"/>
      <c r="W64" s="2904"/>
      <c r="X64" s="2904"/>
      <c r="Y64" s="2904"/>
      <c r="Z64" s="2904"/>
      <c r="AA64" s="2904"/>
      <c r="AB64" s="2904"/>
      <c r="AC64" s="2904"/>
      <c r="AD64" s="2904"/>
      <c r="AE64" s="2904"/>
    </row>
    <row r="65" spans="1:31" s="465" customFormat="1" ht="15">
      <c r="A65" s="2126" t="s">
        <v>2360</v>
      </c>
      <c r="B65" s="1222"/>
      <c r="C65" s="1297" t="str">
        <f>YEAR(C63)&amp;"-"&amp;ROUNDUP(MONTH(C63)/3,0)</f>
        <v>2022-4</v>
      </c>
      <c r="D65" s="1297" t="str">
        <f t="shared" ref="D65:O65" si="19">YEAR(D63)&amp;"-"&amp;ROUNDUP(MONTH(D63)/3,0)</f>
        <v>2022-3</v>
      </c>
      <c r="E65" s="1297" t="str">
        <f t="shared" si="19"/>
        <v>2022-2</v>
      </c>
      <c r="F65" s="1297" t="str">
        <f t="shared" si="19"/>
        <v>2022-1</v>
      </c>
      <c r="G65" s="1297" t="str">
        <f t="shared" si="19"/>
        <v>2021-4</v>
      </c>
      <c r="H65" s="1297" t="str">
        <f t="shared" si="19"/>
        <v>2021-3</v>
      </c>
      <c r="I65" s="1297" t="str">
        <f t="shared" si="19"/>
        <v>2021-2</v>
      </c>
      <c r="J65" s="1297" t="str">
        <f t="shared" si="19"/>
        <v>2021-1</v>
      </c>
      <c r="K65" s="1297" t="str">
        <f t="shared" si="19"/>
        <v>2020-4</v>
      </c>
      <c r="L65" s="1297" t="str">
        <f t="shared" si="19"/>
        <v>2020-3</v>
      </c>
      <c r="M65" s="1297" t="str">
        <f t="shared" si="19"/>
        <v>2020-2</v>
      </c>
      <c r="N65" s="1297" t="str">
        <f t="shared" si="19"/>
        <v>2020-1</v>
      </c>
      <c r="O65" s="1297" t="str">
        <f t="shared" si="19"/>
        <v>2019-4</v>
      </c>
      <c r="P65" s="2955"/>
      <c r="Q65" s="2920"/>
      <c r="R65" s="2920"/>
      <c r="S65" s="2920"/>
      <c r="T65" s="2920"/>
      <c r="U65" s="2920"/>
      <c r="V65" s="2920"/>
      <c r="W65" s="2920"/>
      <c r="X65" s="2920"/>
      <c r="Y65" s="2920"/>
      <c r="Z65" s="2920"/>
      <c r="AA65" s="2920"/>
      <c r="AB65" s="2920"/>
      <c r="AC65" s="2920"/>
      <c r="AD65" s="2920"/>
      <c r="AE65" s="2920"/>
    </row>
    <row r="66" spans="1:31" s="113" customFormat="1" ht="30.75" customHeight="1">
      <c r="A66" s="2131" t="s">
        <v>2380</v>
      </c>
      <c r="B66" s="294" t="str">
        <f>"北京市平均增长率"&amp;TEXT(基准地价修正!P24,"0.00%")</f>
        <v>北京市平均增长率0.00%</v>
      </c>
      <c r="C66" s="560">
        <v>100</v>
      </c>
      <c r="D66" s="552"/>
      <c r="E66" s="552"/>
      <c r="F66" s="552"/>
      <c r="G66" s="552"/>
      <c r="H66" s="552"/>
      <c r="I66" s="552"/>
      <c r="J66" s="552"/>
      <c r="K66" s="552"/>
      <c r="L66" s="552"/>
      <c r="M66" s="1293"/>
      <c r="N66" s="1293"/>
      <c r="O66" s="1295"/>
      <c r="P66" s="2918"/>
      <c r="Q66" s="2838"/>
      <c r="R66" s="2838"/>
      <c r="S66" s="2838"/>
      <c r="T66" s="2838"/>
      <c r="U66" s="2838"/>
      <c r="V66" s="2838"/>
      <c r="W66" s="2838"/>
      <c r="X66" s="2838"/>
      <c r="Y66" s="2838"/>
      <c r="Z66" s="2838"/>
      <c r="AA66" s="2838"/>
      <c r="AB66" s="2838"/>
      <c r="AC66" s="2838"/>
      <c r="AD66" s="2838"/>
      <c r="AE66" s="2838"/>
    </row>
    <row r="67" spans="1:31" s="113" customFormat="1" ht="15.75" thickBot="1">
      <c r="A67" s="472" t="s">
        <v>2164</v>
      </c>
      <c r="B67" s="473"/>
      <c r="C67" s="474"/>
      <c r="D67" s="475"/>
      <c r="E67" s="475"/>
      <c r="F67" s="475"/>
      <c r="G67" s="475"/>
      <c r="H67" s="475"/>
      <c r="I67" s="475"/>
      <c r="J67" s="475"/>
      <c r="K67" s="475"/>
      <c r="L67" s="475"/>
      <c r="M67" s="476"/>
      <c r="N67" s="476"/>
      <c r="O67" s="477"/>
      <c r="P67" s="2918"/>
      <c r="Q67" s="2918"/>
      <c r="R67" s="2838"/>
      <c r="S67" s="2838"/>
      <c r="T67" s="2838"/>
      <c r="U67" s="2838"/>
      <c r="V67" s="2838"/>
      <c r="W67" s="2838"/>
      <c r="X67" s="2838"/>
      <c r="Y67" s="2838"/>
      <c r="Z67" s="2838"/>
      <c r="AA67" s="2838"/>
      <c r="AB67" s="2838"/>
      <c r="AC67" s="2838"/>
      <c r="AD67" s="2838"/>
      <c r="AE67" s="2838"/>
    </row>
    <row r="68" spans="1:31" s="113" customFormat="1" ht="15">
      <c r="A68" s="478" t="s">
        <v>2129</v>
      </c>
      <c r="B68" s="467"/>
      <c r="C68" s="479" t="s">
        <v>2231</v>
      </c>
      <c r="D68" s="480"/>
      <c r="E68" s="480"/>
      <c r="F68" s="480"/>
      <c r="G68" s="480"/>
      <c r="H68" s="480"/>
      <c r="I68" s="480"/>
      <c r="J68" s="480"/>
      <c r="K68" s="480"/>
      <c r="L68" s="481"/>
      <c r="M68" s="482"/>
      <c r="N68" s="2931"/>
      <c r="O68" s="2931"/>
      <c r="P68" s="2956"/>
      <c r="Q68" s="2918"/>
      <c r="R68" s="2838"/>
      <c r="S68" s="2838"/>
      <c r="T68" s="2838"/>
      <c r="U68" s="2838"/>
      <c r="V68" s="2838"/>
      <c r="W68" s="2838"/>
      <c r="X68" s="2838"/>
      <c r="Y68" s="2838"/>
      <c r="Z68" s="2838"/>
      <c r="AA68" s="2838"/>
      <c r="AB68" s="2838"/>
      <c r="AC68" s="2838"/>
      <c r="AD68" s="2838"/>
      <c r="AE68" s="2838"/>
    </row>
    <row r="69" spans="1:31" s="113" customFormat="1" ht="15.75" thickBot="1">
      <c r="A69" s="478"/>
      <c r="B69" s="467"/>
      <c r="C69" s="595">
        <v>100</v>
      </c>
      <c r="D69" s="469"/>
      <c r="E69" s="469"/>
      <c r="F69" s="469"/>
      <c r="G69" s="469"/>
      <c r="H69" s="469"/>
      <c r="I69" s="469"/>
      <c r="J69" s="469"/>
      <c r="K69" s="469"/>
      <c r="L69" s="469"/>
      <c r="M69" s="471"/>
      <c r="N69" s="2931"/>
      <c r="O69" s="2931"/>
      <c r="P69" s="2918"/>
      <c r="Q69" s="2918"/>
      <c r="R69" s="2838"/>
      <c r="S69" s="2838"/>
      <c r="T69" s="2838"/>
      <c r="U69" s="2838"/>
      <c r="V69" s="2838"/>
      <c r="W69" s="2838"/>
      <c r="X69" s="2838"/>
      <c r="Y69" s="2838"/>
      <c r="Z69" s="2838"/>
      <c r="AA69" s="2838"/>
      <c r="AB69" s="2838"/>
      <c r="AC69" s="2838"/>
      <c r="AD69" s="2838"/>
      <c r="AE69" s="2838"/>
    </row>
    <row r="70" spans="1:31">
      <c r="A70" s="484" t="s">
        <v>2167</v>
      </c>
      <c r="B70" s="485" t="s">
        <v>2133</v>
      </c>
      <c r="C70" s="487"/>
      <c r="D70" s="487"/>
      <c r="E70" s="487"/>
      <c r="F70" s="487"/>
      <c r="G70" s="487"/>
      <c r="H70" s="487"/>
      <c r="I70" s="487"/>
      <c r="J70" s="487"/>
      <c r="K70" s="488"/>
      <c r="L70" s="489"/>
      <c r="M70" s="490"/>
      <c r="N70" s="2932"/>
      <c r="O70" s="2932"/>
      <c r="P70" s="2957"/>
      <c r="Q70" s="2918"/>
      <c r="R70" s="2904"/>
      <c r="S70" s="2904"/>
      <c r="T70" s="2904"/>
      <c r="U70" s="2904"/>
      <c r="V70" s="2904"/>
      <c r="W70" s="2904"/>
      <c r="X70" s="2904"/>
      <c r="Y70" s="2904"/>
      <c r="Z70" s="2904"/>
      <c r="AA70" s="2904"/>
      <c r="AB70" s="2904"/>
      <c r="AC70" s="2904"/>
      <c r="AD70" s="2904"/>
      <c r="AE70" s="2904"/>
    </row>
    <row r="71" spans="1:31" ht="15.75" thickBot="1">
      <c r="A71" s="491"/>
      <c r="B71" s="492"/>
      <c r="C71" s="493"/>
      <c r="D71" s="493"/>
      <c r="E71" s="493"/>
      <c r="F71" s="493"/>
      <c r="G71" s="493"/>
      <c r="H71" s="493"/>
      <c r="I71" s="493"/>
      <c r="J71" s="493"/>
      <c r="K71" s="493"/>
      <c r="L71" s="493"/>
      <c r="M71" s="494"/>
      <c r="N71" s="2933"/>
      <c r="O71" s="2933"/>
      <c r="P71" s="2957"/>
      <c r="Q71" s="2918"/>
      <c r="R71" s="2904"/>
      <c r="S71" s="2904"/>
      <c r="T71" s="2904"/>
      <c r="U71" s="2904"/>
      <c r="V71" s="2904"/>
      <c r="W71" s="2904"/>
      <c r="X71" s="2904"/>
      <c r="Y71" s="2904"/>
      <c r="Z71" s="2904"/>
      <c r="AA71" s="2904"/>
      <c r="AB71" s="2904"/>
      <c r="AC71" s="2904"/>
      <c r="AD71" s="2904"/>
      <c r="AE71" s="2904"/>
    </row>
    <row r="72" spans="1:31" ht="27.75" thickTop="1">
      <c r="A72" s="491"/>
      <c r="B72" s="495" t="s">
        <v>2136</v>
      </c>
      <c r="C72" s="496"/>
      <c r="D72" s="496"/>
      <c r="E72" s="496"/>
      <c r="F72" s="496"/>
      <c r="G72" s="496"/>
      <c r="H72" s="496"/>
      <c r="I72" s="496"/>
      <c r="J72" s="496"/>
      <c r="K72" s="497"/>
      <c r="L72" s="498"/>
      <c r="M72" s="499"/>
      <c r="N72" s="2932"/>
      <c r="O72" s="2932"/>
      <c r="P72" s="2957"/>
      <c r="Q72" s="2918"/>
      <c r="R72" s="2904"/>
      <c r="S72" s="2904"/>
      <c r="T72" s="2904"/>
      <c r="U72" s="2904"/>
      <c r="V72" s="2904"/>
      <c r="W72" s="2904"/>
      <c r="X72" s="2904"/>
      <c r="Y72" s="2904"/>
      <c r="Z72" s="2904"/>
      <c r="AA72" s="2904"/>
      <c r="AB72" s="2904"/>
      <c r="AC72" s="2904"/>
      <c r="AD72" s="2904"/>
      <c r="AE72" s="2904"/>
    </row>
    <row r="73" spans="1:31" ht="15.75" thickBot="1">
      <c r="A73" s="491"/>
      <c r="B73" s="500"/>
      <c r="C73" s="501"/>
      <c r="D73" s="501"/>
      <c r="E73" s="501"/>
      <c r="F73" s="501"/>
      <c r="G73" s="501"/>
      <c r="H73" s="501"/>
      <c r="I73" s="501"/>
      <c r="J73" s="501"/>
      <c r="K73" s="501"/>
      <c r="L73" s="501"/>
      <c r="M73" s="502"/>
      <c r="N73" s="2933"/>
      <c r="O73" s="2933"/>
      <c r="P73" s="2957"/>
      <c r="Q73" s="2918"/>
      <c r="R73" s="2904"/>
      <c r="S73" s="2904"/>
      <c r="T73" s="2904"/>
      <c r="U73" s="2904"/>
      <c r="V73" s="2904"/>
      <c r="W73" s="2904"/>
      <c r="X73" s="2904"/>
      <c r="Y73" s="2904"/>
      <c r="Z73" s="2904"/>
      <c r="AA73" s="2904"/>
      <c r="AB73" s="2904"/>
      <c r="AC73" s="2904"/>
      <c r="AD73" s="2904"/>
      <c r="AE73" s="2904"/>
    </row>
    <row r="74" spans="1:31" ht="15.75" thickTop="1">
      <c r="A74" s="491"/>
      <c r="B74" s="503" t="s">
        <v>2137</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33"/>
      <c r="O74" s="2933"/>
      <c r="P74" s="2957"/>
      <c r="Q74" s="2918"/>
      <c r="R74" s="2904"/>
      <c r="S74" s="2904"/>
      <c r="T74" s="2904"/>
      <c r="U74" s="2904"/>
      <c r="V74" s="2904"/>
      <c r="W74" s="2904"/>
      <c r="X74" s="2904"/>
      <c r="Y74" s="2904"/>
      <c r="Z74" s="2904"/>
      <c r="AA74" s="2904"/>
      <c r="AB74" s="2904"/>
      <c r="AC74" s="2904"/>
      <c r="AD74" s="2904"/>
      <c r="AE74" s="2904"/>
    </row>
    <row r="75" spans="1:31" ht="15">
      <c r="A75" s="491"/>
      <c r="B75" s="505"/>
      <c r="C75" s="506"/>
      <c r="D75" s="506"/>
      <c r="E75" s="506"/>
      <c r="F75" s="506"/>
      <c r="G75" s="506"/>
      <c r="H75" s="506"/>
      <c r="I75" s="506"/>
      <c r="J75" s="506"/>
      <c r="K75" s="507"/>
      <c r="L75" s="508"/>
      <c r="M75" s="509"/>
      <c r="N75" s="2932"/>
      <c r="O75" s="2932"/>
      <c r="P75" s="2957"/>
      <c r="Q75" s="2918"/>
      <c r="R75" s="2904"/>
      <c r="S75" s="2904"/>
      <c r="T75" s="2904"/>
      <c r="U75" s="2904"/>
      <c r="V75" s="2904"/>
      <c r="W75" s="2904"/>
      <c r="X75" s="2904"/>
      <c r="Y75" s="2904"/>
      <c r="Z75" s="2904"/>
      <c r="AA75" s="2904"/>
      <c r="AB75" s="2904"/>
      <c r="AC75" s="2904"/>
      <c r="AD75" s="2904"/>
      <c r="AE75" s="290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33"/>
      <c r="O76" s="2933"/>
      <c r="P76" s="2957"/>
      <c r="Q76" s="2918"/>
      <c r="R76" s="2904"/>
      <c r="S76" s="2904"/>
      <c r="T76" s="2904"/>
      <c r="U76" s="2904"/>
      <c r="V76" s="2904"/>
      <c r="W76" s="2904"/>
      <c r="X76" s="2904"/>
      <c r="Y76" s="2904"/>
      <c r="Z76" s="2904"/>
      <c r="AA76" s="2904"/>
      <c r="AB76" s="2904"/>
      <c r="AC76" s="2904"/>
      <c r="AD76" s="2904"/>
      <c r="AE76" s="2904"/>
    </row>
    <row r="77" spans="1:31" s="430" customFormat="1" ht="15.75" thickTop="1">
      <c r="A77" s="510"/>
      <c r="B77" s="495">
        <f>B12</f>
        <v>111</v>
      </c>
      <c r="C77" s="511"/>
      <c r="D77" s="511"/>
      <c r="E77" s="511"/>
      <c r="F77" s="511"/>
      <c r="G77" s="511"/>
      <c r="H77" s="512"/>
      <c r="I77" s="512"/>
      <c r="J77" s="512"/>
      <c r="K77" s="512"/>
      <c r="L77" s="513"/>
      <c r="M77" s="514"/>
      <c r="N77" s="2934"/>
      <c r="O77" s="2934"/>
      <c r="P77" s="2958"/>
      <c r="Q77" s="2925"/>
      <c r="R77" s="2926"/>
      <c r="S77" s="2926"/>
      <c r="T77" s="2926"/>
      <c r="U77" s="2926"/>
      <c r="V77" s="2926"/>
      <c r="W77" s="2926"/>
      <c r="X77" s="2926"/>
      <c r="Y77" s="2926"/>
      <c r="Z77" s="2926"/>
      <c r="AA77" s="2926"/>
      <c r="AB77" s="2926"/>
      <c r="AC77" s="2926"/>
      <c r="AD77" s="2926"/>
      <c r="AE77" s="2926"/>
    </row>
    <row r="78" spans="1:31" s="430" customFormat="1" ht="15.75" thickBot="1">
      <c r="A78" s="510"/>
      <c r="B78" s="500"/>
      <c r="C78" s="517"/>
      <c r="D78" s="493"/>
      <c r="E78" s="493"/>
      <c r="F78" s="493"/>
      <c r="G78" s="493"/>
      <c r="H78" s="493"/>
      <c r="I78" s="493"/>
      <c r="J78" s="493"/>
      <c r="K78" s="493"/>
      <c r="L78" s="493"/>
      <c r="M78" s="494"/>
      <c r="N78" s="2933"/>
      <c r="O78" s="2933"/>
      <c r="P78" s="2958"/>
      <c r="Q78" s="2925"/>
      <c r="R78" s="2926"/>
      <c r="S78" s="2926"/>
      <c r="T78" s="2926"/>
      <c r="U78" s="2926"/>
      <c r="V78" s="2926"/>
      <c r="W78" s="2926"/>
      <c r="X78" s="2926"/>
      <c r="Y78" s="2926"/>
      <c r="Z78" s="2926"/>
      <c r="AA78" s="2926"/>
      <c r="AB78" s="2926"/>
      <c r="AC78" s="2926"/>
      <c r="AD78" s="2926"/>
      <c r="AE78" s="2926"/>
    </row>
    <row r="79" spans="1:31" s="430" customFormat="1" ht="15.75" thickTop="1">
      <c r="A79" s="510"/>
      <c r="B79" s="495">
        <f>B13</f>
        <v>111</v>
      </c>
      <c r="C79" s="511"/>
      <c r="D79" s="511"/>
      <c r="E79" s="511"/>
      <c r="F79" s="511"/>
      <c r="G79" s="511"/>
      <c r="H79" s="512"/>
      <c r="I79" s="512"/>
      <c r="J79" s="512"/>
      <c r="K79" s="512"/>
      <c r="L79" s="513"/>
      <c r="M79" s="514"/>
      <c r="N79" s="2934"/>
      <c r="O79" s="2934"/>
      <c r="P79" s="2902"/>
      <c r="Q79" s="2928"/>
      <c r="R79" s="2926"/>
      <c r="S79" s="2926"/>
      <c r="T79" s="2926"/>
      <c r="U79" s="2926"/>
      <c r="V79" s="2926"/>
      <c r="W79" s="2926"/>
      <c r="X79" s="2926"/>
      <c r="Y79" s="2926"/>
      <c r="Z79" s="2926"/>
      <c r="AA79" s="2926"/>
      <c r="AB79" s="2926"/>
      <c r="AC79" s="2926"/>
      <c r="AD79" s="2926"/>
      <c r="AE79" s="2926"/>
    </row>
    <row r="80" spans="1:31" s="430" customFormat="1" ht="15.75" thickBot="1">
      <c r="A80" s="510"/>
      <c r="B80" s="500"/>
      <c r="C80" s="517"/>
      <c r="D80" s="517"/>
      <c r="E80" s="517"/>
      <c r="F80" s="517"/>
      <c r="G80" s="517"/>
      <c r="H80" s="519"/>
      <c r="I80" s="519"/>
      <c r="J80" s="519"/>
      <c r="K80" s="519"/>
      <c r="L80" s="519"/>
      <c r="M80" s="520"/>
      <c r="N80" s="2934"/>
      <c r="O80" s="2934"/>
      <c r="P80" s="2958"/>
      <c r="Q80" s="2925"/>
      <c r="R80" s="2926"/>
      <c r="S80" s="2926"/>
      <c r="T80" s="2926"/>
      <c r="U80" s="2926"/>
      <c r="V80" s="2926"/>
      <c r="W80" s="2926"/>
      <c r="X80" s="2926"/>
      <c r="Y80" s="2926"/>
      <c r="Z80" s="2926"/>
      <c r="AA80" s="2926"/>
      <c r="AB80" s="2926"/>
      <c r="AC80" s="2926"/>
      <c r="AD80" s="2926"/>
      <c r="AE80" s="2926"/>
    </row>
    <row r="81" spans="1:31" s="430" customFormat="1" ht="15.75" thickTop="1">
      <c r="A81" s="510"/>
      <c r="B81" s="503">
        <f>B14</f>
        <v>111</v>
      </c>
      <c r="C81" s="480"/>
      <c r="D81" s="480"/>
      <c r="E81" s="480"/>
      <c r="F81" s="480"/>
      <c r="G81" s="480"/>
      <c r="H81" s="521"/>
      <c r="I81" s="521"/>
      <c r="J81" s="521"/>
      <c r="K81" s="521"/>
      <c r="L81" s="522"/>
      <c r="M81" s="523"/>
      <c r="N81" s="2934"/>
      <c r="O81" s="2934"/>
      <c r="P81" s="2963"/>
      <c r="Q81" s="2925"/>
      <c r="R81" s="2926"/>
      <c r="S81" s="2926"/>
      <c r="T81" s="2926"/>
      <c r="U81" s="2926"/>
      <c r="V81" s="2926"/>
      <c r="W81" s="2926"/>
      <c r="X81" s="2926"/>
      <c r="Y81" s="2926"/>
      <c r="Z81" s="2926"/>
      <c r="AA81" s="2926"/>
      <c r="AB81" s="2926"/>
      <c r="AC81" s="2926"/>
      <c r="AD81" s="2926"/>
      <c r="AE81" s="2926"/>
    </row>
    <row r="82" spans="1:31" s="430" customFormat="1" ht="15.75" thickBot="1">
      <c r="A82" s="525"/>
      <c r="B82" s="526"/>
      <c r="C82" s="527"/>
      <c r="D82" s="527"/>
      <c r="E82" s="527"/>
      <c r="F82" s="527"/>
      <c r="G82" s="527"/>
      <c r="H82" s="528"/>
      <c r="I82" s="528"/>
      <c r="J82" s="528"/>
      <c r="K82" s="528"/>
      <c r="L82" s="528"/>
      <c r="M82" s="529"/>
      <c r="N82" s="2934"/>
      <c r="O82" s="2934"/>
      <c r="P82" s="2958"/>
      <c r="Q82" s="2925"/>
      <c r="R82" s="2926"/>
      <c r="S82" s="2926"/>
      <c r="T82" s="2926"/>
      <c r="U82" s="2926"/>
      <c r="V82" s="2926"/>
      <c r="W82" s="2926"/>
      <c r="X82" s="2926"/>
      <c r="Y82" s="2926"/>
      <c r="Z82" s="2926"/>
      <c r="AA82" s="2926"/>
      <c r="AB82" s="2926"/>
      <c r="AC82" s="2926"/>
      <c r="AD82" s="2926"/>
      <c r="AE82" s="2926"/>
    </row>
    <row r="83" spans="1:31">
      <c r="A83" s="484" t="s">
        <v>2138</v>
      </c>
      <c r="B83" s="485" t="s">
        <v>2284</v>
      </c>
      <c r="C83" s="530" t="s">
        <v>2176</v>
      </c>
      <c r="D83" s="530" t="s">
        <v>2177</v>
      </c>
      <c r="E83" s="530" t="s">
        <v>2178</v>
      </c>
      <c r="F83" s="530" t="s">
        <v>2179</v>
      </c>
      <c r="G83" s="530" t="s">
        <v>2180</v>
      </c>
      <c r="H83" s="486"/>
      <c r="I83" s="486"/>
      <c r="J83" s="486"/>
      <c r="K83" s="531"/>
      <c r="L83" s="532"/>
      <c r="M83" s="533"/>
      <c r="N83" s="2932"/>
      <c r="O83" s="2932"/>
      <c r="P83" s="2959"/>
      <c r="Q83" s="2918"/>
      <c r="R83" s="2904"/>
      <c r="S83" s="2904"/>
      <c r="T83" s="2904"/>
      <c r="U83" s="2904"/>
      <c r="V83" s="2904"/>
      <c r="W83" s="2904"/>
      <c r="X83" s="2904"/>
      <c r="Y83" s="2904"/>
      <c r="Z83" s="2904"/>
      <c r="AA83" s="2904"/>
      <c r="AB83" s="2904"/>
      <c r="AC83" s="2904"/>
      <c r="AD83" s="2904"/>
      <c r="AE83" s="290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33"/>
      <c r="O84" s="2933"/>
      <c r="P84" s="2957"/>
      <c r="Q84" s="2918"/>
      <c r="R84" s="2904"/>
      <c r="S84" s="2904"/>
      <c r="T84" s="2904"/>
      <c r="U84" s="2904"/>
      <c r="V84" s="2904"/>
      <c r="W84" s="2904"/>
      <c r="X84" s="2904"/>
      <c r="Y84" s="2904"/>
      <c r="Z84" s="2904"/>
      <c r="AA84" s="2904"/>
      <c r="AB84" s="2904"/>
      <c r="AC84" s="2904"/>
      <c r="AD84" s="2904"/>
      <c r="AE84" s="2904"/>
    </row>
    <row r="85" spans="1:31" ht="15.75" thickTop="1">
      <c r="A85" s="491"/>
      <c r="B85" s="495" t="s">
        <v>2181</v>
      </c>
      <c r="C85" s="535" t="s">
        <v>2176</v>
      </c>
      <c r="D85" s="535" t="s">
        <v>2177</v>
      </c>
      <c r="E85" s="535" t="s">
        <v>2178</v>
      </c>
      <c r="F85" s="535" t="s">
        <v>2179</v>
      </c>
      <c r="G85" s="535" t="s">
        <v>2180</v>
      </c>
      <c r="H85" s="496"/>
      <c r="I85" s="496"/>
      <c r="J85" s="496"/>
      <c r="K85" s="497"/>
      <c r="L85" s="498"/>
      <c r="M85" s="499"/>
      <c r="N85" s="2932"/>
      <c r="O85" s="2932"/>
      <c r="P85" s="2957"/>
      <c r="Q85" s="2918"/>
      <c r="R85" s="2904"/>
      <c r="S85" s="2904"/>
      <c r="T85" s="2904"/>
      <c r="U85" s="2904"/>
      <c r="V85" s="2904"/>
      <c r="W85" s="2904"/>
      <c r="X85" s="2904"/>
      <c r="Y85" s="2904"/>
      <c r="Z85" s="2904"/>
      <c r="AA85" s="2904"/>
      <c r="AB85" s="2904"/>
      <c r="AC85" s="2904"/>
      <c r="AD85" s="2904"/>
      <c r="AE85" s="290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33"/>
      <c r="O86" s="2933"/>
      <c r="P86" s="2957"/>
      <c r="Q86" s="2918"/>
      <c r="R86" s="2904"/>
      <c r="S86" s="2904"/>
      <c r="T86" s="2904"/>
      <c r="U86" s="2904"/>
      <c r="V86" s="2904"/>
      <c r="W86" s="2904"/>
      <c r="X86" s="2904"/>
      <c r="Y86" s="2904"/>
      <c r="Z86" s="2904"/>
      <c r="AA86" s="2904"/>
      <c r="AB86" s="2904"/>
      <c r="AC86" s="2904"/>
      <c r="AD86" s="2904"/>
      <c r="AE86" s="2904"/>
    </row>
    <row r="87" spans="1:31" s="113" customFormat="1" ht="15.75" thickTop="1">
      <c r="A87" s="536"/>
      <c r="B87" s="495" t="s">
        <v>2363</v>
      </c>
      <c r="C87" s="530" t="s">
        <v>2176</v>
      </c>
      <c r="D87" s="530" t="s">
        <v>2177</v>
      </c>
      <c r="E87" s="530" t="s">
        <v>2178</v>
      </c>
      <c r="F87" s="530" t="s">
        <v>2179</v>
      </c>
      <c r="G87" s="530" t="s">
        <v>2180</v>
      </c>
      <c r="H87" s="535"/>
      <c r="I87" s="535"/>
      <c r="J87" s="535"/>
      <c r="K87" s="535"/>
      <c r="L87" s="654"/>
      <c r="M87" s="578"/>
      <c r="N87" s="2931"/>
      <c r="O87" s="2931"/>
      <c r="P87" s="2957"/>
      <c r="Q87" s="2918"/>
      <c r="R87" s="2838"/>
      <c r="S87" s="2838"/>
      <c r="T87" s="2838"/>
      <c r="U87" s="2838"/>
      <c r="V87" s="2838"/>
      <c r="W87" s="2838"/>
      <c r="X87" s="2838"/>
      <c r="Y87" s="2838"/>
      <c r="Z87" s="2838"/>
      <c r="AA87" s="2838"/>
      <c r="AB87" s="2838"/>
      <c r="AC87" s="2838"/>
      <c r="AD87" s="2838"/>
      <c r="AE87" s="283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33"/>
      <c r="O88" s="2933"/>
      <c r="P88" s="2957"/>
      <c r="Q88" s="2918"/>
      <c r="R88" s="2838"/>
      <c r="S88" s="2838"/>
      <c r="T88" s="2838"/>
      <c r="U88" s="2838"/>
      <c r="V88" s="2838"/>
      <c r="W88" s="2838"/>
      <c r="X88" s="2838"/>
      <c r="Y88" s="2838"/>
      <c r="Z88" s="2838"/>
      <c r="AA88" s="2838"/>
      <c r="AB88" s="2838"/>
      <c r="AC88" s="2838"/>
      <c r="AD88" s="2838"/>
      <c r="AE88" s="2838"/>
    </row>
    <row r="89" spans="1:31" s="113" customFormat="1" ht="27.75" thickTop="1">
      <c r="A89" s="536"/>
      <c r="B89" s="495" t="s">
        <v>2364</v>
      </c>
      <c r="C89" s="530" t="s">
        <v>2176</v>
      </c>
      <c r="D89" s="530" t="s">
        <v>2177</v>
      </c>
      <c r="E89" s="530" t="s">
        <v>2178</v>
      </c>
      <c r="F89" s="530" t="s">
        <v>2179</v>
      </c>
      <c r="G89" s="530" t="s">
        <v>2180</v>
      </c>
      <c r="H89" s="535"/>
      <c r="I89" s="535"/>
      <c r="J89" s="535"/>
      <c r="K89" s="535"/>
      <c r="L89" s="535"/>
      <c r="M89" s="578"/>
      <c r="N89" s="2931"/>
      <c r="O89" s="2931"/>
      <c r="P89" s="2957"/>
      <c r="Q89" s="2918"/>
      <c r="R89" s="2838"/>
      <c r="S89" s="2838"/>
      <c r="T89" s="2838"/>
      <c r="U89" s="2838"/>
      <c r="V89" s="2838"/>
      <c r="W89" s="2838"/>
      <c r="X89" s="2838"/>
      <c r="Y89" s="2838"/>
      <c r="Z89" s="2838"/>
      <c r="AA89" s="2838"/>
      <c r="AB89" s="2838"/>
      <c r="AC89" s="2838"/>
      <c r="AD89" s="2838"/>
      <c r="AE89" s="283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33"/>
      <c r="O90" s="2933"/>
      <c r="P90" s="2957"/>
      <c r="Q90" s="2918"/>
      <c r="R90" s="2838"/>
      <c r="S90" s="2838"/>
      <c r="T90" s="2838"/>
      <c r="U90" s="2838"/>
      <c r="V90" s="2838"/>
      <c r="W90" s="2838"/>
      <c r="X90" s="2838"/>
      <c r="Y90" s="2838"/>
      <c r="Z90" s="2838"/>
      <c r="AA90" s="2838"/>
      <c r="AB90" s="2838"/>
      <c r="AC90" s="2838"/>
      <c r="AD90" s="2838"/>
      <c r="AE90" s="2838"/>
    </row>
    <row r="91" spans="1:31" s="430" customFormat="1" ht="15.75" thickTop="1">
      <c r="A91" s="510"/>
      <c r="B91" s="495" t="s">
        <v>2233</v>
      </c>
      <c r="C91" s="530" t="s">
        <v>2176</v>
      </c>
      <c r="D91" s="530" t="s">
        <v>2177</v>
      </c>
      <c r="E91" s="530" t="s">
        <v>2178</v>
      </c>
      <c r="F91" s="530" t="s">
        <v>2179</v>
      </c>
      <c r="G91" s="530" t="s">
        <v>2180</v>
      </c>
      <c r="H91" s="557"/>
      <c r="I91" s="557"/>
      <c r="J91" s="557"/>
      <c r="K91" s="557"/>
      <c r="L91" s="558"/>
      <c r="M91" s="559"/>
      <c r="N91" s="2934"/>
      <c r="O91" s="2934"/>
      <c r="P91" s="2958"/>
      <c r="Q91" s="2925"/>
      <c r="R91" s="2926"/>
      <c r="S91" s="2926"/>
      <c r="T91" s="2926"/>
      <c r="U91" s="2926"/>
      <c r="V91" s="2926"/>
      <c r="W91" s="2926"/>
      <c r="X91" s="2926"/>
      <c r="Y91" s="2926"/>
      <c r="Z91" s="2926"/>
      <c r="AA91" s="2926"/>
      <c r="AB91" s="2926"/>
      <c r="AC91" s="2926"/>
      <c r="AD91" s="2926"/>
      <c r="AE91" s="292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34"/>
      <c r="O92" s="2934"/>
      <c r="P92" s="2958"/>
      <c r="Q92" s="2925"/>
      <c r="R92" s="2926"/>
      <c r="S92" s="2926"/>
      <c r="T92" s="2926"/>
      <c r="U92" s="2926"/>
      <c r="V92" s="2926"/>
      <c r="W92" s="2926"/>
      <c r="X92" s="2926"/>
      <c r="Y92" s="2926"/>
      <c r="Z92" s="2926"/>
      <c r="AA92" s="2926"/>
      <c r="AB92" s="2926"/>
      <c r="AC92" s="2926"/>
      <c r="AD92" s="2926"/>
      <c r="AE92" s="2926"/>
    </row>
    <row r="93" spans="1:31" s="430" customFormat="1" ht="15.75" thickTop="1">
      <c r="A93" s="510"/>
      <c r="B93" s="503" t="s">
        <v>2381</v>
      </c>
      <c r="C93" s="616" t="s">
        <v>2254</v>
      </c>
      <c r="D93" s="616" t="s">
        <v>2255</v>
      </c>
      <c r="E93" s="616" t="s">
        <v>2256</v>
      </c>
      <c r="F93" s="616" t="s">
        <v>2257</v>
      </c>
      <c r="G93" s="616" t="s">
        <v>2258</v>
      </c>
      <c r="H93" s="557"/>
      <c r="I93" s="557"/>
      <c r="J93" s="557"/>
      <c r="K93" s="557"/>
      <c r="L93" s="557"/>
      <c r="M93" s="559"/>
      <c r="N93" s="2934"/>
      <c r="O93" s="2934"/>
      <c r="P93" s="2958"/>
      <c r="Q93" s="2925"/>
      <c r="R93" s="2926"/>
      <c r="S93" s="2926"/>
      <c r="T93" s="2926"/>
      <c r="U93" s="2926"/>
      <c r="V93" s="2926"/>
      <c r="W93" s="2926"/>
      <c r="X93" s="2926"/>
      <c r="Y93" s="2926"/>
      <c r="Z93" s="2926"/>
      <c r="AA93" s="2926"/>
      <c r="AB93" s="2926"/>
      <c r="AC93" s="2926"/>
      <c r="AD93" s="2926"/>
      <c r="AE93" s="292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7"/>
      <c r="N94" s="2934"/>
      <c r="O94" s="2934"/>
      <c r="P94" s="2958"/>
      <c r="Q94" s="2925"/>
      <c r="R94" s="2926"/>
      <c r="S94" s="2926"/>
      <c r="T94" s="2926"/>
      <c r="U94" s="2926"/>
      <c r="V94" s="2926"/>
      <c r="W94" s="2926"/>
      <c r="X94" s="2926"/>
      <c r="Y94" s="2926"/>
      <c r="Z94" s="2926"/>
      <c r="AA94" s="2926"/>
      <c r="AB94" s="2926"/>
      <c r="AC94" s="2926"/>
      <c r="AD94" s="2926"/>
      <c r="AE94" s="2926"/>
    </row>
    <row r="95" spans="1:31" ht="15.75" thickTop="1">
      <c r="A95" s="491"/>
      <c r="B95" s="495" t="str">
        <f>B27</f>
        <v>临街状况</v>
      </c>
      <c r="C95" s="496" t="s">
        <v>2365</v>
      </c>
      <c r="D95" s="496" t="s">
        <v>2366</v>
      </c>
      <c r="E95" s="496" t="s">
        <v>2367</v>
      </c>
      <c r="F95" s="496" t="s">
        <v>2368</v>
      </c>
      <c r="G95" s="496"/>
      <c r="H95" s="496"/>
      <c r="I95" s="496"/>
      <c r="J95" s="496"/>
      <c r="K95" s="497"/>
      <c r="L95" s="498"/>
      <c r="M95" s="499"/>
      <c r="N95" s="2932"/>
      <c r="O95" s="2932"/>
      <c r="P95" s="2957"/>
      <c r="Q95" s="2918"/>
      <c r="R95" s="2904"/>
      <c r="S95" s="2904"/>
      <c r="T95" s="2904"/>
      <c r="U95" s="2904"/>
      <c r="V95" s="2904"/>
      <c r="W95" s="2904"/>
      <c r="X95" s="2904"/>
      <c r="Y95" s="2904"/>
      <c r="Z95" s="2904"/>
      <c r="AA95" s="2904"/>
      <c r="AB95" s="2904"/>
      <c r="AC95" s="2904"/>
      <c r="AD95" s="2904"/>
      <c r="AE95" s="290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33"/>
      <c r="O96" s="2933"/>
      <c r="P96" s="2957"/>
      <c r="Q96" s="2918"/>
      <c r="R96" s="2904"/>
      <c r="S96" s="2904"/>
      <c r="T96" s="2904"/>
      <c r="U96" s="2904"/>
      <c r="V96" s="2904"/>
      <c r="W96" s="2904"/>
      <c r="X96" s="2904"/>
      <c r="Y96" s="2904"/>
      <c r="Z96" s="2904"/>
      <c r="AA96" s="2904"/>
      <c r="AB96" s="2904"/>
      <c r="AC96" s="2904"/>
      <c r="AD96" s="2904"/>
      <c r="AE96" s="2904"/>
    </row>
    <row r="97" spans="1:31" ht="27.75" thickTop="1">
      <c r="A97" s="491"/>
      <c r="B97" s="495" t="s">
        <v>2270</v>
      </c>
      <c r="C97" s="511"/>
      <c r="D97" s="511"/>
      <c r="E97" s="511"/>
      <c r="F97" s="511"/>
      <c r="G97" s="511"/>
      <c r="H97" s="540"/>
      <c r="I97" s="540"/>
      <c r="J97" s="540"/>
      <c r="K97" s="541"/>
      <c r="L97" s="542"/>
      <c r="M97" s="543"/>
      <c r="N97" s="2932"/>
      <c r="O97" s="2932"/>
      <c r="P97" s="2957"/>
      <c r="Q97" s="2918"/>
      <c r="R97" s="2904"/>
      <c r="S97" s="2904"/>
      <c r="T97" s="2904"/>
      <c r="U97" s="2904"/>
      <c r="V97" s="2904"/>
      <c r="W97" s="2904"/>
      <c r="X97" s="2904"/>
      <c r="Y97" s="2904"/>
      <c r="Z97" s="2904"/>
      <c r="AA97" s="2904"/>
      <c r="AB97" s="2904"/>
      <c r="AC97" s="2904"/>
      <c r="AD97" s="2904"/>
      <c r="AE97" s="290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33"/>
      <c r="O98" s="2933"/>
      <c r="P98" s="2957"/>
      <c r="Q98" s="2918"/>
      <c r="R98" s="2904"/>
      <c r="S98" s="2904"/>
      <c r="T98" s="2904"/>
      <c r="U98" s="2904"/>
      <c r="V98" s="2904"/>
      <c r="W98" s="2904"/>
      <c r="X98" s="2904"/>
      <c r="Y98" s="2904"/>
      <c r="Z98" s="2904"/>
      <c r="AA98" s="2904"/>
      <c r="AB98" s="2904"/>
      <c r="AC98" s="2904"/>
      <c r="AD98" s="2904"/>
      <c r="AE98" s="2904"/>
    </row>
    <row r="99" spans="1:31" ht="15.75" thickTop="1">
      <c r="A99" s="491"/>
      <c r="B99" s="495" t="s">
        <v>2329</v>
      </c>
      <c r="C99" s="540"/>
      <c r="D99" s="540"/>
      <c r="E99" s="540"/>
      <c r="F99" s="540"/>
      <c r="G99" s="540"/>
      <c r="H99" s="540"/>
      <c r="I99" s="540"/>
      <c r="J99" s="540"/>
      <c r="K99" s="541"/>
      <c r="L99" s="542"/>
      <c r="M99" s="543"/>
      <c r="N99" s="2932"/>
      <c r="O99" s="2932"/>
      <c r="P99" s="2957"/>
      <c r="Q99" s="2918"/>
      <c r="R99" s="2904"/>
      <c r="S99" s="2904"/>
      <c r="T99" s="2904"/>
      <c r="U99" s="2904"/>
      <c r="V99" s="2904"/>
      <c r="W99" s="2904"/>
      <c r="X99" s="2904"/>
      <c r="Y99" s="2904"/>
      <c r="Z99" s="2904"/>
      <c r="AA99" s="2904"/>
      <c r="AB99" s="2904"/>
      <c r="AC99" s="2904"/>
      <c r="AD99" s="2904"/>
      <c r="AE99" s="290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33"/>
      <c r="O100" s="2933"/>
      <c r="P100" s="2957"/>
      <c r="Q100" s="2918"/>
      <c r="R100" s="2904"/>
      <c r="S100" s="2904"/>
      <c r="T100" s="2904"/>
      <c r="U100" s="2904"/>
      <c r="V100" s="2904"/>
      <c r="W100" s="2904"/>
      <c r="X100" s="2904"/>
      <c r="Y100" s="2904"/>
      <c r="Z100" s="2904"/>
      <c r="AA100" s="2904"/>
      <c r="AB100" s="2904"/>
      <c r="AC100" s="2904"/>
      <c r="AD100" s="2904"/>
      <c r="AE100" s="2904"/>
    </row>
    <row r="101" spans="1:31" ht="15.75" thickTop="1">
      <c r="A101" s="491"/>
      <c r="B101" s="503">
        <f>B31</f>
        <v>111</v>
      </c>
      <c r="C101" s="511"/>
      <c r="D101" s="511"/>
      <c r="E101" s="511"/>
      <c r="F101" s="511"/>
      <c r="G101" s="544"/>
      <c r="H101" s="544"/>
      <c r="I101" s="544"/>
      <c r="J101" s="544"/>
      <c r="K101" s="545"/>
      <c r="L101" s="546"/>
      <c r="M101" s="547"/>
      <c r="N101" s="2932"/>
      <c r="O101" s="2932"/>
      <c r="P101" s="2957"/>
      <c r="Q101" s="2918"/>
      <c r="R101" s="2904"/>
      <c r="S101" s="2904"/>
      <c r="T101" s="2904"/>
      <c r="U101" s="2904"/>
      <c r="V101" s="2904"/>
      <c r="W101" s="2904"/>
      <c r="X101" s="2904"/>
      <c r="Y101" s="2904"/>
      <c r="Z101" s="2904"/>
      <c r="AA101" s="2904"/>
      <c r="AB101" s="2904"/>
      <c r="AC101" s="2904"/>
      <c r="AD101" s="2904"/>
      <c r="AE101" s="2904"/>
    </row>
    <row r="102" spans="1:31" ht="15.75" thickBot="1">
      <c r="A102" s="491"/>
      <c r="B102" s="526"/>
      <c r="C102" s="517"/>
      <c r="D102" s="493"/>
      <c r="E102" s="493"/>
      <c r="F102" s="493"/>
      <c r="G102" s="548"/>
      <c r="H102" s="548"/>
      <c r="I102" s="548"/>
      <c r="J102" s="548"/>
      <c r="K102" s="548"/>
      <c r="L102" s="548"/>
      <c r="M102" s="549"/>
      <c r="N102" s="2933"/>
      <c r="O102" s="2933"/>
      <c r="P102" s="2957"/>
      <c r="Q102" s="2918"/>
      <c r="R102" s="2904"/>
      <c r="S102" s="2904"/>
      <c r="T102" s="2904"/>
      <c r="U102" s="2904"/>
      <c r="V102" s="2904"/>
      <c r="W102" s="2904"/>
      <c r="X102" s="2904"/>
      <c r="Y102" s="2904"/>
      <c r="Z102" s="2904"/>
      <c r="AA102" s="2904"/>
      <c r="AB102" s="2904"/>
      <c r="AC102" s="2904"/>
      <c r="AD102" s="2904"/>
      <c r="AE102" s="2904"/>
    </row>
    <row r="103" spans="1:31" ht="15" thickTop="1">
      <c r="A103" s="631"/>
      <c r="B103" s="495">
        <f>B32</f>
        <v>111</v>
      </c>
      <c r="C103" s="511"/>
      <c r="D103" s="511"/>
      <c r="E103" s="511"/>
      <c r="F103" s="511"/>
      <c r="G103" s="540"/>
      <c r="H103" s="540"/>
      <c r="I103" s="540"/>
      <c r="J103" s="540"/>
      <c r="K103" s="541"/>
      <c r="L103" s="542"/>
      <c r="M103" s="543"/>
      <c r="N103" s="2932"/>
      <c r="O103" s="2932"/>
      <c r="P103" s="2957"/>
      <c r="Q103" s="2918"/>
      <c r="R103" s="2904"/>
      <c r="S103" s="2904"/>
      <c r="T103" s="2904"/>
      <c r="U103" s="2904"/>
      <c r="V103" s="2904"/>
      <c r="W103" s="2904"/>
      <c r="X103" s="2904"/>
      <c r="Y103" s="2904"/>
      <c r="Z103" s="2904"/>
      <c r="AA103" s="2904"/>
      <c r="AB103" s="2904"/>
      <c r="AC103" s="2904"/>
      <c r="AD103" s="2904"/>
      <c r="AE103" s="2904"/>
    </row>
    <row r="104" spans="1:31" ht="15.75" thickBot="1">
      <c r="A104" s="491"/>
      <c r="B104" s="500"/>
      <c r="C104" s="517"/>
      <c r="D104" s="517"/>
      <c r="E104" s="517"/>
      <c r="F104" s="517"/>
      <c r="G104" s="493"/>
      <c r="H104" s="493"/>
      <c r="I104" s="493"/>
      <c r="J104" s="493"/>
      <c r="K104" s="493"/>
      <c r="L104" s="493"/>
      <c r="M104" s="494"/>
      <c r="N104" s="2933"/>
      <c r="O104" s="2933"/>
      <c r="P104" s="2957"/>
      <c r="Q104" s="2918"/>
      <c r="R104" s="2904"/>
      <c r="S104" s="2904"/>
      <c r="T104" s="2904"/>
      <c r="U104" s="2904"/>
      <c r="V104" s="2904"/>
      <c r="W104" s="2904"/>
      <c r="X104" s="2904"/>
      <c r="Y104" s="2904"/>
      <c r="Z104" s="2904"/>
      <c r="AA104" s="2904"/>
      <c r="AB104" s="2904"/>
      <c r="AC104" s="2904"/>
      <c r="AD104" s="2904"/>
      <c r="AE104" s="2904"/>
    </row>
    <row r="105" spans="1:31" s="430" customFormat="1" ht="15" thickTop="1">
      <c r="A105" s="550"/>
      <c r="B105" s="551">
        <f>B33</f>
        <v>111</v>
      </c>
      <c r="C105" s="480"/>
      <c r="D105" s="480"/>
      <c r="E105" s="480"/>
      <c r="F105" s="480"/>
      <c r="G105" s="552"/>
      <c r="H105" s="552"/>
      <c r="I105" s="552"/>
      <c r="J105" s="553"/>
      <c r="K105" s="553"/>
      <c r="L105" s="554"/>
      <c r="M105" s="555"/>
      <c r="N105" s="2934"/>
      <c r="O105" s="2934"/>
      <c r="P105" s="2958"/>
      <c r="Q105" s="2925"/>
      <c r="R105" s="2926"/>
      <c r="S105" s="2926"/>
      <c r="T105" s="2926"/>
      <c r="U105" s="2926"/>
      <c r="V105" s="2926"/>
      <c r="W105" s="2926"/>
      <c r="X105" s="2926"/>
      <c r="Y105" s="2926"/>
      <c r="Z105" s="2926"/>
      <c r="AA105" s="2926"/>
      <c r="AB105" s="2926"/>
      <c r="AC105" s="2926"/>
      <c r="AD105" s="2926"/>
      <c r="AE105" s="2926"/>
    </row>
    <row r="106" spans="1:31" s="430" customFormat="1" ht="15.75" thickBot="1">
      <c r="A106" s="510"/>
      <c r="B106" s="503"/>
      <c r="C106" s="527"/>
      <c r="D106" s="527"/>
      <c r="E106" s="527"/>
      <c r="F106" s="527"/>
      <c r="G106" s="633"/>
      <c r="H106" s="633"/>
      <c r="I106" s="633"/>
      <c r="J106" s="633"/>
      <c r="K106" s="633"/>
      <c r="L106" s="633"/>
      <c r="M106" s="655"/>
      <c r="N106" s="2933"/>
      <c r="O106" s="2933"/>
      <c r="P106" s="2958"/>
      <c r="Q106" s="2925"/>
      <c r="R106" s="2926"/>
      <c r="S106" s="2926"/>
      <c r="T106" s="2926"/>
      <c r="U106" s="2926"/>
      <c r="V106" s="2926"/>
      <c r="W106" s="2926"/>
      <c r="X106" s="2926"/>
      <c r="Y106" s="2926"/>
      <c r="Z106" s="2926"/>
      <c r="AA106" s="2926"/>
      <c r="AB106" s="2926"/>
      <c r="AC106" s="2926"/>
      <c r="AD106" s="2926"/>
      <c r="AE106" s="2926"/>
    </row>
    <row r="107" spans="1:31">
      <c r="A107" s="484" t="s">
        <v>2142</v>
      </c>
      <c r="B107" s="485" t="s">
        <v>2369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4" t="str">
        <f t="shared" si="25"/>
        <v>(含)-</v>
      </c>
      <c r="L107" s="1454" t="str">
        <f t="shared" si="25"/>
        <v>(含)-</v>
      </c>
      <c r="M107" s="1455" t="str">
        <f>M108&amp;"(含)"&amp;"-"&amp;P108</f>
        <v>(含)-</v>
      </c>
      <c r="N107" s="2932"/>
      <c r="O107" s="2932"/>
      <c r="P107" s="2957"/>
      <c r="Q107" s="2918"/>
      <c r="R107" s="2904"/>
      <c r="S107" s="2904"/>
      <c r="T107" s="2904"/>
      <c r="U107" s="2904"/>
      <c r="V107" s="2904"/>
      <c r="W107" s="2904"/>
      <c r="X107" s="2904"/>
      <c r="Y107" s="2904"/>
      <c r="Z107" s="2904"/>
      <c r="AA107" s="2904"/>
      <c r="AB107" s="2904"/>
      <c r="AC107" s="2904"/>
      <c r="AD107" s="2904"/>
      <c r="AE107" s="2904"/>
    </row>
    <row r="108" spans="1:31" ht="15">
      <c r="A108" s="491"/>
      <c r="B108" s="503"/>
      <c r="C108" s="552"/>
      <c r="D108" s="552"/>
      <c r="E108" s="552"/>
      <c r="F108" s="552"/>
      <c r="G108" s="552"/>
      <c r="H108" s="552"/>
      <c r="I108" s="552"/>
      <c r="J108" s="553"/>
      <c r="K108" s="553"/>
      <c r="L108" s="554"/>
      <c r="M108" s="555"/>
      <c r="N108" s="2932"/>
      <c r="O108" s="2932"/>
      <c r="P108" s="2957"/>
      <c r="Q108" s="2918"/>
      <c r="R108" s="2904"/>
      <c r="S108" s="2904"/>
      <c r="T108" s="2904"/>
      <c r="U108" s="2904"/>
      <c r="V108" s="2904"/>
      <c r="W108" s="2904"/>
      <c r="X108" s="2904"/>
      <c r="Y108" s="2904"/>
      <c r="Z108" s="2904"/>
      <c r="AA108" s="2904"/>
      <c r="AB108" s="2904"/>
      <c r="AC108" s="2904"/>
      <c r="AD108" s="2904"/>
      <c r="AE108" s="2904"/>
    </row>
    <row r="109" spans="1:31" ht="15.75" thickBot="1">
      <c r="A109" s="491"/>
      <c r="B109" s="500"/>
      <c r="C109" s="527"/>
      <c r="D109" s="548"/>
      <c r="E109" s="548"/>
      <c r="F109" s="548"/>
      <c r="G109" s="548"/>
      <c r="H109" s="548"/>
      <c r="I109" s="548"/>
      <c r="J109" s="548"/>
      <c r="K109" s="548"/>
      <c r="L109" s="548"/>
      <c r="M109" s="549"/>
      <c r="N109" s="2933"/>
      <c r="O109" s="2933"/>
      <c r="P109" s="2957"/>
      <c r="Q109" s="2918"/>
      <c r="R109" s="2904"/>
      <c r="S109" s="2904"/>
      <c r="T109" s="2904"/>
      <c r="U109" s="2904"/>
      <c r="V109" s="2904"/>
      <c r="W109" s="2904"/>
      <c r="X109" s="2904"/>
      <c r="Y109" s="2904"/>
      <c r="Z109" s="2904"/>
      <c r="AA109" s="2904"/>
      <c r="AB109" s="2904"/>
      <c r="AC109" s="2904"/>
      <c r="AD109" s="2904"/>
      <c r="AE109" s="2904"/>
    </row>
    <row r="110" spans="1:31" ht="15" thickTop="1">
      <c r="A110" s="556"/>
      <c r="B110" s="495" t="s">
        <v>2370</v>
      </c>
      <c r="C110" s="540"/>
      <c r="D110" s="540"/>
      <c r="E110" s="540"/>
      <c r="F110" s="540"/>
      <c r="G110" s="540"/>
      <c r="H110" s="540"/>
      <c r="I110" s="540"/>
      <c r="J110" s="540"/>
      <c r="K110" s="541"/>
      <c r="L110" s="542"/>
      <c r="M110" s="543"/>
      <c r="N110" s="2932"/>
      <c r="O110" s="2932"/>
      <c r="P110" s="2957"/>
      <c r="Q110" s="2918"/>
      <c r="R110" s="2904"/>
      <c r="S110" s="2904"/>
      <c r="T110" s="2904"/>
      <c r="U110" s="2904"/>
      <c r="V110" s="2904"/>
      <c r="W110" s="2904"/>
      <c r="X110" s="2904"/>
      <c r="Y110" s="2904"/>
      <c r="Z110" s="2904"/>
      <c r="AA110" s="2904"/>
      <c r="AB110" s="2904"/>
      <c r="AC110" s="2904"/>
      <c r="AD110" s="2904"/>
      <c r="AE110" s="290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33"/>
      <c r="O111" s="2933"/>
      <c r="P111" s="2957"/>
      <c r="Q111" s="2918"/>
      <c r="R111" s="2904"/>
      <c r="S111" s="2904"/>
      <c r="T111" s="2904"/>
      <c r="U111" s="2904"/>
      <c r="V111" s="2904"/>
      <c r="W111" s="2904"/>
      <c r="X111" s="2904"/>
      <c r="Y111" s="2904"/>
      <c r="Z111" s="2904"/>
      <c r="AA111" s="2904"/>
      <c r="AB111" s="2904"/>
      <c r="AC111" s="2904"/>
      <c r="AD111" s="2904"/>
      <c r="AE111" s="2904"/>
    </row>
    <row r="112" spans="1:31" s="430" customFormat="1" ht="15" thickTop="1">
      <c r="A112" s="550"/>
      <c r="B112" s="495" t="s">
        <v>2372</v>
      </c>
      <c r="C112" s="511"/>
      <c r="D112" s="511"/>
      <c r="E112" s="511"/>
      <c r="F112" s="511"/>
      <c r="G112" s="511"/>
      <c r="H112" s="540"/>
      <c r="I112" s="540"/>
      <c r="J112" s="540"/>
      <c r="K112" s="541"/>
      <c r="L112" s="542"/>
      <c r="M112" s="543"/>
      <c r="N112" s="2934"/>
      <c r="O112" s="2934"/>
      <c r="P112" s="2958"/>
      <c r="Q112" s="2925"/>
      <c r="R112" s="2926"/>
      <c r="S112" s="2926"/>
      <c r="T112" s="2926"/>
      <c r="U112" s="2926"/>
      <c r="V112" s="2926"/>
      <c r="W112" s="2926"/>
      <c r="X112" s="2926"/>
      <c r="Y112" s="2926"/>
      <c r="Z112" s="2926"/>
      <c r="AA112" s="2926"/>
      <c r="AB112" s="2926"/>
      <c r="AC112" s="2926"/>
      <c r="AD112" s="2926"/>
      <c r="AE112" s="292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34"/>
      <c r="O113" s="2934"/>
      <c r="P113" s="2958"/>
      <c r="Q113" s="2925"/>
      <c r="R113" s="2926"/>
      <c r="S113" s="2926"/>
      <c r="T113" s="2926"/>
      <c r="U113" s="2926"/>
      <c r="V113" s="2926"/>
      <c r="W113" s="2926"/>
      <c r="X113" s="2926"/>
      <c r="Y113" s="2926"/>
      <c r="Z113" s="2926"/>
      <c r="AA113" s="2926"/>
      <c r="AB113" s="2926"/>
      <c r="AC113" s="2926"/>
      <c r="AD113" s="2926"/>
      <c r="AE113" s="2926"/>
    </row>
    <row r="114" spans="1:31" ht="15" thickTop="1">
      <c r="A114" s="556"/>
      <c r="B114" s="495" t="s">
        <v>2373</v>
      </c>
      <c r="C114" s="511"/>
      <c r="D114" s="511"/>
      <c r="E114" s="540"/>
      <c r="F114" s="540"/>
      <c r="G114" s="540"/>
      <c r="H114" s="540"/>
      <c r="I114" s="540"/>
      <c r="J114" s="540"/>
      <c r="K114" s="541"/>
      <c r="L114" s="542"/>
      <c r="M114" s="543"/>
      <c r="N114" s="2932"/>
      <c r="O114" s="2932"/>
      <c r="P114" s="2957"/>
      <c r="Q114" s="2918"/>
      <c r="R114" s="2904"/>
      <c r="S114" s="2904"/>
      <c r="T114" s="2904"/>
      <c r="U114" s="2904"/>
      <c r="V114" s="2904"/>
      <c r="W114" s="2904"/>
      <c r="X114" s="2904"/>
      <c r="Y114" s="2904"/>
      <c r="Z114" s="2904"/>
      <c r="AA114" s="2904"/>
      <c r="AB114" s="2904"/>
      <c r="AC114" s="2904"/>
      <c r="AD114" s="2904"/>
      <c r="AE114" s="290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33"/>
      <c r="O115" s="2933"/>
      <c r="P115" s="2957"/>
      <c r="Q115" s="2918"/>
      <c r="R115" s="2904"/>
      <c r="S115" s="2904"/>
      <c r="T115" s="2904"/>
      <c r="U115" s="2904"/>
      <c r="V115" s="2904"/>
      <c r="W115" s="2904"/>
      <c r="X115" s="2904"/>
      <c r="Y115" s="2904"/>
      <c r="Z115" s="2904"/>
      <c r="AA115" s="2904"/>
      <c r="AB115" s="2904"/>
      <c r="AC115" s="2904"/>
      <c r="AD115" s="2904"/>
      <c r="AE115" s="2904"/>
    </row>
    <row r="116" spans="1:31" ht="15" thickTop="1">
      <c r="A116" s="556"/>
      <c r="B116" s="495">
        <f>B38</f>
        <v>111</v>
      </c>
      <c r="C116" s="511"/>
      <c r="D116" s="511"/>
      <c r="E116" s="511"/>
      <c r="F116" s="511"/>
      <c r="G116" s="511"/>
      <c r="H116" s="540"/>
      <c r="I116" s="540"/>
      <c r="J116" s="540"/>
      <c r="K116" s="541"/>
      <c r="L116" s="542"/>
      <c r="M116" s="543"/>
      <c r="N116" s="2932"/>
      <c r="O116" s="2932"/>
      <c r="P116" s="2957"/>
      <c r="Q116" s="2918"/>
      <c r="R116" s="2904"/>
      <c r="S116" s="2904"/>
      <c r="T116" s="2904"/>
      <c r="U116" s="2904"/>
      <c r="V116" s="2904"/>
      <c r="W116" s="2904"/>
      <c r="X116" s="2904"/>
      <c r="Y116" s="2904"/>
      <c r="Z116" s="2904"/>
      <c r="AA116" s="2904"/>
      <c r="AB116" s="2904"/>
      <c r="AC116" s="2904"/>
      <c r="AD116" s="2904"/>
      <c r="AE116" s="2904"/>
    </row>
    <row r="117" spans="1:31" ht="15.75" thickBot="1">
      <c r="A117" s="491"/>
      <c r="B117" s="500"/>
      <c r="C117" s="517"/>
      <c r="D117" s="493"/>
      <c r="E117" s="493"/>
      <c r="F117" s="493"/>
      <c r="G117" s="493"/>
      <c r="H117" s="493"/>
      <c r="I117" s="493"/>
      <c r="J117" s="493"/>
      <c r="K117" s="493"/>
      <c r="L117" s="493"/>
      <c r="M117" s="494"/>
      <c r="N117" s="2933"/>
      <c r="O117" s="2933"/>
      <c r="P117" s="2957"/>
      <c r="Q117" s="2918"/>
      <c r="R117" s="2904"/>
      <c r="S117" s="2904"/>
      <c r="T117" s="2904"/>
      <c r="U117" s="2904"/>
      <c r="V117" s="2904"/>
      <c r="W117" s="2904"/>
      <c r="X117" s="2904"/>
      <c r="Y117" s="2904"/>
      <c r="Z117" s="2904"/>
      <c r="AA117" s="2904"/>
      <c r="AB117" s="2904"/>
      <c r="AC117" s="2904"/>
      <c r="AD117" s="2904"/>
      <c r="AE117" s="2904"/>
    </row>
    <row r="118" spans="1:31" ht="15" thickTop="1">
      <c r="A118" s="556"/>
      <c r="B118" s="495">
        <f>B39</f>
        <v>111</v>
      </c>
      <c r="C118" s="511"/>
      <c r="D118" s="511"/>
      <c r="E118" s="511"/>
      <c r="F118" s="511"/>
      <c r="G118" s="540"/>
      <c r="H118" s="540"/>
      <c r="I118" s="540"/>
      <c r="J118" s="540"/>
      <c r="K118" s="541"/>
      <c r="L118" s="542"/>
      <c r="M118" s="543"/>
      <c r="N118" s="2932"/>
      <c r="O118" s="2932"/>
      <c r="P118" s="2957"/>
      <c r="Q118" s="2918"/>
      <c r="R118" s="2904"/>
      <c r="S118" s="2904"/>
      <c r="T118" s="2904"/>
      <c r="U118" s="2904"/>
      <c r="V118" s="2904"/>
      <c r="W118" s="2904"/>
      <c r="X118" s="2904"/>
      <c r="Y118" s="2904"/>
      <c r="Z118" s="2904"/>
      <c r="AA118" s="2904"/>
      <c r="AB118" s="2904"/>
      <c r="AC118" s="2904"/>
      <c r="AD118" s="2904"/>
      <c r="AE118" s="2904"/>
    </row>
    <row r="119" spans="1:31" ht="15.75" thickBot="1">
      <c r="A119" s="491"/>
      <c r="B119" s="500"/>
      <c r="C119" s="517"/>
      <c r="D119" s="517"/>
      <c r="E119" s="517"/>
      <c r="F119" s="517"/>
      <c r="G119" s="493"/>
      <c r="H119" s="493"/>
      <c r="I119" s="493"/>
      <c r="J119" s="493"/>
      <c r="K119" s="493"/>
      <c r="L119" s="493"/>
      <c r="M119" s="494"/>
      <c r="N119" s="2933"/>
      <c r="O119" s="2933"/>
      <c r="P119" s="2957"/>
      <c r="Q119" s="2918"/>
      <c r="R119" s="2904"/>
      <c r="S119" s="2904"/>
      <c r="T119" s="2904"/>
      <c r="U119" s="2904"/>
      <c r="V119" s="2904"/>
      <c r="W119" s="2904"/>
      <c r="X119" s="2904"/>
      <c r="Y119" s="2904"/>
      <c r="Z119" s="2904"/>
      <c r="AA119" s="2904"/>
      <c r="AB119" s="2904"/>
      <c r="AC119" s="2904"/>
      <c r="AD119" s="2904"/>
      <c r="AE119" s="2904"/>
    </row>
    <row r="120" spans="1:31" s="430" customFormat="1" ht="15" thickTop="1">
      <c r="A120" s="550"/>
      <c r="B120" s="495">
        <f>B40</f>
        <v>111</v>
      </c>
      <c r="C120" s="480"/>
      <c r="D120" s="480"/>
      <c r="E120" s="480"/>
      <c r="F120" s="480"/>
      <c r="G120" s="512"/>
      <c r="H120" s="512"/>
      <c r="I120" s="512"/>
      <c r="J120" s="512"/>
      <c r="K120" s="512"/>
      <c r="L120" s="513"/>
      <c r="M120" s="514"/>
      <c r="N120" s="2934"/>
      <c r="O120" s="2934"/>
      <c r="P120" s="2958"/>
      <c r="Q120" s="2925"/>
      <c r="R120" s="2926"/>
      <c r="S120" s="2926"/>
      <c r="T120" s="2926"/>
      <c r="U120" s="2926"/>
      <c r="V120" s="2926"/>
      <c r="W120" s="2926"/>
      <c r="X120" s="2926"/>
      <c r="Y120" s="2926"/>
      <c r="Z120" s="2926"/>
      <c r="AA120" s="2926"/>
      <c r="AB120" s="2926"/>
      <c r="AC120" s="2926"/>
      <c r="AD120" s="2926"/>
      <c r="AE120" s="2926"/>
    </row>
    <row r="121" spans="1:31" s="430" customFormat="1" ht="15.75" thickBot="1">
      <c r="A121" s="525"/>
      <c r="B121" s="656"/>
      <c r="C121" s="527"/>
      <c r="D121" s="527"/>
      <c r="E121" s="527"/>
      <c r="F121" s="527"/>
      <c r="G121" s="548"/>
      <c r="H121" s="548"/>
      <c r="I121" s="548"/>
      <c r="J121" s="548"/>
      <c r="K121" s="548"/>
      <c r="L121" s="548"/>
      <c r="M121" s="549"/>
      <c r="N121" s="2934"/>
      <c r="O121" s="2934"/>
      <c r="P121" s="2958"/>
      <c r="Q121" s="2925"/>
      <c r="R121" s="2926"/>
      <c r="S121" s="2926"/>
      <c r="T121" s="2926"/>
      <c r="U121" s="2926"/>
      <c r="V121" s="2926"/>
      <c r="W121" s="2926"/>
      <c r="X121" s="2926"/>
      <c r="Y121" s="2926"/>
      <c r="Z121" s="2926"/>
      <c r="AA121" s="2926"/>
      <c r="AB121" s="2926"/>
      <c r="AC121" s="2926"/>
      <c r="AD121" s="2926"/>
      <c r="AE121" s="2926"/>
    </row>
    <row r="122" spans="1:31">
      <c r="N122" s="2904"/>
      <c r="O122" s="2904"/>
      <c r="P122" s="2904"/>
      <c r="Q122" s="2904"/>
      <c r="R122" s="2904"/>
      <c r="S122" s="2904"/>
      <c r="T122" s="2904"/>
      <c r="U122" s="2904"/>
      <c r="V122" s="2904"/>
      <c r="W122" s="2904"/>
      <c r="X122" s="2904"/>
      <c r="Y122" s="2904"/>
      <c r="Z122" s="2904"/>
      <c r="AA122" s="2904"/>
      <c r="AB122" s="2904"/>
      <c r="AC122" s="2904"/>
      <c r="AD122" s="2904"/>
      <c r="AE122" s="2904"/>
    </row>
    <row r="123" spans="1:31">
      <c r="P123" s="2904"/>
      <c r="Q123" s="2904"/>
      <c r="R123" s="2904"/>
      <c r="S123" s="2904"/>
      <c r="T123" s="2904"/>
      <c r="U123" s="2904"/>
      <c r="V123" s="2904"/>
      <c r="W123" s="2904"/>
      <c r="X123" s="2904"/>
      <c r="Y123" s="2904"/>
      <c r="Z123" s="2904"/>
      <c r="AA123" s="2904"/>
      <c r="AB123" s="2904"/>
      <c r="AC123" s="2904"/>
      <c r="AD123" s="2904"/>
      <c r="AE123" s="2904"/>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201" customWidth="1"/>
    <col min="2" max="2" width="19.25" style="2304" customWidth="1"/>
    <col min="3" max="4" width="12" style="2135"/>
    <col min="5" max="5" width="14.625" style="2135" customWidth="1"/>
    <col min="6" max="8" width="12" style="2135"/>
    <col min="9" max="9" width="12.25" style="2135" bestFit="1" customWidth="1"/>
    <col min="10" max="10" width="12" style="2135"/>
    <col min="11" max="11" width="8.125" style="2196" customWidth="1"/>
    <col min="12" max="12" width="12" style="2135"/>
    <col min="13" max="13" width="8.5" style="2135" customWidth="1"/>
    <col min="14" max="14" width="9.75" style="2135" customWidth="1"/>
    <col min="15" max="25" width="12" style="2135"/>
    <col min="26" max="26" width="9.375" style="2201" customWidth="1"/>
    <col min="27" max="32" width="9.375" style="1235" customWidth="1"/>
    <col min="33" max="36" width="9.375" style="2201" customWidth="1"/>
    <col min="37" max="38" width="9.375" style="2135" customWidth="1"/>
    <col min="39" max="16384" width="12" style="2135"/>
  </cols>
  <sheetData>
    <row r="1" spans="1:36" ht="28.5">
      <c r="A1" s="202" t="s">
        <v>2382</v>
      </c>
      <c r="B1" s="203"/>
      <c r="C1" s="207" t="s">
        <v>2383</v>
      </c>
      <c r="D1" s="348">
        <f>SUM(D29:D30,D33:D39)</f>
        <v>0</v>
      </c>
      <c r="E1" s="2132"/>
      <c r="F1" s="2132"/>
      <c r="G1" s="2132"/>
      <c r="H1" s="2132"/>
      <c r="I1" s="2132"/>
      <c r="J1" s="2132"/>
      <c r="K1" s="1233"/>
      <c r="L1" s="2133" t="s">
        <v>2384</v>
      </c>
      <c r="M1" s="975">
        <f>SUMPRODUCT((区片价!B5:B9=I2)*(区片价!C3:F3=E2)*(区片价!C5:F9))</f>
        <v>0</v>
      </c>
      <c r="N1" s="978">
        <f>SUMPRODUCT((因素修正幅度!B5:B9=I2)*(因素修正幅度!C3:F3=E2)*(因素修正幅度!C5:F9))</f>
        <v>0</v>
      </c>
      <c r="O1" s="2134"/>
      <c r="P1" s="2134"/>
      <c r="Q1" s="1233"/>
      <c r="R1" s="1327" t="s">
        <v>2385</v>
      </c>
      <c r="S1" s="1327" t="s">
        <v>2386</v>
      </c>
      <c r="T1" s="1327" t="s">
        <v>2387</v>
      </c>
      <c r="U1" s="1327" t="s">
        <v>2388</v>
      </c>
      <c r="V1" s="1327" t="s">
        <v>2389</v>
      </c>
      <c r="W1" s="1331"/>
      <c r="X1" s="1331"/>
      <c r="Y1" s="1331"/>
      <c r="Z1" s="1331"/>
      <c r="AA1" s="1331"/>
      <c r="AB1" s="1331"/>
      <c r="AC1" s="1332"/>
      <c r="AD1" s="1333"/>
      <c r="AE1" s="1333"/>
      <c r="AF1" s="1333"/>
      <c r="AG1" s="1333"/>
      <c r="AH1" s="1333"/>
      <c r="AI1" s="1333"/>
      <c r="AJ1" s="1334"/>
    </row>
    <row r="2" spans="1:36" ht="15.75">
      <c r="A2" s="207" t="s">
        <v>2390</v>
      </c>
      <c r="B2" s="210" t="e">
        <f>C26</f>
        <v>#DIV/0!</v>
      </c>
      <c r="C2" s="2136" t="s">
        <v>2391</v>
      </c>
      <c r="D2" s="2137" t="s">
        <v>2392</v>
      </c>
      <c r="E2" s="2138"/>
      <c r="F2" s="2137" t="s">
        <v>2393</v>
      </c>
      <c r="G2" s="2139">
        <f>IF(E2="商业",项目基本情况!B37,IF(E2="办公",项目基本情况!C37,IF(E2="住宅",项目基本情况!D37,项目基本情况!E37)))</f>
        <v>0</v>
      </c>
      <c r="H2" s="2137" t="s">
        <v>2394</v>
      </c>
      <c r="I2" s="2139">
        <f>IF(E2="商业",项目基本情况!B38,IF(E2="办公",项目基本情况!C38,IF(E2="住宅",项目基本情况!D38,项目基本情况!E38)))</f>
        <v>0</v>
      </c>
      <c r="J2" s="2140"/>
      <c r="K2" s="1233"/>
      <c r="L2" s="2141" t="s">
        <v>2395</v>
      </c>
      <c r="M2" s="976">
        <f>SUMPRODUCT((区片价!B10:B28=I2)*(区片价!C3:F3=E2)*(区片价!C10:F28))</f>
        <v>0</v>
      </c>
      <c r="N2" s="978">
        <f>SUMPRODUCT((因素修正幅度!B10:B28=I2)*(因素修正幅度!C3:F3=E2)*(因素修正幅度!C10:F28))</f>
        <v>0</v>
      </c>
      <c r="O2" s="1233"/>
      <c r="P2" s="1233"/>
      <c r="Q2" s="1233"/>
      <c r="R2" s="1327">
        <v>1</v>
      </c>
      <c r="S2" s="1327" t="e">
        <f>ROUND(IF(G3&gt;1,IF(R2&lt;7,SUMPRODUCT((B93:B98=R2)*(C92:N92=G2)*(C93:N98)),SUMIF(C92:N92,G2,C100:N100)),IF(R2&lt;7,SUMPRODUCT((B102:B107=R2)*(C92:N92=G2)*(C102:N107)),SUMIF(C92:N92,G2,C109:N109))),4)</f>
        <v>#DIV/0!</v>
      </c>
      <c r="T2" s="1327" t="e">
        <f>ROUND($C$5*$C$18*$C$19*$C$20*S2*$C$24,0)</f>
        <v>#DIV/0!</v>
      </c>
      <c r="U2" s="1328"/>
      <c r="V2" s="1327" t="e">
        <f>ROUND(T2*U2/10000,0)</f>
        <v>#DIV/0!</v>
      </c>
      <c r="W2" s="1331"/>
      <c r="X2" s="1331"/>
      <c r="Y2" s="1331"/>
      <c r="Z2" s="1331"/>
      <c r="AA2" s="1331"/>
      <c r="AB2" s="1331"/>
      <c r="AC2" s="1332"/>
      <c r="AD2" s="1333"/>
      <c r="AE2" s="1333"/>
      <c r="AF2" s="1333"/>
      <c r="AG2" s="1333"/>
      <c r="AH2" s="1333"/>
      <c r="AI2" s="1333"/>
      <c r="AJ2" s="1334"/>
    </row>
    <row r="3" spans="1:36" ht="15.75">
      <c r="A3" s="209" t="s">
        <v>2396</v>
      </c>
      <c r="B3" s="210" t="e">
        <f>ROUND(B2*10000/D1,0)</f>
        <v>#DIV/0!</v>
      </c>
      <c r="C3" s="2136" t="s">
        <v>2397</v>
      </c>
      <c r="D3" s="2137" t="s">
        <v>2398</v>
      </c>
      <c r="E3" s="2142"/>
      <c r="F3" s="2143" t="s">
        <v>2399</v>
      </c>
      <c r="G3" s="837" t="e">
        <f>IF(F3="宗地容积率",'数据-汇总表'!I4,IF(F3="估价对象容积率",'数据-汇总表'!I6,'数据-汇总表'!I7))</f>
        <v>#DIV/0!</v>
      </c>
      <c r="H3" s="175" t="s">
        <v>2400</v>
      </c>
      <c r="I3" s="862"/>
      <c r="J3" s="2140" t="s">
        <v>2401</v>
      </c>
      <c r="K3" s="1233"/>
      <c r="L3" s="2141" t="s">
        <v>2402</v>
      </c>
      <c r="M3" s="976">
        <f>SUMPRODUCT((区片价!B29:B48=I2)*(区片价!C3:F3=E2)*(区片价!C29:F48))</f>
        <v>0</v>
      </c>
      <c r="N3" s="978">
        <f>SUMPRODUCT((因素修正幅度!B29:B48=I2)*(因素修正幅度!C3:F3=E2)*(因素修正幅度!C29:F48))</f>
        <v>0</v>
      </c>
      <c r="O3" s="1233"/>
      <c r="P3" s="1233"/>
      <c r="Q3" s="1233"/>
      <c r="R3" s="1327">
        <v>2</v>
      </c>
      <c r="S3" s="1327" t="e">
        <f>ROUND(IF(G3&gt;1,IF(R3&lt;7,SUMPRODUCT((B93:B98=R3)*(C92:N92=G2)*(C93:N98)),SUMIF(C92:N92,G2,C100:N100)),IF(R3&lt;7,SUMPRODUCT((B102:B107=R3)*(C92:N92=G2)*(C102:N107)),SUMIF(C92:N92,G2,C109:N109))),4)</f>
        <v>#DIV/0!</v>
      </c>
      <c r="T3" s="1327" t="e">
        <f t="shared" ref="T3:T16" si="0">ROUND($C$5*$C$18*$C$19*$C$20*S3*$C$24,0)</f>
        <v>#DIV/0!</v>
      </c>
      <c r="U3" s="1328"/>
      <c r="V3" s="1327" t="e">
        <f t="shared" ref="V3:V16" si="1">ROUND(T3*U3/10000,0)</f>
        <v>#DIV/0!</v>
      </c>
      <c r="W3" s="1331"/>
      <c r="X3" s="1331"/>
      <c r="Y3" s="1331"/>
      <c r="Z3" s="1331"/>
      <c r="AA3" s="1331"/>
      <c r="AB3" s="1331"/>
      <c r="AC3" s="1332"/>
      <c r="AD3" s="1333"/>
      <c r="AE3" s="1333"/>
      <c r="AF3" s="1333"/>
      <c r="AG3" s="1333"/>
      <c r="AH3" s="1333"/>
      <c r="AI3" s="1333"/>
      <c r="AJ3" s="1334"/>
    </row>
    <row r="4" spans="1:36" ht="15.75">
      <c r="A4" s="3539"/>
      <c r="B4" s="3540"/>
      <c r="C4" s="3540"/>
      <c r="D4" s="3541"/>
      <c r="E4" s="3541"/>
      <c r="F4" s="3541"/>
      <c r="G4" s="3541"/>
      <c r="H4" s="3541"/>
      <c r="I4" s="3541"/>
      <c r="J4" s="3542"/>
      <c r="K4" s="1233"/>
      <c r="L4" s="2141" t="s">
        <v>2403</v>
      </c>
      <c r="M4" s="976">
        <f>SUMPRODUCT((区片价!B49:B75=I2)*(区片价!C3:F3=E2)*(区片价!C49:F75))</f>
        <v>0</v>
      </c>
      <c r="N4" s="978">
        <f>SUMPRODUCT((因素修正幅度!B49:B75=I2)*(因素修正幅度!C3:F3=E2)*(因素修正幅度!C49:F75))</f>
        <v>0</v>
      </c>
      <c r="O4" s="1233"/>
      <c r="P4" s="1233"/>
      <c r="Q4" s="1233"/>
      <c r="R4" s="1327">
        <v>3</v>
      </c>
      <c r="S4" s="1327" t="e">
        <f>ROUND(IF(G3&gt;1,IF(R4&lt;7,SUMPRODUCT((B93:B98=R4)*(C92:N92=G2)*(C93:N98)),SUMIF(C92:N92,G2,C100:N100)),IF(R4&lt;7,SUMPRODUCT((B102:B107=R4)*(C92:N92=G2)*(C102:N107)),SUMIF(C92:N92,G2,C109:N109))),4)</f>
        <v>#DIV/0!</v>
      </c>
      <c r="T4" s="1327" t="e">
        <f t="shared" si="0"/>
        <v>#DIV/0!</v>
      </c>
      <c r="U4" s="1328"/>
      <c r="V4" s="1327" t="e">
        <f t="shared" si="1"/>
        <v>#DIV/0!</v>
      </c>
      <c r="W4" s="1331"/>
      <c r="X4" s="1331"/>
      <c r="Y4" s="1331"/>
      <c r="Z4" s="1331"/>
      <c r="AA4" s="1331"/>
      <c r="AB4" s="1331"/>
      <c r="AC4" s="1332"/>
      <c r="AD4" s="1333"/>
      <c r="AE4" s="1333"/>
      <c r="AF4" s="1333"/>
      <c r="AG4" s="1333"/>
      <c r="AH4" s="1333"/>
      <c r="AI4" s="1333"/>
      <c r="AJ4" s="1334"/>
    </row>
    <row r="5" spans="1:36" s="2153" customFormat="1" ht="15.75" thickBot="1">
      <c r="A5" s="2144" t="s">
        <v>626</v>
      </c>
      <c r="B5" s="2145" t="s">
        <v>2404</v>
      </c>
      <c r="C5" s="838" t="e">
        <f>ROUND(IF(E2="商业",C6*C7+C16,(IF(E2="住宅",C6*C12+C16,C6+C16))),0)</f>
        <v>#DIV/0!</v>
      </c>
      <c r="D5" s="1474" t="e">
        <f>ROUND(C6+C16,0)</f>
        <v>#DIV/0!</v>
      </c>
      <c r="E5" s="1474"/>
      <c r="F5" s="2146"/>
      <c r="G5" s="2147"/>
      <c r="H5" s="2147"/>
      <c r="I5" s="2147"/>
      <c r="J5" s="2148"/>
      <c r="K5" s="2149"/>
      <c r="L5" s="2141" t="s">
        <v>2405</v>
      </c>
      <c r="M5" s="976">
        <f>SUMPRODUCT((区片价!B76:B109=I2)*(区片价!C3:F3=E2)*(区片价!C76:F109))</f>
        <v>0</v>
      </c>
      <c r="N5" s="978">
        <f>SUMPRODUCT((因素修正幅度!B76:B109=I2)*(因素修正幅度!C3:F3=E2)*(因素修正幅度!C76:F109))</f>
        <v>0</v>
      </c>
      <c r="O5" s="1233"/>
      <c r="P5" s="1233"/>
      <c r="Q5" s="1233"/>
      <c r="R5" s="1327">
        <v>4</v>
      </c>
      <c r="S5" s="1327" t="e">
        <f>ROUND(IF(G3&gt;1,IF(R5&lt;7,SUMPRODUCT((B93:B98=R5)*(C92:N92=G2)*(C93:N98)),SUMIF(C92:N92,G2,C100:N100)),IF(R5&lt;7,SUMPRODUCT((B102:B107=R5)*(C92:N92=G2)*(C102:N107)),SUMIF(C92:N92,G2,C109:N109))),4)</f>
        <v>#DIV/0!</v>
      </c>
      <c r="T5" s="1327" t="e">
        <f t="shared" si="0"/>
        <v>#DIV/0!</v>
      </c>
      <c r="U5" s="1328"/>
      <c r="V5" s="1327" t="e">
        <f t="shared" si="1"/>
        <v>#DIV/0!</v>
      </c>
      <c r="W5" s="1331"/>
      <c r="X5" s="1331"/>
      <c r="Y5" s="1331"/>
      <c r="Z5" s="1331"/>
      <c r="AA5" s="1331"/>
      <c r="AB5" s="1331"/>
      <c r="AC5" s="2150"/>
      <c r="AD5" s="2151"/>
      <c r="AE5" s="2151"/>
      <c r="AF5" s="2151"/>
      <c r="AG5" s="2151"/>
      <c r="AH5" s="2151"/>
      <c r="AI5" s="2151"/>
      <c r="AJ5" s="2152"/>
    </row>
    <row r="6" spans="1:36" ht="15.75" thickBot="1">
      <c r="A6" s="2154" t="s">
        <v>2406</v>
      </c>
      <c r="B6" s="2155" t="s">
        <v>2407</v>
      </c>
      <c r="C6" s="839">
        <f>SUMIF(L1:L12,G2,M1:M12)</f>
        <v>0</v>
      </c>
      <c r="D6" s="2156" t="s">
        <v>2408</v>
      </c>
      <c r="E6" s="2157"/>
      <c r="F6" s="2157"/>
      <c r="G6" s="2158"/>
      <c r="H6" s="2158"/>
      <c r="I6" s="2158"/>
      <c r="J6" s="2159"/>
      <c r="K6" s="1519"/>
      <c r="L6" s="2141" t="s">
        <v>2409</v>
      </c>
      <c r="M6" s="976">
        <f>SUMPRODUCT((区片价!B110:B157=I2)*(区片价!C3:F3=E2)*(区片价!C110:F157))</f>
        <v>0</v>
      </c>
      <c r="N6" s="978">
        <f>SUMPRODUCT((因素修正幅度!B110:B157=I2)*(因素修正幅度!C3:F3=E2)*(因素修正幅度!C110:F157))</f>
        <v>0</v>
      </c>
      <c r="O6" s="1233"/>
      <c r="P6" s="1233"/>
      <c r="Q6" s="1233"/>
      <c r="R6" s="1327">
        <v>5</v>
      </c>
      <c r="S6" s="1327" t="e">
        <f>ROUND(IF(G3&gt;1,IF(R6&lt;7,SUMPRODUCT((B93:B98=R6)*(C92:N92=G2)*(C93:N98)),SUMIF(C92:N92,G2,C100:N100)),IF(R6&lt;7,SUMPRODUCT((B102:B107=R6)*(C92:N92=G2)*(C102:N107)),SUMIF(C92:N92,G2,C109:N109))),4)</f>
        <v>#DIV/0!</v>
      </c>
      <c r="T6" s="1327" t="e">
        <f t="shared" si="0"/>
        <v>#DIV/0!</v>
      </c>
      <c r="U6" s="1328"/>
      <c r="V6" s="1327" t="e">
        <f t="shared" si="1"/>
        <v>#DIV/0!</v>
      </c>
      <c r="W6" s="1331"/>
      <c r="X6" s="1331"/>
      <c r="Y6" s="1331"/>
      <c r="Z6" s="1331"/>
      <c r="AA6" s="1331"/>
      <c r="AB6" s="1331"/>
      <c r="AC6" s="2150"/>
      <c r="AD6" s="2151"/>
      <c r="AE6" s="2151"/>
      <c r="AF6" s="2151"/>
      <c r="AG6" s="2151"/>
      <c r="AH6" s="2151"/>
      <c r="AI6" s="2151"/>
      <c r="AJ6" s="2152"/>
    </row>
    <row r="7" spans="1:36" ht="24">
      <c r="A7" s="3520" t="str">
        <f>IF(E2="商业",IF(C8="不临58条商业街","",2),"")</f>
        <v/>
      </c>
      <c r="B7" s="2160" t="s">
        <v>2410</v>
      </c>
      <c r="C7" s="840" t="e">
        <f>IF(C8="不临58条商业街",1,ROUND(1+(1.6*E8+1.2*E9+0.8*E10+0.4*E11)*C9,4))</f>
        <v>#DIV/0!</v>
      </c>
      <c r="D7" s="2161" t="s">
        <v>2411</v>
      </c>
      <c r="E7" s="863"/>
      <c r="F7" s="2162"/>
      <c r="G7" s="2163"/>
      <c r="H7" s="2163"/>
      <c r="I7" s="2163"/>
      <c r="J7" s="2164"/>
      <c r="K7" s="1519"/>
      <c r="L7" s="2141" t="s">
        <v>2412</v>
      </c>
      <c r="M7" s="976">
        <f>SUMPRODUCT((区片价!B158:B205=I2)*(区片价!C3:F3=E2)*(区片价!C158:F205))</f>
        <v>0</v>
      </c>
      <c r="N7" s="978">
        <f>SUMPRODUCT((因素修正幅度!B158:B205=I2)*(因素修正幅度!C3:F3=E2)*(因素修正幅度!C158:F205))</f>
        <v>0</v>
      </c>
      <c r="O7" s="1233"/>
      <c r="P7" s="1233"/>
      <c r="Q7" s="1233"/>
      <c r="R7" s="1327">
        <v>6</v>
      </c>
      <c r="S7" s="1327" t="e">
        <f>ROUND(IF(G3&gt;1,IF(R7&lt;7,SUMPRODUCT((B93:B98=R7)*(C92:N92=G2)*(C93:N98)),SUMIF(C92:N92,G2,C100:N100)),IF(R7&lt;7,SUMPRODUCT((B102:B107=R7)*(C92:N92=G2)*(C102:N107)),SUMIF(C92:N92,G2,C109:N109))),4)</f>
        <v>#DIV/0!</v>
      </c>
      <c r="T7" s="1327" t="e">
        <f t="shared" si="0"/>
        <v>#DIV/0!</v>
      </c>
      <c r="U7" s="1328"/>
      <c r="V7" s="1327" t="e">
        <f t="shared" si="1"/>
        <v>#DIV/0!</v>
      </c>
      <c r="W7" s="1493" t="s">
        <v>2413</v>
      </c>
      <c r="X7" s="1329">
        <f>G2</f>
        <v>0</v>
      </c>
      <c r="Y7" s="1329" t="s">
        <v>2414</v>
      </c>
      <c r="Z7" s="1330" t="e">
        <f>G3</f>
        <v>#DIV/0!</v>
      </c>
      <c r="AA7" s="1331"/>
      <c r="AB7" s="1331"/>
      <c r="AC7" s="1332"/>
      <c r="AD7" s="1333"/>
      <c r="AE7" s="1333"/>
      <c r="AF7" s="1333"/>
      <c r="AG7" s="1333"/>
      <c r="AH7" s="1333"/>
      <c r="AI7" s="1333"/>
      <c r="AJ7" s="1334"/>
    </row>
    <row r="8" spans="1:36" ht="15">
      <c r="A8" s="3543"/>
      <c r="B8" s="175" t="s">
        <v>2415</v>
      </c>
      <c r="C8" s="2165"/>
      <c r="D8" s="841" t="s">
        <v>139</v>
      </c>
      <c r="E8" s="842" t="e">
        <f>ROUND(C11/E7,4)</f>
        <v>#DIV/0!</v>
      </c>
      <c r="F8" s="2166" t="s">
        <v>2416</v>
      </c>
      <c r="G8" s="2167"/>
      <c r="H8" s="2167"/>
      <c r="I8" s="2167"/>
      <c r="J8" s="2168"/>
      <c r="K8" s="1233"/>
      <c r="L8" s="2141" t="s">
        <v>2417</v>
      </c>
      <c r="M8" s="976">
        <f>SUMPRODUCT((区片价!B206:B244=I2)*(区片价!C3:F3=E2)*(区片价!C206:F244))</f>
        <v>0</v>
      </c>
      <c r="N8" s="978">
        <f>SUMPRODUCT((因素修正幅度!B206:B244=I2)*(因素修正幅度!C3:F3=E2)*(因素修正幅度!C206:F244))</f>
        <v>0</v>
      </c>
      <c r="O8" s="1233"/>
      <c r="P8" s="1233"/>
      <c r="Q8" s="1233"/>
      <c r="R8" s="1327">
        <v>7</v>
      </c>
      <c r="S8" s="1328"/>
      <c r="T8" s="1327" t="e">
        <f t="shared" si="0"/>
        <v>#DIV/0!</v>
      </c>
      <c r="U8" s="1328"/>
      <c r="V8" s="1327" t="e">
        <f t="shared" si="1"/>
        <v>#DIV/0!</v>
      </c>
      <c r="W8" s="3536" t="s">
        <v>2418</v>
      </c>
      <c r="X8" s="3537"/>
      <c r="Y8" s="1335" t="s">
        <v>2419</v>
      </c>
      <c r="Z8" s="1335" t="s">
        <v>2420</v>
      </c>
      <c r="AA8" s="1335" t="s">
        <v>2421</v>
      </c>
      <c r="AB8" s="1335" t="s">
        <v>2422</v>
      </c>
      <c r="AC8" s="1335" t="s">
        <v>2423</v>
      </c>
      <c r="AD8" s="1335" t="s">
        <v>2424</v>
      </c>
      <c r="AE8" s="1335" t="s">
        <v>2425</v>
      </c>
      <c r="AF8" s="1335" t="s">
        <v>2426</v>
      </c>
      <c r="AG8" s="1335" t="s">
        <v>2427</v>
      </c>
      <c r="AH8" s="1335" t="s">
        <v>2428</v>
      </c>
      <c r="AI8" s="1335" t="s">
        <v>2429</v>
      </c>
      <c r="AJ8" s="1335" t="s">
        <v>2430</v>
      </c>
    </row>
    <row r="9" spans="1:36" ht="15">
      <c r="A9" s="3543"/>
      <c r="B9" s="175" t="s">
        <v>2431</v>
      </c>
      <c r="C9" s="843">
        <f>SUMIF(修正!C71:C138,C8,修正!E71:E138)</f>
        <v>0</v>
      </c>
      <c r="D9" s="176" t="s">
        <v>140</v>
      </c>
      <c r="E9" s="176" t="e">
        <f>ROUND(C11/E7,4)</f>
        <v>#DIV/0!</v>
      </c>
      <c r="F9" s="2166" t="s">
        <v>2432</v>
      </c>
      <c r="G9" s="2167"/>
      <c r="H9" s="2167"/>
      <c r="I9" s="2167"/>
      <c r="J9" s="2168"/>
      <c r="K9" s="1233"/>
      <c r="L9" s="2141" t="s">
        <v>2433</v>
      </c>
      <c r="M9" s="976">
        <f>SUMPRODUCT((区片价!B245:B289=I2)*(区片价!C3:F3=E2)*(区片价!C245:F289))</f>
        <v>0</v>
      </c>
      <c r="N9" s="978">
        <f>SUMPRODUCT((因素修正幅度!B245:B289=I2)*(因素修正幅度!C3:F3=E2)*(因素修正幅度!C245:F289))</f>
        <v>0</v>
      </c>
      <c r="O9" s="1233"/>
      <c r="P9" s="1233"/>
      <c r="Q9" s="1233"/>
      <c r="R9" s="1327">
        <v>8</v>
      </c>
      <c r="S9" s="1328"/>
      <c r="T9" s="1327" t="e">
        <f t="shared" si="0"/>
        <v>#DIV/0!</v>
      </c>
      <c r="U9" s="1328"/>
      <c r="V9" s="1327" t="e">
        <f t="shared" si="1"/>
        <v>#DIV/0!</v>
      </c>
      <c r="W9" s="3538" t="s">
        <v>2434</v>
      </c>
      <c r="X9" s="1336" t="s">
        <v>2435</v>
      </c>
      <c r="Y9" s="1459"/>
      <c r="Z9" s="1337">
        <f>$Y$9</f>
        <v>0</v>
      </c>
      <c r="AA9" s="1337">
        <f t="shared" ref="AA9:AJ9" si="2">$Y$9</f>
        <v>0</v>
      </c>
      <c r="AB9" s="1337">
        <f t="shared" si="2"/>
        <v>0</v>
      </c>
      <c r="AC9" s="1337">
        <f t="shared" si="2"/>
        <v>0</v>
      </c>
      <c r="AD9" s="1337">
        <f t="shared" si="2"/>
        <v>0</v>
      </c>
      <c r="AE9" s="1337">
        <f t="shared" si="2"/>
        <v>0</v>
      </c>
      <c r="AF9" s="1337">
        <f t="shared" si="2"/>
        <v>0</v>
      </c>
      <c r="AG9" s="1337">
        <f t="shared" si="2"/>
        <v>0</v>
      </c>
      <c r="AH9" s="1337">
        <f t="shared" si="2"/>
        <v>0</v>
      </c>
      <c r="AI9" s="1337">
        <f t="shared" si="2"/>
        <v>0</v>
      </c>
      <c r="AJ9" s="1337">
        <f t="shared" si="2"/>
        <v>0</v>
      </c>
    </row>
    <row r="10" spans="1:36" ht="15">
      <c r="A10" s="3543"/>
      <c r="B10" s="175" t="s">
        <v>2436</v>
      </c>
      <c r="C10" s="176">
        <f>SUMIF(修正!C71:C138,C8,修正!F71:F138)</f>
        <v>0</v>
      </c>
      <c r="D10" s="176" t="s">
        <v>141</v>
      </c>
      <c r="E10" s="176" t="e">
        <f>ROUND(C11/E7,4)</f>
        <v>#DIV/0!</v>
      </c>
      <c r="F10" s="2166" t="s">
        <v>2437</v>
      </c>
      <c r="G10" s="2167"/>
      <c r="H10" s="2167"/>
      <c r="I10" s="2167"/>
      <c r="J10" s="2168"/>
      <c r="K10" s="1233"/>
      <c r="L10" s="2141" t="s">
        <v>2438</v>
      </c>
      <c r="M10" s="976">
        <f>SUMPRODUCT((区片价!B290:B316=I2)*(区片价!C3:F3=E2)*(区片价!C290:F316))</f>
        <v>0</v>
      </c>
      <c r="N10" s="978">
        <f>SUMPRODUCT((因素修正幅度!B290:B316=I2)*(因素修正幅度!C3:F3=E2)*(因素修正幅度!C290:F316))</f>
        <v>0</v>
      </c>
      <c r="O10" s="1233"/>
      <c r="P10" s="1233"/>
      <c r="Q10" s="1233"/>
      <c r="R10" s="1327">
        <v>9</v>
      </c>
      <c r="S10" s="1328"/>
      <c r="T10" s="1327" t="e">
        <f t="shared" si="0"/>
        <v>#DIV/0!</v>
      </c>
      <c r="U10" s="1328"/>
      <c r="V10" s="1327" t="e">
        <f t="shared" si="1"/>
        <v>#DIV/0!</v>
      </c>
      <c r="W10" s="3538"/>
      <c r="X10" s="1336">
        <v>7</v>
      </c>
      <c r="Y10" s="1338">
        <f>(-0.163*(Y9^2)-0.59*Y9+7617)*(10^(-4))</f>
        <v>0.76170000000000004</v>
      </c>
      <c r="Z10" s="1338">
        <f>(-0.163*(Z9^2)-0.59*Z9+7617)*(10^(-4))</f>
        <v>0.76170000000000004</v>
      </c>
      <c r="AA10" s="1338">
        <f>(-0.161*(AA9^2)-7.509*AA9+6533)*(10^(-4))</f>
        <v>0.65329999999999999</v>
      </c>
      <c r="AB10" s="1338">
        <f>(-0.161*(AB9^2)-7.509*AB9+6533)*(10^(-4))</f>
        <v>0.65329999999999999</v>
      </c>
      <c r="AC10" s="1338">
        <f>(-0.161*(AC9^2)-7.509*AC9+6533)*(10^(-4))</f>
        <v>0.65329999999999999</v>
      </c>
      <c r="AD10" s="1338">
        <f>(-0.161*(AD9^2)-7.509*AD9+6533)*(10^(-4))</f>
        <v>0.65329999999999999</v>
      </c>
      <c r="AE10" s="1338">
        <f>(-0.161*(AE9^2)-7.509*AE9+6533)*(10^(-4))</f>
        <v>0.65329999999999999</v>
      </c>
      <c r="AF10" s="1338">
        <f>(-0.214*(AF9^2)-21.991*AF9+4665)*(10^(-4))</f>
        <v>0.46650000000000003</v>
      </c>
      <c r="AG10" s="1338">
        <f>(-0.214*(AG9^2)-21.991*AG9+4665)*(10^(-4))</f>
        <v>0.46650000000000003</v>
      </c>
      <c r="AH10" s="1338">
        <f>(-0.214*(AH9^2)-21.991*AH9+4665)*(10^(-4))</f>
        <v>0.46650000000000003</v>
      </c>
      <c r="AI10" s="1338">
        <f>(-0.214*(AI9^2)-21.991*AI9+4665)*(10^(-4))</f>
        <v>0.46650000000000003</v>
      </c>
      <c r="AJ10" s="1338">
        <f>(-0.214*(AJ9^2)-21.991*AJ9+4665)*(10^(-4))</f>
        <v>0.46650000000000003</v>
      </c>
    </row>
    <row r="11" spans="1:36" ht="15.75" thickBot="1">
      <c r="A11" s="3543"/>
      <c r="B11" s="2169" t="s">
        <v>2439</v>
      </c>
      <c r="C11" s="844">
        <f>C10/4</f>
        <v>0</v>
      </c>
      <c r="D11" s="844" t="s">
        <v>142</v>
      </c>
      <c r="E11" s="844" t="e">
        <f>ROUND(C11/E7,4)</f>
        <v>#DIV/0!</v>
      </c>
      <c r="F11" s="2170" t="s">
        <v>2440</v>
      </c>
      <c r="G11" s="2171"/>
      <c r="H11" s="2171"/>
      <c r="I11" s="2171"/>
      <c r="J11" s="2172"/>
      <c r="K11" s="1233"/>
      <c r="L11" s="2141" t="s">
        <v>2441</v>
      </c>
      <c r="M11" s="976">
        <f>SUMPRODUCT((区片价!B317:B337=I2)*(区片价!C3:F3=E2)*(区片价!C317:F337))</f>
        <v>0</v>
      </c>
      <c r="N11" s="978">
        <f>SUMPRODUCT((因素修正幅度!B317:B337=I2)*(因素修正幅度!C3:F3=E2)*(因素修正幅度!C317:F337))</f>
        <v>0</v>
      </c>
      <c r="O11" s="1233"/>
      <c r="P11" s="1233"/>
      <c r="Q11" s="1233"/>
      <c r="R11" s="1327">
        <v>10</v>
      </c>
      <c r="S11" s="1328"/>
      <c r="T11" s="1327" t="e">
        <f t="shared" si="0"/>
        <v>#DIV/0!</v>
      </c>
      <c r="U11" s="1328"/>
      <c r="V11" s="1327" t="e">
        <f t="shared" si="1"/>
        <v>#DIV/0!</v>
      </c>
      <c r="W11" s="3538" t="s">
        <v>2442</v>
      </c>
      <c r="X11" s="1339" t="s">
        <v>2443</v>
      </c>
      <c r="Y11" s="1340" t="e">
        <f>$G$3</f>
        <v>#DIV/0!</v>
      </c>
      <c r="Z11" s="1340" t="e">
        <f t="shared" ref="Z11:AJ11" si="3">$G$3</f>
        <v>#DIV/0!</v>
      </c>
      <c r="AA11" s="1340" t="e">
        <f t="shared" si="3"/>
        <v>#DIV/0!</v>
      </c>
      <c r="AB11" s="1340" t="e">
        <f t="shared" si="3"/>
        <v>#DIV/0!</v>
      </c>
      <c r="AC11" s="1340" t="e">
        <f t="shared" si="3"/>
        <v>#DIV/0!</v>
      </c>
      <c r="AD11" s="1340" t="e">
        <f t="shared" si="3"/>
        <v>#DIV/0!</v>
      </c>
      <c r="AE11" s="1340" t="e">
        <f t="shared" si="3"/>
        <v>#DIV/0!</v>
      </c>
      <c r="AF11" s="1340" t="e">
        <f t="shared" si="3"/>
        <v>#DIV/0!</v>
      </c>
      <c r="AG11" s="1340" t="e">
        <f t="shared" si="3"/>
        <v>#DIV/0!</v>
      </c>
      <c r="AH11" s="1340" t="e">
        <f t="shared" si="3"/>
        <v>#DIV/0!</v>
      </c>
      <c r="AI11" s="1340" t="e">
        <f t="shared" si="3"/>
        <v>#DIV/0!</v>
      </c>
      <c r="AJ11" s="1340" t="e">
        <f t="shared" si="3"/>
        <v>#DIV/0!</v>
      </c>
    </row>
    <row r="12" spans="1:36" ht="25.5" thickBot="1">
      <c r="A12" s="3520" t="s">
        <v>2444</v>
      </c>
      <c r="B12" s="2173" t="s">
        <v>2445</v>
      </c>
      <c r="C12" s="840">
        <f>ROUND(C15*D15*E15*F15*G15*H15*I15*J15,4)</f>
        <v>1</v>
      </c>
      <c r="D12" s="2174" t="s">
        <v>2446</v>
      </c>
      <c r="E12" s="2175"/>
      <c r="F12" s="2175"/>
      <c r="G12" s="2176"/>
      <c r="H12" s="2176"/>
      <c r="I12" s="2176"/>
      <c r="J12" s="2177"/>
      <c r="K12" s="1233"/>
      <c r="L12" s="2178" t="s">
        <v>2447</v>
      </c>
      <c r="M12" s="977">
        <f>SUMPRODUCT((区片价!B338:B344=I2)*(区片价!C3:F3=E2)*(区片价!C338:F344))</f>
        <v>0</v>
      </c>
      <c r="N12" s="978">
        <f>SUMPRODUCT((因素修正幅度!B338:B344=I2)*(因素修正幅度!C3:F3=E2)*(因素修正幅度!C338:F344))</f>
        <v>0</v>
      </c>
      <c r="O12" s="1233"/>
      <c r="P12" s="1233"/>
      <c r="Q12" s="1233"/>
      <c r="R12" s="1327">
        <v>11</v>
      </c>
      <c r="S12" s="1328"/>
      <c r="T12" s="1327" t="e">
        <f t="shared" si="0"/>
        <v>#DIV/0!</v>
      </c>
      <c r="U12" s="1328"/>
      <c r="V12" s="1327" t="e">
        <f t="shared" si="1"/>
        <v>#DIV/0!</v>
      </c>
      <c r="W12" s="3538"/>
      <c r="X12" s="1341" t="s">
        <v>2448</v>
      </c>
      <c r="Y12" s="1337">
        <f t="shared" ref="Y12:AJ12" si="4">Y9</f>
        <v>0</v>
      </c>
      <c r="Z12" s="1337">
        <f t="shared" si="4"/>
        <v>0</v>
      </c>
      <c r="AA12" s="1337">
        <f t="shared" si="4"/>
        <v>0</v>
      </c>
      <c r="AB12" s="1337">
        <f t="shared" si="4"/>
        <v>0</v>
      </c>
      <c r="AC12" s="1337">
        <f t="shared" si="4"/>
        <v>0</v>
      </c>
      <c r="AD12" s="1337">
        <f t="shared" si="4"/>
        <v>0</v>
      </c>
      <c r="AE12" s="1337">
        <f t="shared" si="4"/>
        <v>0</v>
      </c>
      <c r="AF12" s="1337">
        <f t="shared" si="4"/>
        <v>0</v>
      </c>
      <c r="AG12" s="1337">
        <f t="shared" si="4"/>
        <v>0</v>
      </c>
      <c r="AH12" s="1337">
        <f t="shared" si="4"/>
        <v>0</v>
      </c>
      <c r="AI12" s="1337">
        <f t="shared" si="4"/>
        <v>0</v>
      </c>
      <c r="AJ12" s="1337">
        <f t="shared" si="4"/>
        <v>0</v>
      </c>
    </row>
    <row r="13" spans="1:36" ht="24">
      <c r="A13" s="3544"/>
      <c r="B13" s="2179" t="s">
        <v>2449</v>
      </c>
      <c r="C13" s="2180" t="s">
        <v>2450</v>
      </c>
      <c r="D13" s="1485" t="s">
        <v>2451</v>
      </c>
      <c r="E13" s="1485" t="s">
        <v>2452</v>
      </c>
      <c r="F13" s="30" t="s">
        <v>2453</v>
      </c>
      <c r="G13" s="2181" t="s">
        <v>2454</v>
      </c>
      <c r="H13" s="2181" t="s">
        <v>2454</v>
      </c>
      <c r="I13" s="2181" t="s">
        <v>2454</v>
      </c>
      <c r="J13" s="2182" t="s">
        <v>2454</v>
      </c>
      <c r="K13" s="1233"/>
      <c r="L13" s="1233"/>
      <c r="M13" s="1233"/>
      <c r="N13" s="1233"/>
      <c r="O13" s="1233"/>
      <c r="P13" s="1233"/>
      <c r="Q13" s="1233"/>
      <c r="R13" s="1327">
        <v>12</v>
      </c>
      <c r="S13" s="1328"/>
      <c r="T13" s="1327" t="e">
        <f t="shared" si="0"/>
        <v>#DIV/0!</v>
      </c>
      <c r="U13" s="1328"/>
      <c r="V13" s="1327" t="e">
        <f t="shared" si="1"/>
        <v>#DIV/0!</v>
      </c>
      <c r="W13" s="3538"/>
      <c r="X13" s="1341"/>
      <c r="Y13" s="1338" t="e">
        <f>(-0.163*(Y12^2)-0.59*Y12+7617)*(10^(-4))/Y11</f>
        <v>#DIV/0!</v>
      </c>
      <c r="Z13" s="1338" t="e">
        <f t="shared" ref="Z13:AJ13" si="5">(-0.163*(Z12^2)-0.59*Z12+7617)*(10^(-4))/Z11</f>
        <v>#DIV/0!</v>
      </c>
      <c r="AA13" s="1338" t="e">
        <f t="shared" si="5"/>
        <v>#DIV/0!</v>
      </c>
      <c r="AB13" s="1338" t="e">
        <f t="shared" si="5"/>
        <v>#DIV/0!</v>
      </c>
      <c r="AC13" s="1338" t="e">
        <f t="shared" si="5"/>
        <v>#DIV/0!</v>
      </c>
      <c r="AD13" s="1338" t="e">
        <f t="shared" si="5"/>
        <v>#DIV/0!</v>
      </c>
      <c r="AE13" s="1338" t="e">
        <f t="shared" si="5"/>
        <v>#DIV/0!</v>
      </c>
      <c r="AF13" s="1338" t="e">
        <f t="shared" si="5"/>
        <v>#DIV/0!</v>
      </c>
      <c r="AG13" s="1338" t="e">
        <f t="shared" si="5"/>
        <v>#DIV/0!</v>
      </c>
      <c r="AH13" s="1338" t="e">
        <f t="shared" si="5"/>
        <v>#DIV/0!</v>
      </c>
      <c r="AI13" s="1338" t="e">
        <f t="shared" si="5"/>
        <v>#DIV/0!</v>
      </c>
      <c r="AJ13" s="1338" t="e">
        <f t="shared" si="5"/>
        <v>#DIV/0!</v>
      </c>
    </row>
    <row r="14" spans="1:36" ht="15">
      <c r="A14" s="3544"/>
      <c r="B14" s="2183"/>
      <c r="C14" s="2184"/>
      <c r="D14" s="2185"/>
      <c r="E14" s="2185"/>
      <c r="F14" s="2186"/>
      <c r="G14" s="2187" t="s">
        <v>2455</v>
      </c>
      <c r="H14" s="2188"/>
      <c r="I14" s="2189"/>
      <c r="J14" s="2190"/>
      <c r="K14" s="1233"/>
      <c r="L14" s="1233"/>
      <c r="M14" s="1233"/>
      <c r="N14" s="1233"/>
      <c r="O14" s="1233"/>
      <c r="P14" s="1233"/>
      <c r="Q14" s="1233"/>
      <c r="R14" s="1327">
        <v>13</v>
      </c>
      <c r="S14" s="1328"/>
      <c r="T14" s="1327" t="e">
        <f t="shared" si="0"/>
        <v>#DIV/0!</v>
      </c>
      <c r="U14" s="1328"/>
      <c r="V14" s="1327" t="e">
        <f t="shared" si="1"/>
        <v>#DIV/0!</v>
      </c>
      <c r="W14" s="1331"/>
      <c r="X14" s="1331"/>
      <c r="Y14" s="1331"/>
      <c r="Z14" s="1331"/>
      <c r="AA14" s="1331"/>
      <c r="AB14" s="1331"/>
      <c r="AC14" s="1332"/>
      <c r="AD14" s="2970"/>
      <c r="AE14" s="2970"/>
      <c r="AF14" s="2970"/>
      <c r="AG14" s="2970"/>
      <c r="AH14" s="2970"/>
      <c r="AI14" s="2970"/>
      <c r="AJ14" s="2971"/>
    </row>
    <row r="15" spans="1:36" ht="15.75" thickBot="1">
      <c r="A15" s="3545"/>
      <c r="B15" s="2191" t="s">
        <v>2456</v>
      </c>
      <c r="C15" s="193">
        <f>IF(C14="有",1.1,1)</f>
        <v>1</v>
      </c>
      <c r="D15" s="193">
        <f>IF(D14="有",1.1,1)</f>
        <v>1</v>
      </c>
      <c r="E15" s="193">
        <f>IF(E14="有",1.1,1)</f>
        <v>1</v>
      </c>
      <c r="F15" s="193">
        <f>IF(F14="500米范围内",1.2,IF(F14="500-1000米",1.1,1))</f>
        <v>1</v>
      </c>
      <c r="G15" s="864">
        <v>1</v>
      </c>
      <c r="H15" s="864">
        <v>1</v>
      </c>
      <c r="I15" s="864">
        <v>1</v>
      </c>
      <c r="J15" s="865">
        <v>1</v>
      </c>
      <c r="K15" s="1233"/>
      <c r="L15" s="2134"/>
      <c r="M15" s="2134"/>
      <c r="N15" s="2134"/>
      <c r="O15" s="2134"/>
      <c r="P15" s="2134"/>
      <c r="Q15" s="1233"/>
      <c r="R15" s="1327">
        <v>14</v>
      </c>
      <c r="S15" s="1328"/>
      <c r="T15" s="1327" t="e">
        <f t="shared" si="0"/>
        <v>#DIV/0!</v>
      </c>
      <c r="U15" s="1328"/>
      <c r="V15" s="1327" t="e">
        <f t="shared" si="1"/>
        <v>#DIV/0!</v>
      </c>
      <c r="W15" s="1331"/>
      <c r="X15" s="1331"/>
      <c r="Y15" s="1331"/>
      <c r="Z15" s="1331"/>
      <c r="AA15" s="1331"/>
      <c r="AB15" s="1331"/>
      <c r="AC15" s="1332"/>
      <c r="AD15" s="2970"/>
      <c r="AE15" s="2970"/>
      <c r="AF15" s="2970"/>
      <c r="AG15" s="2970"/>
      <c r="AH15" s="2970"/>
      <c r="AI15" s="2970"/>
      <c r="AJ15" s="2971"/>
    </row>
    <row r="16" spans="1:36" ht="24.6" customHeight="1">
      <c r="A16" s="3520" t="s">
        <v>2461</v>
      </c>
      <c r="B16" s="2160" t="s">
        <v>2462</v>
      </c>
      <c r="C16" s="2322" t="e">
        <f>ROUND(IF(F17="与级别开发程度一致",0,(G17-E17)/C17),0)</f>
        <v>#DIV/0!</v>
      </c>
      <c r="D16" s="3533" t="s">
        <v>2466</v>
      </c>
      <c r="E16" s="3534"/>
      <c r="F16" s="3533" t="s">
        <v>2463</v>
      </c>
      <c r="G16" s="3534"/>
      <c r="H16" s="2192"/>
      <c r="I16" s="2192"/>
      <c r="J16" s="2326"/>
      <c r="K16" s="2192"/>
      <c r="L16" s="2192"/>
      <c r="M16" s="2192"/>
      <c r="N16" s="2192"/>
      <c r="O16" s="2193"/>
      <c r="P16" s="2134"/>
      <c r="Q16" s="1233"/>
      <c r="R16" s="1327">
        <v>15</v>
      </c>
      <c r="S16" s="1328"/>
      <c r="T16" s="1327" t="e">
        <f t="shared" si="0"/>
        <v>#DIV/0!</v>
      </c>
      <c r="U16" s="1328"/>
      <c r="V16" s="1327" t="e">
        <f t="shared" si="1"/>
        <v>#DIV/0!</v>
      </c>
      <c r="W16" s="1331"/>
      <c r="X16" s="1331"/>
      <c r="Y16" s="1331"/>
      <c r="Z16" s="1331"/>
      <c r="AA16" s="1331"/>
      <c r="AB16" s="1331"/>
      <c r="AC16" s="1332"/>
      <c r="AD16" s="2970"/>
      <c r="AE16" s="2970"/>
      <c r="AF16" s="2970"/>
      <c r="AG16" s="2970"/>
      <c r="AH16" s="2970"/>
      <c r="AI16" s="2970"/>
      <c r="AJ16" s="2971"/>
    </row>
    <row r="17" spans="1:37" ht="13.5" thickBot="1">
      <c r="A17" s="3521"/>
      <c r="B17" s="2333" t="s">
        <v>2465</v>
      </c>
      <c r="C17" s="2334">
        <f>SUMPRODUCT((修正!A2:A7=E2)*(修正!B1:M1=G2)*(修正!B2:M7))</f>
        <v>0</v>
      </c>
      <c r="D17" s="193" t="str">
        <f>IF(OR(G2="八级",G2="九级",G2="十级",G2="十一级",G2="十二级"),"五通一平","七通一平")</f>
        <v>七通一平</v>
      </c>
      <c r="E17" s="2323">
        <f>SUMPRODUCT((修正!B1:M1=G2)*(修正!B17:M17))</f>
        <v>0</v>
      </c>
      <c r="F17" s="2324"/>
      <c r="G17" s="2325">
        <f>SUM(H17:O17)</f>
        <v>0</v>
      </c>
      <c r="H17" s="2334">
        <f>SUMPRODUCT((七通一平=H16)*(修正!B1:M1=G2)*(修正!B8:M16))</f>
        <v>0</v>
      </c>
      <c r="I17" s="2334">
        <f>SUMPRODUCT((七通一平=I16)*(修正!B1:M1=G2)*(修正!B8:M16))</f>
        <v>0</v>
      </c>
      <c r="J17" s="2335">
        <f>SUMPRODUCT((七通一平=J16)*(修正!B1:M1=G2)*(修正!B8:M16))</f>
        <v>0</v>
      </c>
      <c r="K17" s="2334">
        <f>SUMPRODUCT((七通一平=K16)*(修正!B1:M1=G2)*(修正!B8:M16))</f>
        <v>0</v>
      </c>
      <c r="L17" s="2334">
        <f>SUMPRODUCT((七通一平=L16)*(修正!B1:M1=G2)*(修正!B8:M16))</f>
        <v>0</v>
      </c>
      <c r="M17" s="2334">
        <f>SUMPRODUCT((七通一平=M16)*(修正!B1:M1=G2)*(修正!B8:M16))</f>
        <v>0</v>
      </c>
      <c r="N17" s="2334">
        <f>SUMPRODUCT((七通一平=N16)*(修正!B1:M1=G2)*(修正!B8:M16))</f>
        <v>0</v>
      </c>
      <c r="O17" s="2336">
        <f>SUMPRODUCT((七通一平=O16)*(修正!B1:M1=G2)*(修正!B8:M16))</f>
        <v>0</v>
      </c>
      <c r="P17" s="2134"/>
      <c r="Q17" s="1233"/>
      <c r="R17" s="1233"/>
      <c r="S17" s="1233"/>
      <c r="T17" s="1233"/>
      <c r="U17" s="1233"/>
      <c r="V17" s="1233"/>
      <c r="W17" s="1233"/>
      <c r="X17" s="1233"/>
      <c r="Y17" s="1233"/>
      <c r="Z17" s="1234"/>
      <c r="AA17" s="1234"/>
      <c r="AB17" s="1234"/>
      <c r="AC17" s="1234"/>
      <c r="AD17" s="1234"/>
      <c r="AE17" s="1233"/>
      <c r="AF17" s="1233"/>
      <c r="AG17" s="2134"/>
      <c r="AH17" s="2134"/>
      <c r="AI17" s="2134"/>
      <c r="AJ17" s="2134"/>
    </row>
    <row r="18" spans="1:37" s="2153" customFormat="1" ht="15.75" thickBot="1">
      <c r="A18" s="2327" t="s">
        <v>627</v>
      </c>
      <c r="B18" s="2328" t="s">
        <v>2468</v>
      </c>
      <c r="C18" s="2329">
        <f>SUMIF(修正!C20:C51,E3,修正!E20:E51)</f>
        <v>0</v>
      </c>
      <c r="D18" s="2330"/>
      <c r="E18" s="2331"/>
      <c r="F18" s="2331"/>
      <c r="G18" s="2331"/>
      <c r="H18" s="2331"/>
      <c r="I18" s="2331"/>
      <c r="J18" s="2332"/>
      <c r="K18" s="1240"/>
      <c r="L18" s="2969"/>
      <c r="M18" s="2969"/>
      <c r="N18" s="2969"/>
      <c r="O18" s="1238"/>
      <c r="P18" s="1238"/>
      <c r="Q18" s="1239"/>
      <c r="R18" s="1239"/>
      <c r="S18" s="1239"/>
      <c r="T18" s="1234"/>
      <c r="U18" s="1234"/>
      <c r="V18" s="1234"/>
      <c r="W18" s="1233"/>
      <c r="X18" s="1233"/>
      <c r="Y18" s="1233"/>
      <c r="Z18" s="1240"/>
      <c r="AA18" s="1240"/>
      <c r="AB18" s="1240"/>
      <c r="AC18" s="1240"/>
      <c r="AD18" s="1240"/>
      <c r="AE18" s="1234"/>
      <c r="AF18" s="1234"/>
      <c r="AG18" s="2291"/>
      <c r="AH18" s="2291"/>
      <c r="AI18" s="2291"/>
      <c r="AJ18" s="2969"/>
    </row>
    <row r="19" spans="1:37" s="2153" customFormat="1" ht="27.75" thickBot="1">
      <c r="A19" s="2197" t="s">
        <v>628</v>
      </c>
      <c r="B19" s="2198" t="s">
        <v>2469</v>
      </c>
      <c r="C19" s="845" t="e">
        <f>ROUND(IF(H19="按公示增长率计算",SUMPRODUCT((地价!A3:A37=YEAR(G19)&amp;"-"&amp;ROUNDUP(MONTH(G19)/3,0))*(地价!X2:AB2=E2)*(地价!X3:AB37)),IF(H19="地价指数",M20/M19,(1+I19)^O19)),4)</f>
        <v>#VALUE!</v>
      </c>
      <c r="D19" s="2202" t="s">
        <v>2470</v>
      </c>
      <c r="E19" s="846">
        <v>41640</v>
      </c>
      <c r="F19" s="2202" t="s">
        <v>2471</v>
      </c>
      <c r="G19" s="847">
        <f>'数据-取费表'!B2</f>
        <v>44869</v>
      </c>
      <c r="H19" s="2203"/>
      <c r="I19" s="848" t="str">
        <f>IF(H19="季度增幅（自定义）",SUMIF(N21:N24,E2,O21:O24),"")</f>
        <v/>
      </c>
      <c r="J19" s="2200"/>
      <c r="K19" s="1240"/>
      <c r="L19" s="2204" t="s">
        <v>2472</v>
      </c>
      <c r="M19" s="1449">
        <f>ROUND(SUMIF(地价!B2:F2,E2,地价!B37:F37),0)</f>
        <v>0</v>
      </c>
      <c r="N19" s="2205" t="s">
        <v>2473</v>
      </c>
      <c r="O19" s="849">
        <f>ROUNDDOWN(DATEDIF(E19,G19,"M")/3,0)</f>
        <v>35</v>
      </c>
      <c r="P19" s="1237"/>
      <c r="Q19" s="1239"/>
      <c r="R19" s="1239"/>
      <c r="S19" s="1239"/>
      <c r="T19" s="1234"/>
      <c r="U19" s="1234"/>
      <c r="V19" s="1234"/>
      <c r="W19" s="1233"/>
      <c r="X19" s="1233"/>
      <c r="Y19" s="1233"/>
      <c r="Z19" s="1240"/>
      <c r="AA19" s="1240"/>
      <c r="AB19" s="1240"/>
      <c r="AC19" s="1240"/>
      <c r="AD19" s="1240"/>
      <c r="AE19" s="1240"/>
      <c r="AF19" s="1239"/>
      <c r="AG19" s="2972"/>
      <c r="AH19" s="2291"/>
      <c r="AI19" s="2973"/>
      <c r="AJ19" s="2973"/>
      <c r="AK19" s="2206"/>
    </row>
    <row r="20" spans="1:37" s="2153" customFormat="1" ht="27.75" thickBot="1">
      <c r="A20" s="2207" t="s">
        <v>629</v>
      </c>
      <c r="B20" s="2208" t="s">
        <v>2474</v>
      </c>
      <c r="C20" s="850" t="e">
        <f>ROUND(POWER(1+G20,J20-I20)*(POWER(1+G20,I20)-1)/(POWER(1+G20,J20)-1),4)</f>
        <v>#DIV/0!</v>
      </c>
      <c r="D20" s="2209" t="s">
        <v>2475</v>
      </c>
      <c r="E20" s="1456">
        <f>存贷款利率!E22/100</f>
        <v>4.3499999999999997E-2</v>
      </c>
      <c r="F20" s="2209" t="s">
        <v>2467</v>
      </c>
      <c r="G20" s="854">
        <f>SUMIF(M26:P26,E2,M28:P28)</f>
        <v>0</v>
      </c>
      <c r="H20" s="2209" t="s">
        <v>2476</v>
      </c>
      <c r="I20" s="855" t="e">
        <f>SUMIF('数据-取费表'!C6:C15,E2,'数据-取费表'!F6:F15)/COUNTIF('数据-取费表'!C6:C15,E2)</f>
        <v>#DIV/0!</v>
      </c>
      <c r="J20" s="856">
        <f>IF(E2="住宅",70,IF(E2="商业",40,50))</f>
        <v>50</v>
      </c>
      <c r="K20" s="1240"/>
      <c r="L20" s="2210" t="s">
        <v>2477</v>
      </c>
      <c r="M20" s="1450">
        <f>ROUND(SUMPRODUCT((地价!A4:A37=YEAR(G19)&amp;"-"&amp;ROUNDUP(MONTH(G19)/3,0))*(地价!B2:F2=E2)*(地价!B4:F37)),0)</f>
        <v>0</v>
      </c>
      <c r="N20" s="2211" t="s">
        <v>2478</v>
      </c>
      <c r="O20" s="2212" t="s">
        <v>2479</v>
      </c>
      <c r="P20" s="2213" t="s">
        <v>2480</v>
      </c>
      <c r="Q20" s="2969"/>
      <c r="R20" s="1239"/>
      <c r="S20" s="1239"/>
      <c r="T20" s="1234"/>
      <c r="U20" s="1234"/>
      <c r="V20" s="1234"/>
      <c r="W20" s="1233"/>
      <c r="X20" s="1233"/>
      <c r="Y20" s="1233"/>
      <c r="Z20" s="1240"/>
      <c r="AA20" s="1240"/>
      <c r="AB20" s="1240"/>
      <c r="AC20" s="1240"/>
      <c r="AD20" s="1240"/>
      <c r="AE20" s="1240"/>
      <c r="AF20" s="1240"/>
      <c r="AG20" s="2969"/>
      <c r="AH20" s="2969"/>
      <c r="AI20" s="2969"/>
      <c r="AJ20" s="2969"/>
    </row>
    <row r="21" spans="1:37" s="2153" customFormat="1" ht="15">
      <c r="A21" s="2214" t="s">
        <v>630</v>
      </c>
      <c r="B21" s="2215" t="s">
        <v>2481</v>
      </c>
      <c r="C21" s="857" t="e">
        <f>IF(B21="容积率修正",IF(G3&lt;=10,D22,J22),C23)</f>
        <v>#DIV/0!</v>
      </c>
      <c r="D21" s="2216"/>
      <c r="E21" s="2216"/>
      <c r="F21" s="2216"/>
      <c r="G21" s="2216"/>
      <c r="H21" s="2216"/>
      <c r="I21" s="2216"/>
      <c r="J21" s="2217"/>
      <c r="K21" s="1240"/>
      <c r="L21" s="2969"/>
      <c r="M21" s="2969"/>
      <c r="N21" s="2218" t="s">
        <v>2482</v>
      </c>
      <c r="O21" s="1288"/>
      <c r="P21" s="1289">
        <f>SUMPRODUCT((地价!A3:A37=YEAR(G19)&amp;"-"&amp;ROUNDUP(MONTH(G19)/3,0))*(地价!AD2:AH2=N21)*(地价!AD3:AH37))</f>
        <v>0</v>
      </c>
      <c r="Q21" s="2969"/>
      <c r="R21" s="1239"/>
      <c r="S21" s="1239"/>
      <c r="T21" s="1234"/>
      <c r="U21" s="1234"/>
      <c r="V21" s="1234"/>
      <c r="W21" s="1233"/>
      <c r="X21" s="1233"/>
      <c r="Y21" s="1233"/>
      <c r="Z21" s="1240"/>
      <c r="AA21" s="1240"/>
      <c r="AB21" s="1240"/>
      <c r="AC21" s="1240"/>
      <c r="AD21" s="1240"/>
      <c r="AE21" s="1240"/>
      <c r="AF21" s="1240"/>
      <c r="AG21" s="2969"/>
      <c r="AH21" s="2969"/>
      <c r="AI21" s="2969"/>
      <c r="AJ21" s="2969"/>
    </row>
    <row r="22" spans="1:37" s="2153" customFormat="1" ht="14.25">
      <c r="A22" s="2092" t="s">
        <v>2483</v>
      </c>
      <c r="B22" s="2219" t="s">
        <v>2484</v>
      </c>
      <c r="C22" s="1487" t="s">
        <v>2485</v>
      </c>
      <c r="D22" s="1487" t="e">
        <f>IF(E22=G22,F22,IF(G3&lt;=10,ROUND(F22+(H22-F22)*(G3-E22)/(G22-E22),4),"——"))</f>
        <v>#DIV/0!</v>
      </c>
      <c r="E22" s="837" t="e">
        <f>ROUNDDOWN(G3,1)</f>
        <v>#DIV/0!</v>
      </c>
      <c r="F22" s="1487"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837" t="e">
        <f>ROUNDUP(G3,1)</f>
        <v>#DIV/0!</v>
      </c>
      <c r="H22" s="1487"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487" t="s">
        <v>155</v>
      </c>
      <c r="J22" s="858" t="e">
        <f>IF(G3&gt;10,D113,"——")</f>
        <v>#DIV/0!</v>
      </c>
      <c r="K22" s="1240"/>
      <c r="L22" s="2969"/>
      <c r="M22" s="2969"/>
      <c r="N22" s="2218" t="s">
        <v>2486</v>
      </c>
      <c r="O22" s="1288"/>
      <c r="P22" s="1289">
        <f>SUMPRODUCT((地价!A3:A37=YEAR(G19)&amp;"-"&amp;ROUNDUP(MONTH(G19)/3,0))*(地价!AD2:AH2=N22)*(地价!AD3:AH37))</f>
        <v>0</v>
      </c>
      <c r="Q22" s="2969"/>
      <c r="R22" s="1239"/>
      <c r="S22" s="1239"/>
      <c r="T22" s="1234"/>
      <c r="U22" s="1234"/>
      <c r="V22" s="1234"/>
      <c r="W22" s="1233"/>
      <c r="X22" s="1233"/>
      <c r="Y22" s="1233"/>
      <c r="Z22" s="1240"/>
      <c r="AA22" s="1240"/>
      <c r="AB22" s="1240"/>
      <c r="AC22" s="1240"/>
      <c r="AD22" s="1240"/>
      <c r="AE22" s="1240"/>
      <c r="AF22" s="1240"/>
      <c r="AG22" s="2969"/>
      <c r="AH22" s="2969"/>
      <c r="AI22" s="2969"/>
      <c r="AJ22" s="2969"/>
    </row>
    <row r="23" spans="1:37" ht="27.75" thickBot="1">
      <c r="A23" s="2092" t="s">
        <v>2487</v>
      </c>
      <c r="B23" s="2220" t="s">
        <v>2488</v>
      </c>
      <c r="C23" s="931" t="e">
        <f>ROUND(IF(G3&gt;1,IF(I3&lt;7,SUMPRODUCT((B93:B98=I3)*(C92:N92=G2)*(C93:N98)),SUMIF(C92:N92,G2,C100:N100)),IF(I3&lt;7,SUMPRODUCT((B102:B107=I3)*(C92:N92=G2)*(C102:N107)),SUMIF(C92:N92,G2,C109:N109))),4)</f>
        <v>#DIV/0!</v>
      </c>
      <c r="D23" s="2188"/>
      <c r="E23" s="2188"/>
      <c r="F23" s="2221"/>
      <c r="G23" s="2222"/>
      <c r="H23" s="2223"/>
      <c r="I23" s="2224"/>
      <c r="J23" s="2225"/>
      <c r="K23" s="1233"/>
      <c r="L23" s="2134"/>
      <c r="M23" s="2134"/>
      <c r="N23" s="2218" t="s">
        <v>2489</v>
      </c>
      <c r="O23" s="1288"/>
      <c r="P23" s="1289">
        <f>SUMPRODUCT((地价!A3:A37=YEAR(G19)&amp;"-"&amp;ROUNDUP(MONTH(G19)/3,0))*(地价!AD2:AH2=N23)*(地价!AD3:AH37))</f>
        <v>0</v>
      </c>
      <c r="Q23" s="2134"/>
      <c r="R23" s="1239"/>
      <c r="S23" s="1239"/>
      <c r="T23" s="1234"/>
      <c r="U23" s="1234"/>
      <c r="V23" s="1234"/>
      <c r="W23" s="1233"/>
      <c r="X23" s="1233"/>
      <c r="Y23" s="1233"/>
      <c r="Z23" s="1240"/>
      <c r="AA23" s="1240"/>
      <c r="AB23" s="1240"/>
      <c r="AC23" s="1240"/>
      <c r="AD23" s="1240"/>
      <c r="AE23" s="1234"/>
      <c r="AF23" s="1234"/>
      <c r="AG23" s="2291"/>
      <c r="AH23" s="2291"/>
      <c r="AI23" s="2291"/>
      <c r="AJ23" s="2291"/>
      <c r="AK23" s="2201"/>
    </row>
    <row r="24" spans="1:37" s="2153" customFormat="1" ht="15.75" thickBot="1">
      <c r="A24" s="2207" t="s">
        <v>631</v>
      </c>
      <c r="B24" s="2198" t="s">
        <v>2490</v>
      </c>
      <c r="C24" s="845">
        <f>SUMIF(A45:A88,E2,B45:B88)</f>
        <v>0</v>
      </c>
      <c r="D24" s="2199"/>
      <c r="E24" s="2226"/>
      <c r="F24" s="2226"/>
      <c r="G24" s="2226"/>
      <c r="H24" s="2226"/>
      <c r="I24" s="2226"/>
      <c r="J24" s="2227"/>
      <c r="K24" s="1240"/>
      <c r="L24" s="2969"/>
      <c r="M24" s="2969"/>
      <c r="N24" s="2228" t="s">
        <v>2491</v>
      </c>
      <c r="O24" s="1290"/>
      <c r="P24" s="1291">
        <f>SUMPRODUCT((地价!A3:A37=YEAR(G19)&amp;"-"&amp;ROUNDUP(MONTH(G19)/3,0))*(地价!AD2:AH2=N24)*(地价!AD3:AH37))</f>
        <v>0</v>
      </c>
      <c r="Q24" s="2969"/>
      <c r="R24" s="1239"/>
      <c r="S24" s="1239"/>
      <c r="T24" s="1234"/>
      <c r="U24" s="1234"/>
      <c r="V24" s="1234"/>
      <c r="W24" s="1233"/>
      <c r="X24" s="1233"/>
      <c r="Y24" s="1233"/>
      <c r="Z24" s="1240"/>
      <c r="AA24" s="1240"/>
      <c r="AB24" s="1240"/>
      <c r="AC24" s="1240"/>
      <c r="AD24" s="1240"/>
      <c r="AE24" s="1240"/>
      <c r="AF24" s="1240"/>
      <c r="AG24" s="2969"/>
      <c r="AH24" s="2969"/>
      <c r="AI24" s="2969"/>
      <c r="AJ24" s="2969"/>
    </row>
    <row r="25" spans="1:37" ht="15.75" thickBot="1">
      <c r="A25" s="2207" t="s">
        <v>632</v>
      </c>
      <c r="B25" s="2229" t="s">
        <v>2492</v>
      </c>
      <c r="C25" s="851"/>
      <c r="D25" s="2163"/>
      <c r="E25" s="2163"/>
      <c r="F25" s="2230"/>
      <c r="G25" s="2163"/>
      <c r="H25" s="2163"/>
      <c r="I25" s="2163"/>
      <c r="J25" s="2164"/>
      <c r="K25" s="1233"/>
      <c r="L25" s="2134"/>
      <c r="M25" s="2134"/>
      <c r="N25" s="2964" t="s">
        <v>2493</v>
      </c>
      <c r="O25" s="2965"/>
      <c r="P25" s="2966">
        <f>SUMPRODUCT((地价!A3:A37=YEAR(G19)&amp;"-"&amp;ROUNDUP(MONTH(G19)/3,0))*(地价!AD2:AH2=N25)*(地价!AD3:AH37))</f>
        <v>0</v>
      </c>
      <c r="Q25" s="2134"/>
      <c r="R25" s="1239"/>
      <c r="S25" s="1239"/>
      <c r="T25" s="1234"/>
      <c r="U25" s="1234"/>
      <c r="V25" s="1234"/>
      <c r="W25" s="1233"/>
      <c r="X25" s="1233"/>
      <c r="Y25" s="1233"/>
      <c r="Z25" s="1240"/>
      <c r="AA25" s="1240"/>
      <c r="AB25" s="1240"/>
      <c r="AC25" s="1240"/>
      <c r="AD25" s="1240"/>
      <c r="AE25" s="1234"/>
      <c r="AF25" s="1234"/>
      <c r="AG25" s="2291"/>
      <c r="AH25" s="2291"/>
      <c r="AI25" s="2291"/>
      <c r="AJ25" s="2291"/>
    </row>
    <row r="26" spans="1:37" ht="15">
      <c r="A26" s="2231"/>
      <c r="B26" s="2219" t="s">
        <v>2494</v>
      </c>
      <c r="C26" s="2493" t="e">
        <f>IF(B21="容积率修正",E29+SUM(E33:E39),SUM(V2:V16)+SUM(E33:E39))</f>
        <v>#DIV/0!</v>
      </c>
      <c r="D26" s="2232"/>
      <c r="E26" s="2188"/>
      <c r="F26" s="2233"/>
      <c r="G26" s="2188"/>
      <c r="H26" s="2188"/>
      <c r="I26" s="2188"/>
      <c r="J26" s="2234"/>
      <c r="K26" s="1233"/>
      <c r="L26" s="2967" t="s">
        <v>2392</v>
      </c>
      <c r="M26" s="2161" t="s">
        <v>2457</v>
      </c>
      <c r="N26" s="2161" t="s">
        <v>2458</v>
      </c>
      <c r="O26" s="2161" t="s">
        <v>2459</v>
      </c>
      <c r="P26" s="2968" t="s">
        <v>2460</v>
      </c>
      <c r="Q26" s="2134"/>
      <c r="R26" s="1239"/>
      <c r="S26" s="1239"/>
      <c r="T26" s="1234"/>
      <c r="U26" s="1234"/>
      <c r="V26" s="1234"/>
      <c r="W26" s="1233"/>
      <c r="X26" s="1233"/>
      <c r="Y26" s="1233"/>
      <c r="Z26" s="1240"/>
      <c r="AA26" s="1240"/>
      <c r="AB26" s="1240"/>
      <c r="AC26" s="1240"/>
      <c r="AD26" s="1240"/>
      <c r="AE26" s="1234"/>
      <c r="AF26" s="1234"/>
      <c r="AG26" s="2291"/>
      <c r="AH26" s="2291"/>
      <c r="AI26" s="2291"/>
      <c r="AJ26" s="2291"/>
    </row>
    <row r="27" spans="1:37" ht="15.75" thickBot="1">
      <c r="A27" s="2231"/>
      <c r="B27" s="2235" t="s">
        <v>2495</v>
      </c>
      <c r="C27" s="852" t="e">
        <f>E30+SUM(I33:I39)</f>
        <v>#DIV/0!</v>
      </c>
      <c r="D27" s="2236"/>
      <c r="E27" s="2237"/>
      <c r="F27" s="2238"/>
      <c r="G27" s="2237"/>
      <c r="H27" s="2237"/>
      <c r="I27" s="2237"/>
      <c r="J27" s="2239"/>
      <c r="K27" s="1233"/>
      <c r="L27" s="2194" t="s">
        <v>2464</v>
      </c>
      <c r="M27" s="843">
        <v>0.25</v>
      </c>
      <c r="N27" s="843">
        <v>0.2</v>
      </c>
      <c r="O27" s="843">
        <v>0.15</v>
      </c>
      <c r="P27" s="1232">
        <v>0.1</v>
      </c>
      <c r="Q27" s="1239"/>
      <c r="R27" s="1239"/>
      <c r="S27" s="1239"/>
      <c r="T27" s="1234"/>
      <c r="U27" s="1234"/>
      <c r="V27" s="1234"/>
      <c r="W27" s="1233"/>
      <c r="X27" s="1233"/>
      <c r="Y27" s="1233"/>
      <c r="Z27" s="1240"/>
      <c r="AA27" s="1240"/>
      <c r="AB27" s="1240"/>
      <c r="AC27" s="1240"/>
      <c r="AD27" s="1240"/>
      <c r="AE27" s="1234"/>
      <c r="AF27" s="1234"/>
      <c r="AG27" s="2291"/>
      <c r="AH27" s="2291"/>
      <c r="AI27" s="2291"/>
      <c r="AJ27" s="2291"/>
    </row>
    <row r="28" spans="1:37" ht="15.75" thickBot="1">
      <c r="A28" s="2240"/>
      <c r="B28" s="2241" t="s">
        <v>2496</v>
      </c>
      <c r="C28" s="2242" t="s">
        <v>2497</v>
      </c>
      <c r="D28" s="2242" t="s">
        <v>2498</v>
      </c>
      <c r="E28" s="2243" t="s">
        <v>2499</v>
      </c>
      <c r="F28" s="2244"/>
      <c r="G28" s="2176"/>
      <c r="H28" s="2176"/>
      <c r="I28" s="2176"/>
      <c r="J28" s="2177"/>
      <c r="K28" s="1233"/>
      <c r="L28" s="2195" t="s">
        <v>2467</v>
      </c>
      <c r="M28" s="183">
        <f>ROUND($E$20*(1+M27),3)</f>
        <v>5.3999999999999999E-2</v>
      </c>
      <c r="N28" s="183">
        <f>ROUND($E$20*(1+N27),3)</f>
        <v>5.1999999999999998E-2</v>
      </c>
      <c r="O28" s="183">
        <f>ROUND($E$20*(1+O27),3)</f>
        <v>0.05</v>
      </c>
      <c r="P28" s="1236">
        <f>ROUND($E$20*(1+P27),3)</f>
        <v>4.8000000000000001E-2</v>
      </c>
      <c r="Q28" s="1239"/>
      <c r="R28" s="1239"/>
      <c r="S28" s="1239"/>
      <c r="T28" s="1234"/>
      <c r="U28" s="1234"/>
      <c r="V28" s="1234"/>
      <c r="W28" s="1233"/>
      <c r="X28" s="1233"/>
      <c r="Y28" s="1233"/>
      <c r="Z28" s="1240"/>
      <c r="AA28" s="1240"/>
      <c r="AB28" s="1240"/>
      <c r="AC28" s="1240"/>
      <c r="AD28" s="1240"/>
      <c r="AE28" s="1234"/>
      <c r="AF28" s="1234"/>
      <c r="AG28" s="2291"/>
      <c r="AH28" s="2291"/>
      <c r="AI28" s="2291"/>
      <c r="AJ28" s="2291"/>
    </row>
    <row r="29" spans="1:37" ht="22.5" customHeight="1">
      <c r="A29" s="2245"/>
      <c r="B29" s="2246" t="s">
        <v>2500</v>
      </c>
      <c r="C29" s="180" t="e">
        <f>ROUND(C5*C18*C19*C20*C21*C24,0)</f>
        <v>#DIV/0!</v>
      </c>
      <c r="D29" s="2247"/>
      <c r="E29" s="860" t="e">
        <f>ROUND(C29*D29/10000,0)</f>
        <v>#DIV/0!</v>
      </c>
      <c r="F29" s="2248" t="s">
        <v>2501</v>
      </c>
      <c r="G29" s="2249"/>
      <c r="H29" s="2249"/>
      <c r="I29" s="2249"/>
      <c r="J29" s="2250"/>
      <c r="K29" s="1233"/>
      <c r="L29" s="1233"/>
      <c r="M29" s="1233"/>
      <c r="N29" s="1233"/>
      <c r="O29" s="1238"/>
      <c r="P29" s="1238"/>
      <c r="Q29" s="1239"/>
      <c r="R29" s="1239"/>
      <c r="S29" s="1239"/>
      <c r="T29" s="1234"/>
      <c r="U29" s="1234"/>
      <c r="V29" s="1234"/>
      <c r="W29" s="1233"/>
      <c r="X29" s="1233"/>
      <c r="Y29" s="1233"/>
      <c r="Z29" s="1240"/>
      <c r="AA29" s="1240"/>
      <c r="AB29" s="1240"/>
      <c r="AC29" s="1240"/>
      <c r="AD29" s="1240"/>
      <c r="AE29" s="1233"/>
      <c r="AF29" s="1233"/>
      <c r="AG29" s="2134"/>
      <c r="AH29" s="2134"/>
      <c r="AI29" s="2134"/>
      <c r="AJ29" s="2134"/>
    </row>
    <row r="30" spans="1:37" ht="25.5" thickBot="1">
      <c r="A30" s="2251"/>
      <c r="B30" s="2252" t="s">
        <v>2502</v>
      </c>
      <c r="C30" s="193" t="e">
        <f>ROUND(IF(E2="工业",C29*M39,C29*M38),0)</f>
        <v>#DIV/0!</v>
      </c>
      <c r="D30" s="2253"/>
      <c r="E30" s="860" t="e">
        <f>ROUND(C30*D30/10000,0)</f>
        <v>#DIV/0!</v>
      </c>
      <c r="F30" s="2254" t="s">
        <v>2503</v>
      </c>
      <c r="G30" s="2255"/>
      <c r="H30" s="2255"/>
      <c r="I30" s="2255"/>
      <c r="J30" s="2256"/>
      <c r="K30" s="1233"/>
      <c r="L30" s="1233"/>
      <c r="M30" s="1233"/>
      <c r="N30" s="1233"/>
      <c r="O30" s="1238"/>
      <c r="P30" s="1238"/>
      <c r="Q30" s="1239"/>
      <c r="R30" s="1239"/>
      <c r="S30" s="1239"/>
      <c r="T30" s="1234"/>
      <c r="U30" s="1234"/>
      <c r="V30" s="1234"/>
      <c r="W30" s="1233"/>
      <c r="X30" s="1233"/>
      <c r="Y30" s="1233"/>
      <c r="Z30" s="1240"/>
      <c r="AA30" s="1240"/>
      <c r="AB30" s="1240"/>
      <c r="AC30" s="1240"/>
      <c r="AD30" s="1240"/>
      <c r="AE30" s="1233"/>
      <c r="AF30" s="1233"/>
      <c r="AG30" s="2134"/>
      <c r="AH30" s="2134"/>
      <c r="AI30" s="2134"/>
      <c r="AJ30" s="2134"/>
    </row>
    <row r="31" spans="1:37" ht="14.25">
      <c r="A31" s="2257"/>
      <c r="B31" s="2258" t="s">
        <v>2504</v>
      </c>
      <c r="C31" s="2259" t="s">
        <v>2505</v>
      </c>
      <c r="D31" s="2176"/>
      <c r="E31" s="2259"/>
      <c r="F31" s="2259"/>
      <c r="G31" s="2174" t="s">
        <v>2506</v>
      </c>
      <c r="H31" s="2176"/>
      <c r="I31" s="2260"/>
      <c r="J31" s="2177"/>
      <c r="K31" s="1233"/>
      <c r="L31" s="1233"/>
      <c r="M31" s="1233"/>
      <c r="N31" s="1233"/>
      <c r="O31" s="1238"/>
      <c r="P31" s="1238"/>
      <c r="Q31" s="1239"/>
      <c r="R31" s="1239"/>
      <c r="S31" s="1239"/>
      <c r="T31" s="1234"/>
      <c r="U31" s="1234"/>
      <c r="V31" s="1234"/>
      <c r="W31" s="1233"/>
      <c r="X31" s="1233"/>
      <c r="Y31" s="1233"/>
      <c r="Z31" s="1240"/>
      <c r="AA31" s="1240"/>
      <c r="AB31" s="1240"/>
      <c r="AC31" s="1240"/>
      <c r="AD31" s="1240"/>
      <c r="AE31" s="1233"/>
      <c r="AF31" s="1233"/>
      <c r="AG31" s="2134"/>
      <c r="AH31" s="2134"/>
      <c r="AI31" s="2134"/>
      <c r="AJ31" s="2134"/>
    </row>
    <row r="32" spans="1:37" ht="24">
      <c r="A32" s="2245"/>
      <c r="B32" s="2261"/>
      <c r="C32" s="458" t="s">
        <v>2497</v>
      </c>
      <c r="D32" s="455" t="s">
        <v>2498</v>
      </c>
      <c r="E32" s="455" t="s">
        <v>2499</v>
      </c>
      <c r="F32" s="348" t="s">
        <v>2507</v>
      </c>
      <c r="G32" s="2262" t="s">
        <v>2497</v>
      </c>
      <c r="H32" s="2262" t="s">
        <v>2498</v>
      </c>
      <c r="I32" s="2262" t="s">
        <v>2499</v>
      </c>
      <c r="J32" s="249"/>
      <c r="K32" s="1233"/>
      <c r="L32" s="1233"/>
      <c r="M32" s="1233"/>
      <c r="N32" s="1233"/>
      <c r="O32" s="1238"/>
      <c r="P32" s="1238"/>
      <c r="Q32" s="1239"/>
      <c r="R32" s="1239"/>
      <c r="S32" s="1239"/>
      <c r="T32" s="1234"/>
      <c r="U32" s="1234"/>
      <c r="V32" s="1234"/>
      <c r="W32" s="1233"/>
      <c r="X32" s="1233"/>
      <c r="Y32" s="1233"/>
      <c r="Z32" s="1240"/>
      <c r="AA32" s="1240"/>
      <c r="AB32" s="1240"/>
      <c r="AC32" s="1240"/>
      <c r="AD32" s="1240"/>
      <c r="AE32" s="1233"/>
      <c r="AF32" s="1233"/>
      <c r="AG32" s="2134"/>
      <c r="AH32" s="2134"/>
      <c r="AI32" s="2134"/>
      <c r="AJ32" s="2134"/>
    </row>
    <row r="33" spans="1:37" ht="36" customHeight="1">
      <c r="A33" s="3530"/>
      <c r="B33" s="2263" t="s">
        <v>2508</v>
      </c>
      <c r="C33" s="180" t="e">
        <f>ROUND(D5*C19*C20*C24*F33,0)</f>
        <v>#DIV/0!</v>
      </c>
      <c r="D33" s="2247"/>
      <c r="E33" s="176" t="e">
        <f>ROUND(C33*D33/10000,0)</f>
        <v>#DIV/0!</v>
      </c>
      <c r="F33" s="176">
        <f>SUMIF(修正!A57:A68,G2,修正!B57:B68)</f>
        <v>0</v>
      </c>
      <c r="G33" s="176" t="e">
        <f t="shared" ref="G33" si="6">ROUND(IF(E2="工业",C33*$M$39,C33*$M$38),0)</f>
        <v>#DIV/0!</v>
      </c>
      <c r="H33" s="176">
        <f>D33</f>
        <v>0</v>
      </c>
      <c r="I33" s="176" t="e">
        <f>ROUND(G33*H33/10000,0)</f>
        <v>#DIV/0!</v>
      </c>
      <c r="J33" s="3535" t="s">
        <v>2810</v>
      </c>
      <c r="K33" s="1233"/>
      <c r="L33" s="1233"/>
      <c r="M33" s="1233"/>
      <c r="N33" s="1233"/>
      <c r="O33" s="1238"/>
      <c r="P33" s="1238"/>
      <c r="Q33" s="1239"/>
      <c r="R33" s="1239"/>
      <c r="S33" s="1239"/>
      <c r="T33" s="1234"/>
      <c r="U33" s="1234"/>
      <c r="V33" s="1234"/>
      <c r="W33" s="1233"/>
      <c r="X33" s="1233"/>
      <c r="Y33" s="1233"/>
      <c r="Z33" s="1240"/>
      <c r="AA33" s="1240"/>
      <c r="AB33" s="1240"/>
      <c r="AC33" s="1240"/>
      <c r="AD33" s="1240"/>
      <c r="AE33" s="1234"/>
      <c r="AF33" s="1234"/>
      <c r="AG33" s="2291"/>
      <c r="AH33" s="2291"/>
      <c r="AI33" s="2291"/>
      <c r="AJ33" s="2291"/>
    </row>
    <row r="34" spans="1:37" ht="14.25">
      <c r="A34" s="3531"/>
      <c r="B34" s="2180" t="s">
        <v>2509</v>
      </c>
      <c r="C34" s="180" t="e">
        <f>ROUND(D5*C19*C20*C24*F34,0)</f>
        <v>#DIV/0!</v>
      </c>
      <c r="D34" s="2247"/>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531"/>
      <c r="K34" s="1233"/>
      <c r="L34" s="1233"/>
      <c r="M34" s="1233"/>
      <c r="N34" s="1233"/>
      <c r="O34" s="1238"/>
      <c r="P34" s="1238"/>
      <c r="Q34" s="1239"/>
      <c r="R34" s="1239"/>
      <c r="S34" s="1239"/>
      <c r="T34" s="1234"/>
      <c r="U34" s="1234"/>
      <c r="V34" s="1234"/>
      <c r="W34" s="1233"/>
      <c r="X34" s="1233"/>
      <c r="Y34" s="1233"/>
      <c r="Z34" s="1240"/>
      <c r="AA34" s="1240"/>
      <c r="AB34" s="1240"/>
      <c r="AC34" s="1240"/>
      <c r="AD34" s="1240"/>
      <c r="AE34" s="1234"/>
      <c r="AF34" s="1234"/>
      <c r="AG34" s="2291"/>
      <c r="AH34" s="2291"/>
      <c r="AI34" s="2291"/>
      <c r="AJ34" s="2291"/>
    </row>
    <row r="35" spans="1:37">
      <c r="A35" s="3531"/>
      <c r="B35" s="2180" t="s">
        <v>2510</v>
      </c>
      <c r="C35" s="180" t="e">
        <f>ROUND(D5*C19*C20*C24*F35,0)</f>
        <v>#DIV/0!</v>
      </c>
      <c r="D35" s="2247"/>
      <c r="E35" s="176" t="e">
        <f t="shared" si="7"/>
        <v>#DIV/0!</v>
      </c>
      <c r="F35" s="176">
        <f>SUMIF(修正!A57:A68,G2,修正!D57:D68)</f>
        <v>0</v>
      </c>
      <c r="G35" s="176" t="e">
        <f>ROUND(IF(E2="工业",C35*$M$39,C35*$M$38),0)</f>
        <v>#DIV/0!</v>
      </c>
      <c r="H35" s="176">
        <f t="shared" si="8"/>
        <v>0</v>
      </c>
      <c r="I35" s="176" t="e">
        <f t="shared" si="9"/>
        <v>#DIV/0!</v>
      </c>
      <c r="J35" s="3531"/>
      <c r="K35" s="1233"/>
      <c r="L35" s="1233"/>
      <c r="M35" s="1233"/>
      <c r="N35" s="1233"/>
      <c r="O35" s="1233"/>
      <c r="P35" s="1233"/>
      <c r="Q35" s="1233"/>
      <c r="R35" s="1233"/>
      <c r="S35" s="1233"/>
      <c r="T35" s="1233"/>
      <c r="U35" s="1233"/>
      <c r="V35" s="1233"/>
      <c r="W35" s="1233"/>
      <c r="X35" s="1233"/>
      <c r="Y35" s="1233"/>
      <c r="Z35" s="1234"/>
      <c r="AA35" s="1234"/>
      <c r="AB35" s="1234"/>
      <c r="AC35" s="1234"/>
      <c r="AD35" s="1234"/>
      <c r="AE35" s="1234"/>
      <c r="AF35" s="1234"/>
      <c r="AG35" s="2291"/>
      <c r="AH35" s="2291"/>
      <c r="AI35" s="2291"/>
      <c r="AJ35" s="2291"/>
    </row>
    <row r="36" spans="1:37" ht="13.5" thickBot="1">
      <c r="A36" s="3532"/>
      <c r="B36" s="2180" t="s">
        <v>2511</v>
      </c>
      <c r="C36" s="180" t="e">
        <f>ROUND(D5*C19*C20*C24*F36,0)</f>
        <v>#DIV/0!</v>
      </c>
      <c r="D36" s="2247"/>
      <c r="E36" s="176" t="e">
        <f t="shared" si="7"/>
        <v>#DIV/0!</v>
      </c>
      <c r="F36" s="176" t="e">
        <f>SUMIF(修正!A57:A68,G2,修正!#REF!)</f>
        <v>#REF!</v>
      </c>
      <c r="G36" s="176" t="e">
        <f>ROUND(IF(E2="工业",C36*$M$39,C36*$M$38),0)</f>
        <v>#DIV/0!</v>
      </c>
      <c r="H36" s="176">
        <f t="shared" si="8"/>
        <v>0</v>
      </c>
      <c r="I36" s="176" t="e">
        <f t="shared" si="9"/>
        <v>#DIV/0!</v>
      </c>
      <c r="J36" s="3532"/>
      <c r="K36" s="1233"/>
      <c r="L36" s="2134"/>
      <c r="M36" s="2134"/>
      <c r="N36" s="1233"/>
      <c r="O36" s="1233"/>
      <c r="P36" s="1233"/>
      <c r="Q36" s="1233"/>
      <c r="R36" s="1233"/>
      <c r="S36" s="1233"/>
      <c r="T36" s="1233"/>
      <c r="U36" s="1233"/>
      <c r="V36" s="1233"/>
      <c r="W36" s="1233"/>
      <c r="X36" s="1233"/>
      <c r="Y36" s="1233"/>
      <c r="Z36" s="1234"/>
      <c r="AA36" s="1234"/>
      <c r="AB36" s="1234"/>
      <c r="AC36" s="1234"/>
      <c r="AD36" s="1234"/>
      <c r="AE36" s="1234"/>
      <c r="AF36" s="1234"/>
      <c r="AG36" s="2291"/>
      <c r="AH36" s="2291"/>
      <c r="AI36" s="2291"/>
      <c r="AJ36" s="2291"/>
    </row>
    <row r="37" spans="1:37">
      <c r="A37" s="2265"/>
      <c r="B37" s="2180" t="s">
        <v>2512</v>
      </c>
      <c r="C37" s="176" t="e">
        <f>ROUND(D5*C19*C20*C24*F37,0)</f>
        <v>#DIV/0!</v>
      </c>
      <c r="D37" s="2247"/>
      <c r="E37" s="176" t="e">
        <f t="shared" si="7"/>
        <v>#DIV/0!</v>
      </c>
      <c r="F37" s="180">
        <f>SUMIF(修正!A57:A68,G2,修正!E57:E68)</f>
        <v>0</v>
      </c>
      <c r="G37" s="176" t="e">
        <f>ROUND(IF(E2="工业",C37*$M$39,C37*$M$38),0)</f>
        <v>#DIV/0!</v>
      </c>
      <c r="H37" s="176">
        <f t="shared" si="8"/>
        <v>0</v>
      </c>
      <c r="I37" s="176" t="e">
        <f t="shared" si="9"/>
        <v>#DIV/0!</v>
      </c>
      <c r="J37" s="2264"/>
      <c r="K37" s="1233"/>
      <c r="L37" s="2266" t="s">
        <v>2513</v>
      </c>
      <c r="M37" s="2267"/>
      <c r="N37" s="1233"/>
      <c r="O37" s="1233"/>
      <c r="P37" s="1233"/>
      <c r="Q37" s="1233"/>
      <c r="R37" s="1233"/>
      <c r="S37" s="1233"/>
      <c r="T37" s="1233"/>
      <c r="U37" s="1233"/>
      <c r="V37" s="1233"/>
      <c r="W37" s="1233"/>
      <c r="X37" s="1233"/>
      <c r="Y37" s="1233"/>
      <c r="Z37" s="1234"/>
      <c r="AA37" s="1234"/>
      <c r="AB37" s="1234"/>
      <c r="AC37" s="1234"/>
      <c r="AD37" s="1234"/>
      <c r="AE37" s="1234"/>
      <c r="AF37" s="1234"/>
      <c r="AG37" s="2291"/>
      <c r="AH37" s="2291"/>
      <c r="AI37" s="2291"/>
      <c r="AJ37" s="2291"/>
    </row>
    <row r="38" spans="1:37">
      <c r="A38" s="2265"/>
      <c r="B38" s="2180" t="s">
        <v>2514</v>
      </c>
      <c r="C38" s="176" t="e">
        <f>ROUND(D5*C19*C41*C24*F38,0)</f>
        <v>#DIV/0!</v>
      </c>
      <c r="D38" s="2247"/>
      <c r="E38" s="176" t="e">
        <f t="shared" si="7"/>
        <v>#DIV/0!</v>
      </c>
      <c r="F38" s="180">
        <f>SUMIF(修正!A57:A68,G2,修正!F57:F68)</f>
        <v>0</v>
      </c>
      <c r="G38" s="176" t="e">
        <f>ROUND(IF(E2="工业",C38*$M$39,C38*$M$38),0)</f>
        <v>#DIV/0!</v>
      </c>
      <c r="H38" s="176">
        <f t="shared" si="8"/>
        <v>0</v>
      </c>
      <c r="I38" s="176" t="e">
        <f t="shared" si="9"/>
        <v>#DIV/0!</v>
      </c>
      <c r="J38" s="2264"/>
      <c r="K38" s="1233"/>
      <c r="L38" s="1556" t="s">
        <v>2515</v>
      </c>
      <c r="M38" s="2268">
        <v>0.25</v>
      </c>
      <c r="N38" s="1233"/>
      <c r="O38" s="1233"/>
      <c r="P38" s="1233"/>
      <c r="Q38" s="1233"/>
      <c r="R38" s="1233"/>
      <c r="S38" s="1233"/>
      <c r="T38" s="1233"/>
      <c r="U38" s="1233"/>
      <c r="V38" s="1233"/>
      <c r="W38" s="1233"/>
      <c r="X38" s="1233"/>
      <c r="Y38" s="1233"/>
      <c r="Z38" s="1234"/>
      <c r="AA38" s="1234"/>
      <c r="AB38" s="1234"/>
      <c r="AC38" s="1234"/>
      <c r="AD38" s="1234"/>
    </row>
    <row r="39" spans="1:37" ht="13.5" thickBot="1">
      <c r="A39" s="2251"/>
      <c r="B39" s="2269" t="s">
        <v>2516</v>
      </c>
      <c r="C39" s="193" t="e">
        <f>ROUND(D5*C19*C41*C24*F39,0)</f>
        <v>#DIV/0!</v>
      </c>
      <c r="D39" s="2253"/>
      <c r="E39" s="193" t="e">
        <f t="shared" si="7"/>
        <v>#DIV/0!</v>
      </c>
      <c r="F39" s="853">
        <f>SUMIF(修正!A57:A68,G2,修正!G57:G68)</f>
        <v>0</v>
      </c>
      <c r="G39" s="193" t="e">
        <f>ROUND(IF(E2="工业",C39*$M$39,C39*$M$38),0)</f>
        <v>#DIV/0!</v>
      </c>
      <c r="H39" s="193">
        <f t="shared" si="8"/>
        <v>0</v>
      </c>
      <c r="I39" s="193" t="e">
        <f t="shared" si="9"/>
        <v>#DIV/0!</v>
      </c>
      <c r="J39" s="2270"/>
      <c r="K39" s="1233"/>
      <c r="L39" s="2271" t="s">
        <v>2460</v>
      </c>
      <c r="M39" s="2272">
        <v>0.15</v>
      </c>
      <c r="N39" s="1233"/>
      <c r="O39" s="1233"/>
      <c r="P39" s="1233"/>
      <c r="Q39" s="1233"/>
      <c r="R39" s="1233"/>
      <c r="S39" s="1233"/>
      <c r="T39" s="1233"/>
      <c r="U39" s="1233"/>
      <c r="V39" s="1233"/>
      <c r="W39" s="1233"/>
      <c r="X39" s="1233"/>
      <c r="Y39" s="1233"/>
      <c r="Z39" s="1234"/>
      <c r="AA39" s="1234"/>
      <c r="AB39" s="1234"/>
      <c r="AC39" s="1234"/>
      <c r="AD39" s="1234"/>
    </row>
    <row r="40" spans="1:37" s="1233" customFormat="1">
      <c r="Z40" s="1234"/>
      <c r="AA40" s="1234"/>
      <c r="AB40" s="1234"/>
      <c r="AC40" s="1234"/>
      <c r="AD40" s="1234"/>
      <c r="AE40" s="1234"/>
      <c r="AF40" s="1234"/>
      <c r="AG40" s="1234"/>
      <c r="AH40" s="1234"/>
      <c r="AI40" s="1234"/>
      <c r="AJ40" s="1234"/>
    </row>
    <row r="41" spans="1:37" s="1233" customFormat="1">
      <c r="A41" s="1234"/>
      <c r="B41" s="2321" t="s">
        <v>2621</v>
      </c>
      <c r="C41" s="348" t="e">
        <f>ROUND(POWER(1+E41,H41-G41)*(POWER(1+E41,G41)-1)/(POWER(1+E41,H41)-1),4)</f>
        <v>#DIV/0!</v>
      </c>
      <c r="D41" s="176" t="s">
        <v>2467</v>
      </c>
      <c r="E41" s="2320">
        <f>G20</f>
        <v>0</v>
      </c>
      <c r="F41" s="176" t="s">
        <v>2476</v>
      </c>
      <c r="G41" s="189"/>
      <c r="H41" s="176">
        <v>50</v>
      </c>
      <c r="Z41" s="1234"/>
      <c r="AA41" s="1234"/>
      <c r="AB41" s="1234"/>
      <c r="AC41" s="1234"/>
      <c r="AD41" s="1234"/>
      <c r="AE41" s="1234"/>
      <c r="AF41" s="1234"/>
      <c r="AG41" s="1234"/>
      <c r="AH41" s="1234"/>
      <c r="AI41" s="1234"/>
      <c r="AJ41" s="1234"/>
    </row>
    <row r="42" spans="1:37" s="1233" customFormat="1">
      <c r="A42" s="1234"/>
      <c r="B42" s="2273"/>
      <c r="Z42" s="1234"/>
      <c r="AA42" s="1234"/>
      <c r="AB42" s="1234"/>
      <c r="AC42" s="1234"/>
      <c r="AD42" s="1234"/>
      <c r="AE42" s="1234"/>
      <c r="AF42" s="1234"/>
      <c r="AG42" s="1234"/>
      <c r="AH42" s="1234"/>
      <c r="AI42" s="1234"/>
      <c r="AJ42" s="1234"/>
    </row>
    <row r="43" spans="1:37" s="1233" customFormat="1">
      <c r="A43" s="1234"/>
      <c r="B43" s="2273"/>
      <c r="Z43" s="1234"/>
      <c r="AA43" s="1234"/>
      <c r="AB43" s="1234"/>
      <c r="AC43" s="1234"/>
      <c r="AD43" s="1234"/>
      <c r="AE43" s="1234"/>
      <c r="AF43" s="1234"/>
      <c r="AG43" s="1234"/>
      <c r="AH43" s="1234"/>
      <c r="AI43" s="1234"/>
      <c r="AJ43" s="1234"/>
    </row>
    <row r="44" spans="1:37" s="1233" customFormat="1">
      <c r="A44" s="1234"/>
      <c r="B44" s="2273"/>
      <c r="Z44" s="1234"/>
      <c r="AA44" s="1234"/>
      <c r="AB44" s="1234"/>
      <c r="AC44" s="1234"/>
      <c r="AD44" s="1234"/>
      <c r="AE44" s="1234"/>
      <c r="AF44" s="1234"/>
      <c r="AG44" s="1234"/>
      <c r="AH44" s="1234"/>
      <c r="AI44" s="1234"/>
      <c r="AJ44" s="1234"/>
    </row>
    <row r="45" spans="1:37" s="1233" customFormat="1" ht="15.75" thickBot="1">
      <c r="A45" s="2274" t="s">
        <v>2517</v>
      </c>
      <c r="B45" s="2275"/>
      <c r="C45" s="7"/>
      <c r="D45" s="7"/>
      <c r="E45" s="7"/>
      <c r="F45" s="6"/>
      <c r="G45" s="6"/>
      <c r="H45" s="6"/>
      <c r="I45" s="1958"/>
      <c r="J45" s="1958"/>
      <c r="K45" s="1958"/>
      <c r="L45" s="1958"/>
      <c r="M45" s="1958"/>
      <c r="Z45" s="1234"/>
      <c r="AA45" s="1234"/>
      <c r="AB45" s="1234"/>
      <c r="AC45" s="1234"/>
      <c r="AD45" s="1234"/>
      <c r="AE45" s="1234"/>
      <c r="AF45" s="1234"/>
      <c r="AG45" s="1234"/>
      <c r="AH45" s="1234"/>
      <c r="AI45" s="1234"/>
      <c r="AJ45" s="1234"/>
    </row>
    <row r="46" spans="1:37" s="1233" customFormat="1" ht="15">
      <c r="A46" s="2276" t="s">
        <v>2518</v>
      </c>
      <c r="B46" s="2277">
        <f>1+E48</f>
        <v>1</v>
      </c>
      <c r="C46" s="2278"/>
      <c r="D46" s="753"/>
      <c r="E46" s="754"/>
      <c r="F46" s="2279"/>
      <c r="G46" s="6"/>
      <c r="H46" s="7"/>
      <c r="I46" s="1958"/>
      <c r="J46" s="1958"/>
      <c r="K46" s="1958"/>
      <c r="L46" s="1958"/>
      <c r="M46" s="1958"/>
      <c r="Z46" s="1234"/>
      <c r="AA46" s="1234"/>
      <c r="AB46" s="1234"/>
      <c r="AC46" s="1234"/>
      <c r="AD46" s="1234"/>
      <c r="AE46" s="1234"/>
      <c r="AF46" s="1234"/>
      <c r="AG46" s="1234"/>
      <c r="AH46" s="1234"/>
      <c r="AI46" s="1234"/>
      <c r="AJ46" s="1234"/>
    </row>
    <row r="47" spans="1:37" s="1233" customFormat="1" ht="24.75">
      <c r="A47" s="2280" t="s">
        <v>2519</v>
      </c>
      <c r="B47" s="1486" t="s">
        <v>2520</v>
      </c>
      <c r="C47" s="1486" t="s">
        <v>2521</v>
      </c>
      <c r="D47" s="1486" t="s">
        <v>2522</v>
      </c>
      <c r="E47" s="758" t="s">
        <v>2523</v>
      </c>
      <c r="F47" s="2281" t="s">
        <v>2524</v>
      </c>
      <c r="G47" s="1486" t="s">
        <v>574</v>
      </c>
      <c r="H47" s="2282" t="s">
        <v>2525</v>
      </c>
      <c r="I47" s="1486" t="s">
        <v>2526</v>
      </c>
      <c r="J47" s="560" t="s">
        <v>2176</v>
      </c>
      <c r="K47" s="560" t="s">
        <v>2177</v>
      </c>
      <c r="L47" s="560" t="s">
        <v>2178</v>
      </c>
      <c r="M47" s="560" t="s">
        <v>2179</v>
      </c>
      <c r="N47" s="560" t="s">
        <v>2180</v>
      </c>
      <c r="AA47" s="1234"/>
      <c r="AB47" s="1234"/>
      <c r="AC47" s="1234"/>
      <c r="AD47" s="1234"/>
      <c r="AE47" s="1234"/>
      <c r="AF47" s="1234"/>
      <c r="AG47" s="1234"/>
      <c r="AH47" s="1234"/>
      <c r="AI47" s="1234"/>
      <c r="AJ47" s="1234"/>
      <c r="AK47" s="1234"/>
    </row>
    <row r="48" spans="1:37" s="1233" customFormat="1" ht="38.25">
      <c r="A48" s="2280" t="s">
        <v>2527</v>
      </c>
      <c r="B48" s="2283" t="str">
        <f>估价对象房地状况!C4</f>
        <v>估价对象位于XX商圈，周边商业氛围成熟，人流量大，商业繁华度好</v>
      </c>
      <c r="C48" s="2185"/>
      <c r="D48" s="1177">
        <f t="shared" ref="D48:D56" si="10">SUMIF($J$47:$N$47,C48,J48:N48)</f>
        <v>0</v>
      </c>
      <c r="E48" s="760">
        <f>ROUND(SUM(D48:D56),4)</f>
        <v>0</v>
      </c>
      <c r="F48" s="1951" t="str">
        <f>IF(E2="商业",SUMIF(L1:L12,G2,N1:N12),"——")</f>
        <v>——</v>
      </c>
      <c r="G48" s="1175"/>
      <c r="H48" s="1179" t="str">
        <f t="shared" ref="H48:H56" si="11">IFERROR(ROUNDDOWN($F$48*I48/2,4),"——")</f>
        <v>——</v>
      </c>
      <c r="I48" s="759">
        <v>0.33</v>
      </c>
      <c r="J48" s="1176">
        <f t="shared" ref="J48:J56" si="12">K48+$G48</f>
        <v>0</v>
      </c>
      <c r="K48" s="1176">
        <f t="shared" ref="K48:K56" si="13">$L48+$G48</f>
        <v>0</v>
      </c>
      <c r="L48" s="1176">
        <v>0</v>
      </c>
      <c r="M48" s="1176">
        <f t="shared" ref="M48:N56" si="14">L48-$G48</f>
        <v>0</v>
      </c>
      <c r="N48" s="1176">
        <f t="shared" si="14"/>
        <v>0</v>
      </c>
      <c r="AA48" s="1234"/>
      <c r="AB48" s="1234"/>
      <c r="AC48" s="1234"/>
      <c r="AD48" s="1234"/>
      <c r="AE48" s="1234"/>
      <c r="AF48" s="1234"/>
      <c r="AG48" s="1234"/>
      <c r="AH48" s="1234"/>
      <c r="AI48" s="1234"/>
      <c r="AJ48" s="1234"/>
      <c r="AK48" s="1234"/>
    </row>
    <row r="49" spans="1:37" s="1233" customFormat="1" ht="51">
      <c r="A49" s="2280" t="s">
        <v>2528</v>
      </c>
      <c r="B49" s="2284" t="str">
        <f>估价对象房地状况!C18</f>
        <v>估价对象周边道路状况、公共交通通达情况、停车便捷程度，综合评价交通便捷度较好</v>
      </c>
      <c r="C49" s="2185"/>
      <c r="D49" s="1177">
        <f t="shared" si="10"/>
        <v>0</v>
      </c>
      <c r="E49" s="761"/>
      <c r="F49" s="1951"/>
      <c r="G49" s="1175"/>
      <c r="H49" s="1179" t="str">
        <f t="shared" si="11"/>
        <v>——</v>
      </c>
      <c r="I49" s="759">
        <v>0.25</v>
      </c>
      <c r="J49" s="1176">
        <f t="shared" si="12"/>
        <v>0</v>
      </c>
      <c r="K49" s="1176">
        <f t="shared" si="13"/>
        <v>0</v>
      </c>
      <c r="L49" s="1176">
        <v>0</v>
      </c>
      <c r="M49" s="1176">
        <f t="shared" si="14"/>
        <v>0</v>
      </c>
      <c r="N49" s="1176">
        <f t="shared" si="14"/>
        <v>0</v>
      </c>
      <c r="AA49" s="1234"/>
      <c r="AB49" s="1234"/>
      <c r="AC49" s="1234"/>
      <c r="AD49" s="1234"/>
      <c r="AE49" s="1234"/>
      <c r="AF49" s="1234"/>
      <c r="AG49" s="1234"/>
      <c r="AH49" s="1234"/>
      <c r="AI49" s="1234"/>
      <c r="AJ49" s="1234"/>
      <c r="AK49" s="1234"/>
    </row>
    <row r="50" spans="1:37" s="1233" customFormat="1" ht="24">
      <c r="A50" s="2280" t="s">
        <v>2529</v>
      </c>
      <c r="B50" s="2284">
        <f>估价对象房地状况!C19</f>
        <v>0</v>
      </c>
      <c r="C50" s="2185"/>
      <c r="D50" s="1177">
        <f t="shared" si="10"/>
        <v>0</v>
      </c>
      <c r="E50" s="761"/>
      <c r="F50" s="1951"/>
      <c r="G50" s="1175"/>
      <c r="H50" s="1179" t="str">
        <f t="shared" si="11"/>
        <v>——</v>
      </c>
      <c r="I50" s="759">
        <v>0.05</v>
      </c>
      <c r="J50" s="1176">
        <f t="shared" si="12"/>
        <v>0</v>
      </c>
      <c r="K50" s="1176">
        <f t="shared" si="13"/>
        <v>0</v>
      </c>
      <c r="L50" s="1176">
        <v>0</v>
      </c>
      <c r="M50" s="1176">
        <f t="shared" si="14"/>
        <v>0</v>
      </c>
      <c r="N50" s="1176">
        <f t="shared" si="14"/>
        <v>0</v>
      </c>
      <c r="AA50" s="1234"/>
      <c r="AB50" s="1234"/>
      <c r="AC50" s="1234"/>
      <c r="AD50" s="1234"/>
      <c r="AE50" s="1234"/>
      <c r="AF50" s="1234"/>
      <c r="AG50" s="1234"/>
      <c r="AH50" s="1234"/>
      <c r="AI50" s="1234"/>
      <c r="AJ50" s="1234"/>
      <c r="AK50" s="1234"/>
    </row>
    <row r="51" spans="1:37" s="1233" customFormat="1" ht="36.75">
      <c r="A51" s="2280" t="s">
        <v>2530</v>
      </c>
      <c r="B51" s="2285" t="s">
        <v>2531</v>
      </c>
      <c r="C51" s="2185"/>
      <c r="D51" s="1177">
        <f t="shared" si="10"/>
        <v>0</v>
      </c>
      <c r="E51" s="761"/>
      <c r="F51" s="1951"/>
      <c r="G51" s="1175"/>
      <c r="H51" s="1179" t="str">
        <f t="shared" si="11"/>
        <v>——</v>
      </c>
      <c r="I51" s="759">
        <v>0.05</v>
      </c>
      <c r="J51" s="1176">
        <f t="shared" si="12"/>
        <v>0</v>
      </c>
      <c r="K51" s="1176">
        <f t="shared" si="13"/>
        <v>0</v>
      </c>
      <c r="L51" s="1176">
        <v>0</v>
      </c>
      <c r="M51" s="1176">
        <f t="shared" si="14"/>
        <v>0</v>
      </c>
      <c r="N51" s="1176">
        <f t="shared" si="14"/>
        <v>0</v>
      </c>
      <c r="AA51" s="1234"/>
      <c r="AB51" s="1234"/>
      <c r="AC51" s="1234"/>
      <c r="AD51" s="1234"/>
      <c r="AE51" s="1234"/>
      <c r="AF51" s="1234"/>
      <c r="AG51" s="1234"/>
      <c r="AH51" s="1234"/>
      <c r="AI51" s="1234"/>
      <c r="AJ51" s="1234"/>
      <c r="AK51" s="1234"/>
    </row>
    <row r="52" spans="1:37" s="1233" customFormat="1" ht="24">
      <c r="A52" s="2280" t="s">
        <v>2532</v>
      </c>
      <c r="B52" s="2284">
        <f>估价对象房地状况!C24</f>
        <v>0</v>
      </c>
      <c r="C52" s="2185"/>
      <c r="D52" s="1177">
        <f t="shared" si="10"/>
        <v>0</v>
      </c>
      <c r="E52" s="761"/>
      <c r="F52" s="1951"/>
      <c r="G52" s="1175"/>
      <c r="H52" s="1179" t="str">
        <f t="shared" si="11"/>
        <v>——</v>
      </c>
      <c r="I52" s="759">
        <v>0.08</v>
      </c>
      <c r="J52" s="1176">
        <f t="shared" si="12"/>
        <v>0</v>
      </c>
      <c r="K52" s="1176">
        <f t="shared" si="13"/>
        <v>0</v>
      </c>
      <c r="L52" s="1176">
        <v>0</v>
      </c>
      <c r="M52" s="1176">
        <f t="shared" si="14"/>
        <v>0</v>
      </c>
      <c r="N52" s="1176">
        <f t="shared" si="14"/>
        <v>0</v>
      </c>
      <c r="AA52" s="1234"/>
      <c r="AB52" s="1234"/>
      <c r="AC52" s="1234"/>
      <c r="AD52" s="1234"/>
      <c r="AE52" s="1234"/>
      <c r="AF52" s="1234"/>
      <c r="AG52" s="1234"/>
      <c r="AH52" s="1234"/>
      <c r="AI52" s="1234"/>
      <c r="AJ52" s="1234"/>
      <c r="AK52" s="1234"/>
    </row>
    <row r="53" spans="1:37" s="1233" customFormat="1" ht="24">
      <c r="A53" s="2280" t="s">
        <v>2533</v>
      </c>
      <c r="B53" s="2286" t="s">
        <v>2534</v>
      </c>
      <c r="C53" s="2185"/>
      <c r="D53" s="1177">
        <f t="shared" si="10"/>
        <v>0</v>
      </c>
      <c r="E53" s="761"/>
      <c r="F53" s="1951"/>
      <c r="G53" s="1175"/>
      <c r="H53" s="1179" t="str">
        <f t="shared" si="11"/>
        <v>——</v>
      </c>
      <c r="I53" s="759">
        <v>0.03</v>
      </c>
      <c r="J53" s="1176">
        <f t="shared" si="12"/>
        <v>0</v>
      </c>
      <c r="K53" s="1176">
        <f t="shared" si="13"/>
        <v>0</v>
      </c>
      <c r="L53" s="1176">
        <v>0</v>
      </c>
      <c r="M53" s="1176">
        <f t="shared" si="14"/>
        <v>0</v>
      </c>
      <c r="N53" s="1176">
        <f t="shared" si="14"/>
        <v>0</v>
      </c>
      <c r="AA53" s="1234"/>
      <c r="AB53" s="1234"/>
      <c r="AC53" s="1234"/>
      <c r="AD53" s="1234"/>
      <c r="AE53" s="1234"/>
      <c r="AF53" s="1234"/>
      <c r="AG53" s="1234"/>
      <c r="AH53" s="1234"/>
      <c r="AI53" s="1234"/>
      <c r="AJ53" s="1234"/>
      <c r="AK53" s="1234"/>
    </row>
    <row r="54" spans="1:37" s="1233" customFormat="1" ht="25.5">
      <c r="A54" s="2287" t="s">
        <v>2535</v>
      </c>
      <c r="B54" s="1447" t="str">
        <f>估价对象房地状况!C21</f>
        <v>估价对象所在区域公共配套设施齐备情况</v>
      </c>
      <c r="C54" s="2185"/>
      <c r="D54" s="1177">
        <f t="shared" si="10"/>
        <v>0</v>
      </c>
      <c r="E54" s="761"/>
      <c r="F54" s="1951"/>
      <c r="G54" s="1175"/>
      <c r="H54" s="1179" t="str">
        <f t="shared" si="11"/>
        <v>——</v>
      </c>
      <c r="I54" s="759">
        <v>0.05</v>
      </c>
      <c r="J54" s="1176">
        <f t="shared" si="12"/>
        <v>0</v>
      </c>
      <c r="K54" s="1176">
        <f t="shared" si="13"/>
        <v>0</v>
      </c>
      <c r="L54" s="1176">
        <v>0</v>
      </c>
      <c r="M54" s="1176">
        <f t="shared" si="14"/>
        <v>0</v>
      </c>
      <c r="N54" s="1176">
        <f t="shared" si="14"/>
        <v>0</v>
      </c>
      <c r="AA54" s="1234"/>
      <c r="AB54" s="1234"/>
      <c r="AC54" s="1234"/>
      <c r="AD54" s="1234"/>
      <c r="AE54" s="1234"/>
      <c r="AF54" s="1234"/>
      <c r="AG54" s="1234"/>
      <c r="AH54" s="1234"/>
      <c r="AI54" s="1234"/>
      <c r="AJ54" s="1234"/>
      <c r="AK54" s="1234"/>
    </row>
    <row r="55" spans="1:37" s="1233" customFormat="1" ht="25.5">
      <c r="A55" s="2287" t="s">
        <v>2536</v>
      </c>
      <c r="B55" s="2284" t="str">
        <f>估价对象房地状况!C22</f>
        <v>估价对象所在区域基础设施水平</v>
      </c>
      <c r="C55" s="2185"/>
      <c r="D55" s="1177">
        <f t="shared" si="10"/>
        <v>0</v>
      </c>
      <c r="E55" s="761"/>
      <c r="F55" s="1951"/>
      <c r="G55" s="1175"/>
      <c r="H55" s="1179" t="str">
        <f t="shared" si="11"/>
        <v>——</v>
      </c>
      <c r="I55" s="759">
        <v>0.1</v>
      </c>
      <c r="J55" s="1176">
        <f t="shared" si="12"/>
        <v>0</v>
      </c>
      <c r="K55" s="1176">
        <f t="shared" si="13"/>
        <v>0</v>
      </c>
      <c r="L55" s="1176">
        <v>0</v>
      </c>
      <c r="M55" s="1176">
        <f t="shared" si="14"/>
        <v>0</v>
      </c>
      <c r="N55" s="1176">
        <f t="shared" si="14"/>
        <v>0</v>
      </c>
      <c r="AA55" s="1234"/>
      <c r="AB55" s="1234"/>
      <c r="AC55" s="1234"/>
      <c r="AD55" s="1234"/>
      <c r="AE55" s="1234"/>
      <c r="AF55" s="1234"/>
      <c r="AG55" s="1234"/>
      <c r="AH55" s="1234"/>
      <c r="AI55" s="1234"/>
      <c r="AJ55" s="1234"/>
      <c r="AK55" s="1234"/>
    </row>
    <row r="56" spans="1:37" s="1233" customFormat="1" ht="39" thickBot="1">
      <c r="A56" s="2288" t="s">
        <v>2537</v>
      </c>
      <c r="B56" s="2289" t="str">
        <f>估价对象房地状况!C20</f>
        <v>区域自然环境：；人文环境；综合评价环境状况一般</v>
      </c>
      <c r="C56" s="2185"/>
      <c r="D56" s="1177">
        <f t="shared" si="10"/>
        <v>0</v>
      </c>
      <c r="E56" s="764"/>
      <c r="F56" s="1951"/>
      <c r="G56" s="1175"/>
      <c r="H56" s="1179" t="str">
        <f t="shared" si="11"/>
        <v>——</v>
      </c>
      <c r="I56" s="763">
        <v>0.06</v>
      </c>
      <c r="J56" s="1176">
        <f t="shared" si="12"/>
        <v>0</v>
      </c>
      <c r="K56" s="1176">
        <f t="shared" si="13"/>
        <v>0</v>
      </c>
      <c r="L56" s="1176">
        <v>0</v>
      </c>
      <c r="M56" s="1176">
        <f t="shared" si="14"/>
        <v>0</v>
      </c>
      <c r="N56" s="1176">
        <f t="shared" si="14"/>
        <v>0</v>
      </c>
      <c r="AA56" s="1234"/>
      <c r="AB56" s="1234"/>
      <c r="AC56" s="1234"/>
      <c r="AD56" s="1234"/>
      <c r="AE56" s="1234"/>
      <c r="AF56" s="1234"/>
      <c r="AG56" s="1234"/>
      <c r="AH56" s="1234"/>
      <c r="AI56" s="1234"/>
      <c r="AJ56" s="1234"/>
      <c r="AK56" s="1234"/>
    </row>
    <row r="57" spans="1:37" s="1233" customFormat="1" ht="15">
      <c r="A57" s="2276" t="s">
        <v>2538</v>
      </c>
      <c r="B57" s="2277">
        <f>1+E59</f>
        <v>1</v>
      </c>
      <c r="C57" s="753"/>
      <c r="D57" s="753"/>
      <c r="E57" s="754"/>
      <c r="F57" s="2279"/>
      <c r="G57" s="6"/>
      <c r="H57" s="6"/>
      <c r="I57" s="6"/>
      <c r="J57" s="7"/>
      <c r="K57" s="7"/>
      <c r="L57" s="7"/>
      <c r="M57" s="7"/>
      <c r="N57" s="7"/>
      <c r="AA57" s="1234"/>
      <c r="AB57" s="1234"/>
      <c r="AC57" s="1234"/>
      <c r="AD57" s="1234"/>
      <c r="AE57" s="1234"/>
      <c r="AF57" s="1234"/>
      <c r="AG57" s="1234"/>
      <c r="AH57" s="1234"/>
      <c r="AI57" s="1234"/>
      <c r="AJ57" s="1234"/>
      <c r="AK57" s="1234"/>
    </row>
    <row r="58" spans="1:37" s="1233" customFormat="1" ht="24.75">
      <c r="A58" s="2280" t="s">
        <v>2519</v>
      </c>
      <c r="B58" s="1486"/>
      <c r="C58" s="1486" t="s">
        <v>2521</v>
      </c>
      <c r="D58" s="1486" t="s">
        <v>2522</v>
      </c>
      <c r="E58" s="758" t="s">
        <v>2523</v>
      </c>
      <c r="F58" s="2281" t="s">
        <v>2539</v>
      </c>
      <c r="G58" s="1486" t="s">
        <v>574</v>
      </c>
      <c r="H58" s="2282" t="s">
        <v>2525</v>
      </c>
      <c r="I58" s="1486" t="s">
        <v>2526</v>
      </c>
      <c r="J58" s="560" t="s">
        <v>2176</v>
      </c>
      <c r="K58" s="560" t="s">
        <v>2177</v>
      </c>
      <c r="L58" s="560" t="s">
        <v>2178</v>
      </c>
      <c r="M58" s="560" t="s">
        <v>2179</v>
      </c>
      <c r="N58" s="560" t="s">
        <v>2180</v>
      </c>
      <c r="AA58" s="1234"/>
      <c r="AB58" s="1234"/>
      <c r="AC58" s="1234"/>
      <c r="AD58" s="1234"/>
      <c r="AE58" s="1234"/>
      <c r="AF58" s="1234"/>
      <c r="AG58" s="1234"/>
      <c r="AH58" s="1234"/>
      <c r="AI58" s="1234"/>
      <c r="AJ58" s="1234"/>
      <c r="AK58" s="1234"/>
    </row>
    <row r="59" spans="1:37" s="1233" customFormat="1" ht="38.25">
      <c r="A59" s="2280" t="s">
        <v>2540</v>
      </c>
      <c r="B59" s="2283" t="str">
        <f>估价对象房地状况!C17</f>
        <v>估价对象位于XX商圈，周边办公楼项目较多，入驻率高，办公集聚程度较好</v>
      </c>
      <c r="C59" s="2185"/>
      <c r="D59" s="1177">
        <f t="shared" ref="D59:D67" si="15">SUMIF($J$58:$N$58,C59,J59:N59)</f>
        <v>0</v>
      </c>
      <c r="E59" s="760">
        <f>ROUND(SUM(D59:D67),4)</f>
        <v>0</v>
      </c>
      <c r="F59" s="1951" t="str">
        <f>IF(E2="办公",SUMIF(L1:L12,G2,N1:N12),"——")</f>
        <v>——</v>
      </c>
      <c r="G59" s="1175"/>
      <c r="H59" s="1179" t="str">
        <f t="shared" ref="H59:H67" si="16">IFERROR(ROUNDDOWN($F$59*I59/2,4),"——")</f>
        <v>——</v>
      </c>
      <c r="I59" s="759">
        <v>0.24</v>
      </c>
      <c r="J59" s="1176">
        <f t="shared" ref="J59:J67" si="17">K59+$G59</f>
        <v>0</v>
      </c>
      <c r="K59" s="1176">
        <f t="shared" ref="K59:K67" si="18">$L59+$G59</f>
        <v>0</v>
      </c>
      <c r="L59" s="1176">
        <v>0</v>
      </c>
      <c r="M59" s="1176">
        <f t="shared" ref="M59:N67" si="19">L59-$G59</f>
        <v>0</v>
      </c>
      <c r="N59" s="1176">
        <f t="shared" si="19"/>
        <v>0</v>
      </c>
      <c r="AA59" s="1234"/>
      <c r="AB59" s="1234"/>
      <c r="AC59" s="1234"/>
      <c r="AD59" s="1234"/>
      <c r="AE59" s="1234"/>
      <c r="AF59" s="1234"/>
      <c r="AG59" s="1234"/>
      <c r="AH59" s="1234"/>
      <c r="AI59" s="1234"/>
      <c r="AJ59" s="1234"/>
      <c r="AK59" s="1234"/>
    </row>
    <row r="60" spans="1:37" s="1233" customFormat="1" ht="51">
      <c r="A60" s="2280" t="s">
        <v>2528</v>
      </c>
      <c r="B60" s="2284" t="str">
        <f>估价对象房地状况!C18</f>
        <v>估价对象周边道路状况、公共交通通达情况、停车便捷程度，综合评价交通便捷度较好</v>
      </c>
      <c r="C60" s="2185"/>
      <c r="D60" s="1177">
        <f t="shared" si="15"/>
        <v>0</v>
      </c>
      <c r="E60" s="761"/>
      <c r="F60" s="1951"/>
      <c r="G60" s="1175"/>
      <c r="H60" s="1179" t="str">
        <f t="shared" si="16"/>
        <v>——</v>
      </c>
      <c r="I60" s="759">
        <v>0.3</v>
      </c>
      <c r="J60" s="1176">
        <f t="shared" si="17"/>
        <v>0</v>
      </c>
      <c r="K60" s="1176">
        <f t="shared" si="18"/>
        <v>0</v>
      </c>
      <c r="L60" s="1176">
        <v>0</v>
      </c>
      <c r="M60" s="1176">
        <f t="shared" si="19"/>
        <v>0</v>
      </c>
      <c r="N60" s="1176">
        <f t="shared" si="19"/>
        <v>0</v>
      </c>
      <c r="AA60" s="1234"/>
      <c r="AB60" s="1234"/>
      <c r="AC60" s="1234"/>
      <c r="AD60" s="1234"/>
      <c r="AE60" s="1234"/>
      <c r="AF60" s="1234"/>
      <c r="AG60" s="1234"/>
      <c r="AH60" s="1234"/>
      <c r="AI60" s="1234"/>
      <c r="AJ60" s="1234"/>
      <c r="AK60" s="1234"/>
    </row>
    <row r="61" spans="1:37" s="1233" customFormat="1" ht="24">
      <c r="A61" s="2280" t="s">
        <v>2529</v>
      </c>
      <c r="B61" s="2284">
        <f>估价对象房地状况!C19</f>
        <v>0</v>
      </c>
      <c r="C61" s="2185"/>
      <c r="D61" s="1177">
        <f t="shared" si="15"/>
        <v>0</v>
      </c>
      <c r="E61" s="761"/>
      <c r="F61" s="1951"/>
      <c r="G61" s="1175"/>
      <c r="H61" s="1179" t="str">
        <f t="shared" si="16"/>
        <v>——</v>
      </c>
      <c r="I61" s="759">
        <v>0.08</v>
      </c>
      <c r="J61" s="1176">
        <f t="shared" si="17"/>
        <v>0</v>
      </c>
      <c r="K61" s="1176">
        <f t="shared" si="18"/>
        <v>0</v>
      </c>
      <c r="L61" s="1176">
        <v>0</v>
      </c>
      <c r="M61" s="1176">
        <f t="shared" si="19"/>
        <v>0</v>
      </c>
      <c r="N61" s="1176">
        <f t="shared" si="19"/>
        <v>0</v>
      </c>
      <c r="AA61" s="1234"/>
      <c r="AB61" s="1234"/>
      <c r="AC61" s="1234"/>
      <c r="AD61" s="1234"/>
      <c r="AE61" s="1234"/>
      <c r="AF61" s="1234"/>
      <c r="AG61" s="1234"/>
      <c r="AH61" s="1234"/>
      <c r="AI61" s="1234"/>
      <c r="AJ61" s="1234"/>
      <c r="AK61" s="1234"/>
    </row>
    <row r="62" spans="1:37" s="1233" customFormat="1" ht="36.75">
      <c r="A62" s="2280" t="s">
        <v>2530</v>
      </c>
      <c r="B62" s="2285" t="s">
        <v>2531</v>
      </c>
      <c r="C62" s="2185"/>
      <c r="D62" s="1177">
        <f t="shared" si="15"/>
        <v>0</v>
      </c>
      <c r="E62" s="761"/>
      <c r="F62" s="1951"/>
      <c r="G62" s="1175"/>
      <c r="H62" s="1179" t="str">
        <f t="shared" si="16"/>
        <v>——</v>
      </c>
      <c r="I62" s="759">
        <v>0.04</v>
      </c>
      <c r="J62" s="1176">
        <f t="shared" si="17"/>
        <v>0</v>
      </c>
      <c r="K62" s="1176">
        <f t="shared" si="18"/>
        <v>0</v>
      </c>
      <c r="L62" s="1176">
        <v>0</v>
      </c>
      <c r="M62" s="1176">
        <f t="shared" si="19"/>
        <v>0</v>
      </c>
      <c r="N62" s="1176">
        <f t="shared" si="19"/>
        <v>0</v>
      </c>
      <c r="AA62" s="1234"/>
      <c r="AB62" s="1234"/>
      <c r="AC62" s="1234"/>
      <c r="AD62" s="1234"/>
      <c r="AE62" s="1234"/>
      <c r="AF62" s="1234"/>
      <c r="AG62" s="1234"/>
      <c r="AH62" s="1234"/>
      <c r="AI62" s="1234"/>
      <c r="AJ62" s="1234"/>
      <c r="AK62" s="1234"/>
    </row>
    <row r="63" spans="1:37" s="1233" customFormat="1" ht="24">
      <c r="A63" s="2280" t="s">
        <v>2532</v>
      </c>
      <c r="B63" s="2284">
        <f>估价对象房地状况!C24</f>
        <v>0</v>
      </c>
      <c r="C63" s="2185"/>
      <c r="D63" s="1177">
        <f t="shared" si="15"/>
        <v>0</v>
      </c>
      <c r="E63" s="761"/>
      <c r="F63" s="1951"/>
      <c r="G63" s="1175"/>
      <c r="H63" s="1179" t="str">
        <f t="shared" si="16"/>
        <v>——</v>
      </c>
      <c r="I63" s="759">
        <v>0.05</v>
      </c>
      <c r="J63" s="1176">
        <f t="shared" si="17"/>
        <v>0</v>
      </c>
      <c r="K63" s="1176">
        <f t="shared" si="18"/>
        <v>0</v>
      </c>
      <c r="L63" s="1176">
        <v>0</v>
      </c>
      <c r="M63" s="1176">
        <f t="shared" si="19"/>
        <v>0</v>
      </c>
      <c r="N63" s="1176">
        <f t="shared" si="19"/>
        <v>0</v>
      </c>
      <c r="AA63" s="1234"/>
      <c r="AB63" s="1234"/>
      <c r="AC63" s="1234"/>
      <c r="AD63" s="1234"/>
      <c r="AE63" s="1234"/>
      <c r="AF63" s="1234"/>
      <c r="AG63" s="1234"/>
      <c r="AH63" s="1234"/>
      <c r="AI63" s="1234"/>
      <c r="AJ63" s="1234"/>
      <c r="AK63" s="1234"/>
    </row>
    <row r="64" spans="1:37" s="1233" customFormat="1" ht="24">
      <c r="A64" s="2280" t="s">
        <v>2533</v>
      </c>
      <c r="B64" s="2286" t="s">
        <v>2534</v>
      </c>
      <c r="C64" s="2185"/>
      <c r="D64" s="1177">
        <f t="shared" si="15"/>
        <v>0</v>
      </c>
      <c r="E64" s="761"/>
      <c r="F64" s="1951"/>
      <c r="G64" s="1175"/>
      <c r="H64" s="1179" t="str">
        <f t="shared" si="16"/>
        <v>——</v>
      </c>
      <c r="I64" s="759">
        <v>0.05</v>
      </c>
      <c r="J64" s="1176">
        <f t="shared" si="17"/>
        <v>0</v>
      </c>
      <c r="K64" s="1176">
        <f t="shared" si="18"/>
        <v>0</v>
      </c>
      <c r="L64" s="1176">
        <v>0</v>
      </c>
      <c r="M64" s="1176">
        <f t="shared" si="19"/>
        <v>0</v>
      </c>
      <c r="N64" s="1176">
        <f t="shared" si="19"/>
        <v>0</v>
      </c>
      <c r="AA64" s="1234"/>
      <c r="AB64" s="1234"/>
      <c r="AC64" s="1234"/>
      <c r="AD64" s="1234"/>
      <c r="AE64" s="1234"/>
      <c r="AF64" s="1234"/>
      <c r="AG64" s="1234"/>
      <c r="AH64" s="1234"/>
      <c r="AI64" s="1234"/>
      <c r="AJ64" s="1234"/>
      <c r="AK64" s="1234"/>
    </row>
    <row r="65" spans="1:37" s="1233" customFormat="1" ht="25.5">
      <c r="A65" s="2280" t="s">
        <v>2535</v>
      </c>
      <c r="B65" s="1447" t="str">
        <f>估价对象房地状况!C21</f>
        <v>估价对象所在区域公共配套设施齐备情况</v>
      </c>
      <c r="C65" s="2185"/>
      <c r="D65" s="1177">
        <f t="shared" si="15"/>
        <v>0</v>
      </c>
      <c r="E65" s="761"/>
      <c r="F65" s="1951"/>
      <c r="G65" s="1175"/>
      <c r="H65" s="1179" t="str">
        <f t="shared" si="16"/>
        <v>——</v>
      </c>
      <c r="I65" s="759">
        <v>0.06</v>
      </c>
      <c r="J65" s="1176">
        <f t="shared" si="17"/>
        <v>0</v>
      </c>
      <c r="K65" s="1176">
        <f t="shared" si="18"/>
        <v>0</v>
      </c>
      <c r="L65" s="1176">
        <v>0</v>
      </c>
      <c r="M65" s="1176">
        <f t="shared" si="19"/>
        <v>0</v>
      </c>
      <c r="N65" s="1176">
        <f t="shared" si="19"/>
        <v>0</v>
      </c>
      <c r="AA65" s="1234"/>
      <c r="AB65" s="1234"/>
      <c r="AC65" s="1234"/>
      <c r="AD65" s="1234"/>
      <c r="AE65" s="1234"/>
      <c r="AF65" s="1234"/>
      <c r="AG65" s="1234"/>
      <c r="AH65" s="1234"/>
      <c r="AI65" s="1234"/>
      <c r="AJ65" s="1234"/>
      <c r="AK65" s="1234"/>
    </row>
    <row r="66" spans="1:37" s="1233" customFormat="1" ht="25.5">
      <c r="A66" s="2280" t="s">
        <v>2536</v>
      </c>
      <c r="B66" s="1447" t="str">
        <f>估价对象房地状况!C22</f>
        <v>估价对象所在区域基础设施水平</v>
      </c>
      <c r="C66" s="2185"/>
      <c r="D66" s="1177">
        <f t="shared" si="15"/>
        <v>0</v>
      </c>
      <c r="E66" s="761"/>
      <c r="F66" s="1951"/>
      <c r="G66" s="1175"/>
      <c r="H66" s="1179" t="str">
        <f t="shared" si="16"/>
        <v>——</v>
      </c>
      <c r="I66" s="759">
        <v>0.12</v>
      </c>
      <c r="J66" s="1176">
        <f t="shared" si="17"/>
        <v>0</v>
      </c>
      <c r="K66" s="1176">
        <f t="shared" si="18"/>
        <v>0</v>
      </c>
      <c r="L66" s="1176">
        <v>0</v>
      </c>
      <c r="M66" s="1176">
        <f t="shared" si="19"/>
        <v>0</v>
      </c>
      <c r="N66" s="1176">
        <f t="shared" si="19"/>
        <v>0</v>
      </c>
      <c r="AA66" s="1234"/>
      <c r="AB66" s="1234"/>
      <c r="AC66" s="1234"/>
      <c r="AD66" s="1234"/>
      <c r="AE66" s="1234"/>
      <c r="AF66" s="1234"/>
      <c r="AG66" s="1234"/>
      <c r="AH66" s="1234"/>
      <c r="AI66" s="1234"/>
      <c r="AJ66" s="1234"/>
      <c r="AK66" s="1234"/>
    </row>
    <row r="67" spans="1:37" s="1233" customFormat="1" ht="39" thickBot="1">
      <c r="A67" s="2288" t="s">
        <v>2537</v>
      </c>
      <c r="B67" s="2290" t="str">
        <f>估价对象房地状况!C20</f>
        <v>区域自然环境：；人文环境；综合评价环境状况一般</v>
      </c>
      <c r="C67" s="2185"/>
      <c r="D67" s="1177">
        <f t="shared" si="15"/>
        <v>0</v>
      </c>
      <c r="E67" s="764"/>
      <c r="F67" s="1951"/>
      <c r="G67" s="1175"/>
      <c r="H67" s="1179" t="str">
        <f t="shared" si="16"/>
        <v>——</v>
      </c>
      <c r="I67" s="763">
        <v>0.06</v>
      </c>
      <c r="J67" s="1176">
        <f t="shared" si="17"/>
        <v>0</v>
      </c>
      <c r="K67" s="1176">
        <f t="shared" si="18"/>
        <v>0</v>
      </c>
      <c r="L67" s="1176">
        <v>0</v>
      </c>
      <c r="M67" s="1176">
        <f t="shared" si="19"/>
        <v>0</v>
      </c>
      <c r="N67" s="1176">
        <f t="shared" si="19"/>
        <v>0</v>
      </c>
      <c r="AA67" s="1234"/>
      <c r="AB67" s="1234"/>
      <c r="AC67" s="1234"/>
      <c r="AD67" s="1234"/>
      <c r="AE67" s="1234"/>
      <c r="AF67" s="1234"/>
      <c r="AG67" s="1234"/>
      <c r="AH67" s="1234"/>
      <c r="AI67" s="1234"/>
      <c r="AJ67" s="1234"/>
      <c r="AK67" s="1234"/>
    </row>
    <row r="68" spans="1:37" s="1233" customFormat="1" ht="15">
      <c r="A68" s="2276" t="s">
        <v>2541</v>
      </c>
      <c r="B68" s="2277">
        <f>1+E70</f>
        <v>1</v>
      </c>
      <c r="C68" s="753"/>
      <c r="D68" s="753"/>
      <c r="E68" s="754"/>
      <c r="F68" s="2279"/>
      <c r="G68" s="6"/>
      <c r="H68" s="6"/>
      <c r="I68" s="6"/>
      <c r="J68" s="7"/>
      <c r="K68" s="7"/>
      <c r="L68" s="7"/>
      <c r="M68" s="7"/>
      <c r="N68" s="7"/>
      <c r="AA68" s="1234"/>
      <c r="AB68" s="1234"/>
      <c r="AC68" s="1234"/>
      <c r="AD68" s="1234"/>
      <c r="AE68" s="1234"/>
      <c r="AF68" s="1234"/>
      <c r="AG68" s="1234"/>
      <c r="AH68" s="1234"/>
      <c r="AI68" s="1234"/>
      <c r="AJ68" s="1234"/>
      <c r="AK68" s="1234"/>
    </row>
    <row r="69" spans="1:37" s="1233" customFormat="1" ht="24.75">
      <c r="A69" s="2280" t="s">
        <v>2519</v>
      </c>
      <c r="B69" s="1486"/>
      <c r="C69" s="1486" t="s">
        <v>2521</v>
      </c>
      <c r="D69" s="1486" t="s">
        <v>2522</v>
      </c>
      <c r="E69" s="758" t="s">
        <v>2523</v>
      </c>
      <c r="F69" s="2281" t="s">
        <v>2539</v>
      </c>
      <c r="G69" s="1486" t="s">
        <v>574</v>
      </c>
      <c r="H69" s="2282" t="s">
        <v>2525</v>
      </c>
      <c r="I69" s="1486" t="s">
        <v>2526</v>
      </c>
      <c r="J69" s="560" t="s">
        <v>2176</v>
      </c>
      <c r="K69" s="560" t="s">
        <v>2177</v>
      </c>
      <c r="L69" s="560" t="s">
        <v>2178</v>
      </c>
      <c r="M69" s="560" t="s">
        <v>2179</v>
      </c>
      <c r="N69" s="560" t="s">
        <v>2180</v>
      </c>
      <c r="AA69" s="1234"/>
      <c r="AB69" s="1234"/>
      <c r="AC69" s="1234"/>
      <c r="AD69" s="1234"/>
      <c r="AE69" s="1234"/>
      <c r="AF69" s="1234"/>
      <c r="AG69" s="1234"/>
      <c r="AH69" s="1234"/>
      <c r="AI69" s="1234"/>
      <c r="AJ69" s="1234"/>
      <c r="AK69" s="1234"/>
    </row>
    <row r="70" spans="1:37" s="1233" customFormat="1" ht="51">
      <c r="A70" s="2280" t="s">
        <v>2542</v>
      </c>
      <c r="B70" s="2283" t="str">
        <f>估价对象房地状况!C15</f>
        <v>估价对象周边居住用地比例、居住小区规模和社区发展完善程度，综合评价居住社区成熟度一般</v>
      </c>
      <c r="C70" s="2185"/>
      <c r="D70" s="1177">
        <f t="shared" ref="D70:D78" si="20">SUMIF($J$69:$N$69,C70,J70:N70)</f>
        <v>0</v>
      </c>
      <c r="E70" s="760">
        <f>ROUND(SUM(D70:D78),4)</f>
        <v>0</v>
      </c>
      <c r="F70" s="1951" t="str">
        <f>IF(E2="住宅",SUMIF(L1:L12,G2,N1:N12),"——")</f>
        <v>——</v>
      </c>
      <c r="G70" s="1175"/>
      <c r="H70" s="1179" t="str">
        <f t="shared" ref="H70:H78" si="21">IFERROR(ROUNDDOWN($F$70*I70/2,4),"——")</f>
        <v>——</v>
      </c>
      <c r="I70" s="759">
        <v>0.14000000000000001</v>
      </c>
      <c r="J70" s="1176">
        <f t="shared" ref="J70:J78" si="22">K70+$G70</f>
        <v>0</v>
      </c>
      <c r="K70" s="1176">
        <f t="shared" ref="K70:K78" si="23">$L70+$G70</f>
        <v>0</v>
      </c>
      <c r="L70" s="1176">
        <v>0</v>
      </c>
      <c r="M70" s="1176">
        <f t="shared" ref="M70:N78" si="24">L70-$G70</f>
        <v>0</v>
      </c>
      <c r="N70" s="1176">
        <f t="shared" si="24"/>
        <v>0</v>
      </c>
      <c r="AA70" s="1234"/>
      <c r="AB70" s="1234"/>
      <c r="AC70" s="1234"/>
      <c r="AD70" s="1234"/>
      <c r="AE70" s="1234"/>
      <c r="AF70" s="1234"/>
      <c r="AG70" s="1234"/>
      <c r="AH70" s="1234"/>
      <c r="AI70" s="1234"/>
      <c r="AJ70" s="1234"/>
      <c r="AK70" s="1234"/>
    </row>
    <row r="71" spans="1:37" s="1233" customFormat="1" ht="51">
      <c r="A71" s="2280" t="s">
        <v>2528</v>
      </c>
      <c r="B71" s="2284" t="str">
        <f>估价对象房地状况!C18</f>
        <v>估价对象周边道路状况、公共交通通达情况、停车便捷程度，综合评价交通便捷度较好</v>
      </c>
      <c r="C71" s="2185"/>
      <c r="D71" s="1177">
        <f t="shared" si="20"/>
        <v>0</v>
      </c>
      <c r="E71" s="765"/>
      <c r="F71" s="1951"/>
      <c r="G71" s="1175"/>
      <c r="H71" s="1179" t="str">
        <f t="shared" si="21"/>
        <v>——</v>
      </c>
      <c r="I71" s="759">
        <v>0.3</v>
      </c>
      <c r="J71" s="1176">
        <f t="shared" si="22"/>
        <v>0</v>
      </c>
      <c r="K71" s="1176">
        <f t="shared" si="23"/>
        <v>0</v>
      </c>
      <c r="L71" s="1176">
        <v>0</v>
      </c>
      <c r="M71" s="1176">
        <f t="shared" si="24"/>
        <v>0</v>
      </c>
      <c r="N71" s="1176">
        <f t="shared" si="24"/>
        <v>0</v>
      </c>
      <c r="AA71" s="1234"/>
      <c r="AB71" s="1234"/>
      <c r="AC71" s="1234"/>
      <c r="AD71" s="1234"/>
      <c r="AE71" s="1234"/>
      <c r="AF71" s="1234"/>
      <c r="AG71" s="1234"/>
      <c r="AH71" s="1234"/>
      <c r="AI71" s="1234"/>
      <c r="AJ71" s="1234"/>
      <c r="AK71" s="1234"/>
    </row>
    <row r="72" spans="1:37" s="1233" customFormat="1" ht="24">
      <c r="A72" s="2280" t="s">
        <v>2529</v>
      </c>
      <c r="B72" s="2284">
        <f>估价对象房地状况!C19</f>
        <v>0</v>
      </c>
      <c r="C72" s="2185"/>
      <c r="D72" s="1177">
        <f t="shared" si="20"/>
        <v>0</v>
      </c>
      <c r="E72" s="765"/>
      <c r="F72" s="1951"/>
      <c r="G72" s="1175"/>
      <c r="H72" s="1179" t="str">
        <f t="shared" si="21"/>
        <v>——</v>
      </c>
      <c r="I72" s="759">
        <v>0.08</v>
      </c>
      <c r="J72" s="1176">
        <f t="shared" si="22"/>
        <v>0</v>
      </c>
      <c r="K72" s="1176">
        <f t="shared" si="23"/>
        <v>0</v>
      </c>
      <c r="L72" s="1176">
        <v>0</v>
      </c>
      <c r="M72" s="1176">
        <f t="shared" si="24"/>
        <v>0</v>
      </c>
      <c r="N72" s="1176">
        <f t="shared" si="24"/>
        <v>0</v>
      </c>
      <c r="AA72" s="1234"/>
      <c r="AB72" s="1234"/>
      <c r="AC72" s="1234"/>
      <c r="AD72" s="1234"/>
      <c r="AE72" s="1234"/>
      <c r="AF72" s="1234"/>
      <c r="AG72" s="1234"/>
      <c r="AH72" s="1234"/>
      <c r="AI72" s="1234"/>
      <c r="AJ72" s="1234"/>
      <c r="AK72" s="1234"/>
    </row>
    <row r="73" spans="1:37" s="1233" customFormat="1" ht="14.25">
      <c r="A73" s="2280" t="s">
        <v>2543</v>
      </c>
      <c r="B73" s="2284">
        <f>估价对象房地状况!C24</f>
        <v>0</v>
      </c>
      <c r="C73" s="2185"/>
      <c r="D73" s="1177">
        <f t="shared" si="20"/>
        <v>0</v>
      </c>
      <c r="E73" s="765"/>
      <c r="F73" s="1951"/>
      <c r="G73" s="1175"/>
      <c r="H73" s="1179" t="str">
        <f t="shared" si="21"/>
        <v>——</v>
      </c>
      <c r="I73" s="759">
        <v>0.04</v>
      </c>
      <c r="J73" s="1176">
        <f t="shared" si="22"/>
        <v>0</v>
      </c>
      <c r="K73" s="1176">
        <f t="shared" si="23"/>
        <v>0</v>
      </c>
      <c r="L73" s="1176">
        <v>0</v>
      </c>
      <c r="M73" s="1176">
        <f t="shared" si="24"/>
        <v>0</v>
      </c>
      <c r="N73" s="1176">
        <f t="shared" si="24"/>
        <v>0</v>
      </c>
      <c r="AA73" s="1234"/>
      <c r="AB73" s="1234"/>
      <c r="AC73" s="1234"/>
      <c r="AD73" s="1234"/>
      <c r="AE73" s="1234"/>
      <c r="AF73" s="1234"/>
      <c r="AG73" s="1234"/>
      <c r="AH73" s="1234"/>
      <c r="AI73" s="1234"/>
      <c r="AJ73" s="1234"/>
      <c r="AK73" s="1234"/>
    </row>
    <row r="74" spans="1:37" s="1233" customFormat="1" ht="25.5">
      <c r="A74" s="2280" t="s">
        <v>2535</v>
      </c>
      <c r="B74" s="1447" t="str">
        <f>估价对象房地状况!C21</f>
        <v>估价对象所在区域公共配套设施齐备情况</v>
      </c>
      <c r="C74" s="2185"/>
      <c r="D74" s="1177">
        <f t="shared" si="20"/>
        <v>0</v>
      </c>
      <c r="E74" s="765"/>
      <c r="F74" s="1951"/>
      <c r="G74" s="1175"/>
      <c r="H74" s="1179" t="str">
        <f t="shared" si="21"/>
        <v>——</v>
      </c>
      <c r="I74" s="759">
        <v>0.08</v>
      </c>
      <c r="J74" s="1176">
        <f t="shared" si="22"/>
        <v>0</v>
      </c>
      <c r="K74" s="1176">
        <f t="shared" si="23"/>
        <v>0</v>
      </c>
      <c r="L74" s="1176">
        <v>0</v>
      </c>
      <c r="M74" s="1176">
        <f t="shared" si="24"/>
        <v>0</v>
      </c>
      <c r="N74" s="1176">
        <f t="shared" si="24"/>
        <v>0</v>
      </c>
      <c r="AA74" s="1234"/>
      <c r="AB74" s="1234"/>
      <c r="AC74" s="1234"/>
      <c r="AD74" s="1234"/>
      <c r="AE74" s="1234"/>
      <c r="AF74" s="1234"/>
      <c r="AG74" s="1234"/>
      <c r="AH74" s="1234"/>
      <c r="AI74" s="1234"/>
      <c r="AJ74" s="1234"/>
      <c r="AK74" s="1234"/>
    </row>
    <row r="75" spans="1:37" s="1233" customFormat="1" ht="25.5">
      <c r="A75" s="2280" t="s">
        <v>2536</v>
      </c>
      <c r="B75" s="1447" t="str">
        <f>估价对象房地状况!C22</f>
        <v>估价对象所在区域基础设施水平</v>
      </c>
      <c r="C75" s="2185"/>
      <c r="D75" s="1177">
        <f t="shared" si="20"/>
        <v>0</v>
      </c>
      <c r="E75" s="765"/>
      <c r="F75" s="1951"/>
      <c r="G75" s="1175"/>
      <c r="H75" s="1179" t="str">
        <f t="shared" si="21"/>
        <v>——</v>
      </c>
      <c r="I75" s="759">
        <v>0.12</v>
      </c>
      <c r="J75" s="1176">
        <f t="shared" si="22"/>
        <v>0</v>
      </c>
      <c r="K75" s="1176">
        <f t="shared" si="23"/>
        <v>0</v>
      </c>
      <c r="L75" s="1176">
        <v>0</v>
      </c>
      <c r="M75" s="1176">
        <f t="shared" si="24"/>
        <v>0</v>
      </c>
      <c r="N75" s="1176">
        <f t="shared" si="24"/>
        <v>0</v>
      </c>
      <c r="AA75" s="1234"/>
      <c r="AB75" s="1234"/>
      <c r="AC75" s="1234"/>
      <c r="AD75" s="1234"/>
      <c r="AE75" s="1234"/>
      <c r="AF75" s="1234"/>
      <c r="AG75" s="1234"/>
      <c r="AH75" s="1234"/>
      <c r="AI75" s="1234"/>
      <c r="AJ75" s="1234"/>
      <c r="AK75" s="1234"/>
    </row>
    <row r="76" spans="1:37" s="2134" customFormat="1" ht="24">
      <c r="A76" s="2280" t="s">
        <v>2533</v>
      </c>
      <c r="B76" s="2286" t="s">
        <v>2534</v>
      </c>
      <c r="C76" s="2185"/>
      <c r="D76" s="1177">
        <f t="shared" si="20"/>
        <v>0</v>
      </c>
      <c r="E76" s="765"/>
      <c r="F76" s="1951"/>
      <c r="G76" s="1175"/>
      <c r="H76" s="1179" t="str">
        <f t="shared" si="21"/>
        <v>——</v>
      </c>
      <c r="I76" s="759">
        <v>0.05</v>
      </c>
      <c r="J76" s="1176">
        <f t="shared" si="22"/>
        <v>0</v>
      </c>
      <c r="K76" s="1176">
        <f t="shared" si="23"/>
        <v>0</v>
      </c>
      <c r="L76" s="1176">
        <v>0</v>
      </c>
      <c r="M76" s="1176">
        <f t="shared" si="24"/>
        <v>0</v>
      </c>
      <c r="N76" s="1176">
        <f t="shared" si="24"/>
        <v>0</v>
      </c>
      <c r="AA76" s="2291"/>
      <c r="AB76" s="1234"/>
      <c r="AC76" s="1234"/>
      <c r="AD76" s="1234"/>
      <c r="AE76" s="1234"/>
      <c r="AF76" s="1234"/>
      <c r="AG76" s="1234"/>
      <c r="AH76" s="2291"/>
      <c r="AI76" s="2291"/>
      <c r="AJ76" s="2291"/>
      <c r="AK76" s="2291"/>
    </row>
    <row r="77" spans="1:37" ht="38.25">
      <c r="A77" s="2280" t="s">
        <v>2537</v>
      </c>
      <c r="B77" s="2283" t="str">
        <f>估价对象房地状况!C20</f>
        <v>区域自然环境：；人文环境；综合评价环境状况一般</v>
      </c>
      <c r="C77" s="2185"/>
      <c r="D77" s="1177">
        <f t="shared" si="20"/>
        <v>0</v>
      </c>
      <c r="E77" s="765"/>
      <c r="F77" s="1951"/>
      <c r="G77" s="1175"/>
      <c r="H77" s="1179" t="str">
        <f t="shared" si="21"/>
        <v>——</v>
      </c>
      <c r="I77" s="759">
        <v>0.15</v>
      </c>
      <c r="J77" s="1176">
        <f t="shared" si="22"/>
        <v>0</v>
      </c>
      <c r="K77" s="1176">
        <f t="shared" si="23"/>
        <v>0</v>
      </c>
      <c r="L77" s="1176">
        <v>0</v>
      </c>
      <c r="M77" s="1176">
        <f t="shared" si="24"/>
        <v>0</v>
      </c>
      <c r="N77" s="1176">
        <f t="shared" si="24"/>
        <v>0</v>
      </c>
      <c r="Z77" s="2135"/>
      <c r="AA77" s="2201"/>
      <c r="AG77" s="1235"/>
      <c r="AK77" s="2201"/>
    </row>
    <row r="78" spans="1:37" ht="24.75" thickBot="1">
      <c r="A78" s="2288" t="s">
        <v>2544</v>
      </c>
      <c r="B78" s="2292"/>
      <c r="C78" s="2185"/>
      <c r="D78" s="1177">
        <f t="shared" si="20"/>
        <v>0</v>
      </c>
      <c r="E78" s="766"/>
      <c r="F78" s="1951"/>
      <c r="G78" s="1175"/>
      <c r="H78" s="1179" t="str">
        <f t="shared" si="21"/>
        <v>——</v>
      </c>
      <c r="I78" s="763">
        <v>0.04</v>
      </c>
      <c r="J78" s="1176">
        <f t="shared" si="22"/>
        <v>0</v>
      </c>
      <c r="K78" s="1176">
        <f t="shared" si="23"/>
        <v>0</v>
      </c>
      <c r="L78" s="1176">
        <v>0</v>
      </c>
      <c r="M78" s="1176">
        <f t="shared" si="24"/>
        <v>0</v>
      </c>
      <c r="N78" s="1176">
        <f t="shared" si="24"/>
        <v>0</v>
      </c>
      <c r="Z78" s="2135"/>
      <c r="AA78" s="2201"/>
      <c r="AG78" s="1235"/>
      <c r="AK78" s="2201"/>
    </row>
    <row r="79" spans="1:37" ht="15">
      <c r="A79" s="2276" t="s">
        <v>2545</v>
      </c>
      <c r="B79" s="2277">
        <f>1+E81</f>
        <v>1</v>
      </c>
      <c r="C79" s="753"/>
      <c r="D79" s="753"/>
      <c r="E79" s="754"/>
      <c r="F79" s="2279"/>
      <c r="G79" s="6"/>
      <c r="H79" s="6"/>
      <c r="I79" s="6"/>
      <c r="J79" s="7"/>
      <c r="K79" s="7"/>
      <c r="L79" s="7"/>
      <c r="M79" s="7"/>
      <c r="N79" s="7"/>
      <c r="Z79" s="2135"/>
      <c r="AA79" s="2201"/>
      <c r="AG79" s="1235"/>
      <c r="AK79" s="2201"/>
    </row>
    <row r="80" spans="1:37" ht="24.75">
      <c r="A80" s="2280" t="s">
        <v>2519</v>
      </c>
      <c r="B80" s="1486"/>
      <c r="C80" s="1486" t="s">
        <v>2521</v>
      </c>
      <c r="D80" s="1486" t="s">
        <v>2522</v>
      </c>
      <c r="E80" s="758" t="s">
        <v>2523</v>
      </c>
      <c r="F80" s="2281" t="s">
        <v>2539</v>
      </c>
      <c r="G80" s="1486" t="s">
        <v>574</v>
      </c>
      <c r="H80" s="2282" t="s">
        <v>2525</v>
      </c>
      <c r="I80" s="1486" t="s">
        <v>2526</v>
      </c>
      <c r="J80" s="560" t="s">
        <v>2176</v>
      </c>
      <c r="K80" s="560" t="s">
        <v>2177</v>
      </c>
      <c r="L80" s="560" t="s">
        <v>2178</v>
      </c>
      <c r="M80" s="560" t="s">
        <v>2179</v>
      </c>
      <c r="N80" s="560" t="s">
        <v>2180</v>
      </c>
      <c r="Z80" s="2135"/>
      <c r="AA80" s="2201"/>
      <c r="AG80" s="1235"/>
      <c r="AK80" s="2201"/>
    </row>
    <row r="81" spans="1:37" ht="38.25">
      <c r="A81" s="2280" t="s">
        <v>2546</v>
      </c>
      <c r="B81" s="2284" t="str">
        <f>估价对象房地状况!G15</f>
        <v>估价对象位于XX开发区，园区建设成熟度XX，产业集聚程度XX</v>
      </c>
      <c r="C81" s="2185"/>
      <c r="D81" s="1177">
        <f t="shared" ref="D81:D88" si="25">SUMIF($J$80:$N$80,C81,J81:N81)</f>
        <v>0</v>
      </c>
      <c r="E81" s="760">
        <f>ROUND(SUM(D81:D88),4)</f>
        <v>0</v>
      </c>
      <c r="F81" s="1951" t="str">
        <f>IF(E2="工业",SUMIF(L1:L12,G2,N1:N12),"——")</f>
        <v>——</v>
      </c>
      <c r="G81" s="1175"/>
      <c r="H81" s="1179" t="str">
        <f t="shared" ref="H81:H88" si="26">IFERROR(ROUNDDOWN($F$81*I81/2,4),"——")</f>
        <v>——</v>
      </c>
      <c r="I81" s="759">
        <v>0.26</v>
      </c>
      <c r="J81" s="1176">
        <f t="shared" ref="J81:J88" si="27">K81+$G81</f>
        <v>0</v>
      </c>
      <c r="K81" s="1176">
        <f t="shared" ref="K81:K88" si="28">$L81+$G81</f>
        <v>0</v>
      </c>
      <c r="L81" s="1176">
        <v>0</v>
      </c>
      <c r="M81" s="1176">
        <f t="shared" ref="M81:N88" si="29">L81-$G81</f>
        <v>0</v>
      </c>
      <c r="N81" s="1176">
        <f t="shared" si="29"/>
        <v>0</v>
      </c>
      <c r="Z81" s="2135"/>
      <c r="AA81" s="2201"/>
      <c r="AG81" s="1235"/>
      <c r="AK81" s="2201"/>
    </row>
    <row r="82" spans="1:37" ht="51">
      <c r="A82" s="2280" t="s">
        <v>2528</v>
      </c>
      <c r="B82" s="2284" t="str">
        <f>估价对象房地状况!G16</f>
        <v>估价对象周边道路状况、公共交通通达情况、停车便捷程度，综合评价交通便捷度较好</v>
      </c>
      <c r="C82" s="2185"/>
      <c r="D82" s="1177">
        <f t="shared" si="25"/>
        <v>0</v>
      </c>
      <c r="E82" s="765"/>
      <c r="F82" s="1951"/>
      <c r="G82" s="1175"/>
      <c r="H82" s="1179" t="str">
        <f t="shared" si="26"/>
        <v>——</v>
      </c>
      <c r="I82" s="759">
        <v>0.33</v>
      </c>
      <c r="J82" s="1176">
        <f t="shared" si="27"/>
        <v>0</v>
      </c>
      <c r="K82" s="1176">
        <f t="shared" si="28"/>
        <v>0</v>
      </c>
      <c r="L82" s="1176">
        <v>0</v>
      </c>
      <c r="M82" s="1176">
        <f t="shared" si="29"/>
        <v>0</v>
      </c>
      <c r="N82" s="1176">
        <f t="shared" si="29"/>
        <v>0</v>
      </c>
      <c r="Z82" s="2135"/>
      <c r="AA82" s="2201"/>
      <c r="AG82" s="1235"/>
      <c r="AK82" s="2201"/>
    </row>
    <row r="83" spans="1:37" ht="24">
      <c r="A83" s="2280" t="s">
        <v>2529</v>
      </c>
      <c r="B83" s="2284">
        <f>估价对象房地状况!G17</f>
        <v>0</v>
      </c>
      <c r="C83" s="2185"/>
      <c r="D83" s="1177">
        <f t="shared" si="25"/>
        <v>0</v>
      </c>
      <c r="E83" s="765"/>
      <c r="F83" s="1951"/>
      <c r="G83" s="1175"/>
      <c r="H83" s="1179" t="str">
        <f t="shared" si="26"/>
        <v>——</v>
      </c>
      <c r="I83" s="759">
        <v>0.05</v>
      </c>
      <c r="J83" s="1176">
        <f t="shared" si="27"/>
        <v>0</v>
      </c>
      <c r="K83" s="1176">
        <f t="shared" si="28"/>
        <v>0</v>
      </c>
      <c r="L83" s="1176">
        <v>0</v>
      </c>
      <c r="M83" s="1176">
        <f t="shared" si="29"/>
        <v>0</v>
      </c>
      <c r="N83" s="1176">
        <f t="shared" si="29"/>
        <v>0</v>
      </c>
      <c r="Z83" s="2135"/>
      <c r="AA83" s="2201"/>
      <c r="AG83" s="1235"/>
      <c r="AK83" s="2201"/>
    </row>
    <row r="84" spans="1:37" ht="14.25">
      <c r="A84" s="2280" t="s">
        <v>2543</v>
      </c>
      <c r="B84" s="2284">
        <f>估价对象房地状况!G22</f>
        <v>0</v>
      </c>
      <c r="C84" s="2185"/>
      <c r="D84" s="1177">
        <f t="shared" si="25"/>
        <v>0</v>
      </c>
      <c r="E84" s="765"/>
      <c r="F84" s="1951"/>
      <c r="G84" s="1175"/>
      <c r="H84" s="1179" t="str">
        <f t="shared" si="26"/>
        <v>——</v>
      </c>
      <c r="I84" s="759">
        <v>0.04</v>
      </c>
      <c r="J84" s="1176">
        <f t="shared" si="27"/>
        <v>0</v>
      </c>
      <c r="K84" s="1176">
        <f t="shared" si="28"/>
        <v>0</v>
      </c>
      <c r="L84" s="1176">
        <v>0</v>
      </c>
      <c r="M84" s="1176">
        <f t="shared" si="29"/>
        <v>0</v>
      </c>
      <c r="N84" s="1176">
        <f t="shared" si="29"/>
        <v>0</v>
      </c>
      <c r="Z84" s="2135"/>
      <c r="AA84" s="2201"/>
      <c r="AG84" s="1235"/>
      <c r="AK84" s="2201"/>
    </row>
    <row r="85" spans="1:37" ht="25.5">
      <c r="A85" s="2280" t="s">
        <v>2535</v>
      </c>
      <c r="B85" s="1447" t="str">
        <f>估价对象房地状况!G19</f>
        <v>估价对象所在区域公共配套设施齐备情况</v>
      </c>
      <c r="C85" s="2185"/>
      <c r="D85" s="1177">
        <f t="shared" si="25"/>
        <v>0</v>
      </c>
      <c r="E85" s="765"/>
      <c r="F85" s="1951"/>
      <c r="G85" s="1175"/>
      <c r="H85" s="1179" t="str">
        <f t="shared" si="26"/>
        <v>——</v>
      </c>
      <c r="I85" s="759">
        <v>0.06</v>
      </c>
      <c r="J85" s="1176">
        <f t="shared" si="27"/>
        <v>0</v>
      </c>
      <c r="K85" s="1176">
        <f t="shared" si="28"/>
        <v>0</v>
      </c>
      <c r="L85" s="1176">
        <v>0</v>
      </c>
      <c r="M85" s="1176">
        <f t="shared" si="29"/>
        <v>0</v>
      </c>
      <c r="N85" s="1176">
        <f t="shared" si="29"/>
        <v>0</v>
      </c>
      <c r="Z85" s="2135"/>
      <c r="AA85" s="2201"/>
      <c r="AG85" s="1235"/>
      <c r="AK85" s="2201"/>
    </row>
    <row r="86" spans="1:37" ht="25.5">
      <c r="A86" s="2280" t="s">
        <v>2536</v>
      </c>
      <c r="B86" s="1447" t="str">
        <f>估价对象房地状况!G20</f>
        <v>估价对象所在区域基础设施水平</v>
      </c>
      <c r="C86" s="2185"/>
      <c r="D86" s="1177">
        <f t="shared" si="25"/>
        <v>0</v>
      </c>
      <c r="E86" s="765"/>
      <c r="F86" s="1951"/>
      <c r="G86" s="1175"/>
      <c r="H86" s="1179" t="str">
        <f t="shared" si="26"/>
        <v>——</v>
      </c>
      <c r="I86" s="759">
        <v>0.15</v>
      </c>
      <c r="J86" s="1176">
        <f t="shared" si="27"/>
        <v>0</v>
      </c>
      <c r="K86" s="1176">
        <f t="shared" si="28"/>
        <v>0</v>
      </c>
      <c r="L86" s="1176">
        <v>0</v>
      </c>
      <c r="M86" s="1176">
        <f t="shared" si="29"/>
        <v>0</v>
      </c>
      <c r="N86" s="1176">
        <f t="shared" si="29"/>
        <v>0</v>
      </c>
      <c r="Z86" s="2135"/>
      <c r="AA86" s="2201"/>
      <c r="AG86" s="1235"/>
      <c r="AK86" s="2201"/>
    </row>
    <row r="87" spans="1:37" ht="24">
      <c r="A87" s="2280" t="s">
        <v>2533</v>
      </c>
      <c r="B87" s="2286" t="s">
        <v>2547</v>
      </c>
      <c r="C87" s="2185"/>
      <c r="D87" s="1177">
        <f t="shared" si="25"/>
        <v>0</v>
      </c>
      <c r="E87" s="765"/>
      <c r="F87" s="1951"/>
      <c r="G87" s="1175"/>
      <c r="H87" s="1179" t="str">
        <f t="shared" si="26"/>
        <v>——</v>
      </c>
      <c r="I87" s="759">
        <v>0.05</v>
      </c>
      <c r="J87" s="1176">
        <f t="shared" si="27"/>
        <v>0</v>
      </c>
      <c r="K87" s="1176">
        <f t="shared" si="28"/>
        <v>0</v>
      </c>
      <c r="L87" s="1176">
        <v>0</v>
      </c>
      <c r="M87" s="1176">
        <f t="shared" si="29"/>
        <v>0</v>
      </c>
      <c r="N87" s="1176">
        <f t="shared" si="29"/>
        <v>0</v>
      </c>
      <c r="Z87" s="2135"/>
      <c r="AA87" s="2201"/>
      <c r="AG87" s="1235"/>
      <c r="AK87" s="2201"/>
    </row>
    <row r="88" spans="1:37" ht="39" thickBot="1">
      <c r="A88" s="2288" t="s">
        <v>2548</v>
      </c>
      <c r="B88" s="2293" t="str">
        <f>估价对象房地状况!G18</f>
        <v>该园区内是否有污染型企业，绿化情况，卫生条件，整体环境状况判断</v>
      </c>
      <c r="C88" s="2185"/>
      <c r="D88" s="1177">
        <f t="shared" si="25"/>
        <v>0</v>
      </c>
      <c r="E88" s="766"/>
      <c r="F88" s="1951"/>
      <c r="G88" s="1175"/>
      <c r="H88" s="1179" t="str">
        <f t="shared" si="26"/>
        <v>——</v>
      </c>
      <c r="I88" s="763">
        <v>0.06</v>
      </c>
      <c r="J88" s="1176">
        <f t="shared" si="27"/>
        <v>0</v>
      </c>
      <c r="K88" s="1176">
        <f t="shared" si="28"/>
        <v>0</v>
      </c>
      <c r="L88" s="1176">
        <v>0</v>
      </c>
      <c r="M88" s="1176">
        <f t="shared" si="29"/>
        <v>0</v>
      </c>
      <c r="N88" s="1176">
        <f t="shared" si="29"/>
        <v>0</v>
      </c>
      <c r="Z88" s="2135"/>
      <c r="AA88" s="2201"/>
      <c r="AG88" s="1235"/>
      <c r="AK88" s="2201"/>
    </row>
    <row r="90" spans="1:37">
      <c r="A90" s="3522" t="s">
        <v>2549</v>
      </c>
      <c r="B90" s="3522"/>
      <c r="C90" s="3522"/>
      <c r="D90" s="3522"/>
      <c r="E90" s="3522"/>
      <c r="F90" s="3522"/>
      <c r="G90" s="3522"/>
      <c r="H90" s="3522"/>
      <c r="I90" s="3522"/>
      <c r="J90" s="3522"/>
      <c r="K90" s="2294"/>
      <c r="L90" s="2294"/>
      <c r="M90" s="2294"/>
      <c r="N90" s="2294"/>
    </row>
    <row r="91" spans="1:37">
      <c r="A91" s="3524" t="s">
        <v>2550</v>
      </c>
      <c r="B91" s="3524" t="s">
        <v>2551</v>
      </c>
      <c r="C91" s="2248" t="s">
        <v>2552</v>
      </c>
      <c r="D91" s="2249"/>
      <c r="E91" s="2249"/>
      <c r="F91" s="2249"/>
      <c r="G91" s="2249"/>
      <c r="H91" s="2249"/>
      <c r="I91" s="2249"/>
      <c r="J91" s="2295"/>
      <c r="K91" s="2296"/>
      <c r="L91" s="2296"/>
      <c r="M91" s="2296"/>
      <c r="N91" s="2296"/>
    </row>
    <row r="92" spans="1:37">
      <c r="A92" s="3524"/>
      <c r="B92" s="3524"/>
      <c r="C92" s="860" t="s">
        <v>2419</v>
      </c>
      <c r="D92" s="860" t="s">
        <v>2420</v>
      </c>
      <c r="E92" s="860" t="s">
        <v>2421</v>
      </c>
      <c r="F92" s="860" t="s">
        <v>2422</v>
      </c>
      <c r="G92" s="860" t="s">
        <v>2423</v>
      </c>
      <c r="H92" s="860" t="s">
        <v>2424</v>
      </c>
      <c r="I92" s="860" t="s">
        <v>2425</v>
      </c>
      <c r="J92" s="860" t="s">
        <v>2426</v>
      </c>
      <c r="K92" s="860" t="s">
        <v>2427</v>
      </c>
      <c r="L92" s="860" t="s">
        <v>2428</v>
      </c>
      <c r="M92" s="860" t="s">
        <v>2429</v>
      </c>
      <c r="N92" s="860" t="s">
        <v>2430</v>
      </c>
    </row>
    <row r="93" spans="1:37">
      <c r="A93" s="3525" t="s">
        <v>2553</v>
      </c>
      <c r="B93" s="2297">
        <v>1</v>
      </c>
      <c r="C93" s="2298">
        <v>1.9361999999999999</v>
      </c>
      <c r="D93" s="2298">
        <v>1.9361999999999999</v>
      </c>
      <c r="E93" s="2298">
        <v>1.8629</v>
      </c>
      <c r="F93" s="2298">
        <v>1.8629</v>
      </c>
      <c r="G93" s="2298">
        <v>1.8629</v>
      </c>
      <c r="H93" s="2298">
        <v>1.8629</v>
      </c>
      <c r="I93" s="2298">
        <v>1.8629</v>
      </c>
      <c r="J93" s="2298">
        <v>1.9419999999999999</v>
      </c>
      <c r="K93" s="2298">
        <v>1.9419999999999999</v>
      </c>
      <c r="L93" s="2298">
        <v>1.9419999999999999</v>
      </c>
      <c r="M93" s="2298">
        <v>1.9419999999999999</v>
      </c>
      <c r="N93" s="2298">
        <v>1.9419999999999999</v>
      </c>
    </row>
    <row r="94" spans="1:37">
      <c r="A94" s="3526"/>
      <c r="B94" s="2297">
        <v>2</v>
      </c>
      <c r="C94" s="2298">
        <v>1.4198</v>
      </c>
      <c r="D94" s="2298">
        <v>1.4198</v>
      </c>
      <c r="E94" s="2298">
        <v>1.3371999999999999</v>
      </c>
      <c r="F94" s="2298">
        <v>1.3371999999999999</v>
      </c>
      <c r="G94" s="2298">
        <v>1.3371999999999999</v>
      </c>
      <c r="H94" s="2298">
        <v>1.3371999999999999</v>
      </c>
      <c r="I94" s="2298">
        <v>1.3371999999999999</v>
      </c>
      <c r="J94" s="2298">
        <v>1.2799</v>
      </c>
      <c r="K94" s="2298">
        <v>1.2799</v>
      </c>
      <c r="L94" s="2298">
        <v>1.2799</v>
      </c>
      <c r="M94" s="2298">
        <v>1.2799</v>
      </c>
      <c r="N94" s="2298">
        <v>1.2799</v>
      </c>
    </row>
    <row r="95" spans="1:37">
      <c r="A95" s="3526"/>
      <c r="B95" s="2297">
        <v>3</v>
      </c>
      <c r="C95" s="2298">
        <v>1.1594</v>
      </c>
      <c r="D95" s="2298">
        <v>1.1594</v>
      </c>
      <c r="E95" s="2298">
        <v>1.0788</v>
      </c>
      <c r="F95" s="2298">
        <v>1.0788</v>
      </c>
      <c r="G95" s="2298">
        <v>1.0788</v>
      </c>
      <c r="H95" s="2298">
        <v>1.0788</v>
      </c>
      <c r="I95" s="2298">
        <v>1.0788</v>
      </c>
      <c r="J95" s="2298">
        <v>1.0072000000000001</v>
      </c>
      <c r="K95" s="2298">
        <v>1.0072000000000001</v>
      </c>
      <c r="L95" s="2298">
        <v>1.0072000000000001</v>
      </c>
      <c r="M95" s="2298">
        <v>1.0072000000000001</v>
      </c>
      <c r="N95" s="2298">
        <v>1.0072000000000001</v>
      </c>
    </row>
    <row r="96" spans="1:37">
      <c r="A96" s="3526"/>
      <c r="B96" s="2297">
        <v>4</v>
      </c>
      <c r="C96" s="2298">
        <v>0.96220000000000006</v>
      </c>
      <c r="D96" s="2298">
        <v>0.96220000000000006</v>
      </c>
      <c r="E96" s="2298">
        <v>0.86560000000000004</v>
      </c>
      <c r="F96" s="2298">
        <v>0.86560000000000004</v>
      </c>
      <c r="G96" s="2298">
        <v>0.86560000000000004</v>
      </c>
      <c r="H96" s="2298">
        <v>0.86560000000000004</v>
      </c>
      <c r="I96" s="2298">
        <v>0.86560000000000004</v>
      </c>
      <c r="J96" s="2298">
        <v>0.75249999999999995</v>
      </c>
      <c r="K96" s="2298">
        <v>0.75249999999999995</v>
      </c>
      <c r="L96" s="2298">
        <v>0.75249999999999995</v>
      </c>
      <c r="M96" s="2298">
        <v>0.75249999999999995</v>
      </c>
      <c r="N96" s="2298">
        <v>0.75249999999999995</v>
      </c>
    </row>
    <row r="97" spans="1:14">
      <c r="A97" s="3526"/>
      <c r="B97" s="2297">
        <v>5</v>
      </c>
      <c r="C97" s="2298">
        <v>0.8417</v>
      </c>
      <c r="D97" s="2298">
        <v>0.8417</v>
      </c>
      <c r="E97" s="2298">
        <v>0.73709999999999998</v>
      </c>
      <c r="F97" s="2298">
        <v>0.73709999999999998</v>
      </c>
      <c r="G97" s="2298">
        <v>0.73709999999999998</v>
      </c>
      <c r="H97" s="2298">
        <v>0.73709999999999998</v>
      </c>
      <c r="I97" s="2298">
        <v>0.73709999999999998</v>
      </c>
      <c r="J97" s="2298">
        <v>0.56589999999999996</v>
      </c>
      <c r="K97" s="2298">
        <v>0.56589999999999996</v>
      </c>
      <c r="L97" s="2298">
        <v>0.56589999999999996</v>
      </c>
      <c r="M97" s="2298">
        <v>0.56589999999999996</v>
      </c>
      <c r="N97" s="2298">
        <v>0.56589999999999996</v>
      </c>
    </row>
    <row r="98" spans="1:14">
      <c r="A98" s="3526"/>
      <c r="B98" s="2297">
        <v>6</v>
      </c>
      <c r="C98" s="2298">
        <v>0.76080000000000003</v>
      </c>
      <c r="D98" s="2298">
        <v>0.76080000000000003</v>
      </c>
      <c r="E98" s="2298">
        <v>0.6482</v>
      </c>
      <c r="F98" s="2298">
        <v>0.6482</v>
      </c>
      <c r="G98" s="2298">
        <v>0.6482</v>
      </c>
      <c r="H98" s="2298">
        <v>0.6482</v>
      </c>
      <c r="I98" s="2298">
        <v>0.6482</v>
      </c>
      <c r="J98" s="2298">
        <v>0.45250000000000001</v>
      </c>
      <c r="K98" s="2298">
        <v>0.45250000000000001</v>
      </c>
      <c r="L98" s="2298">
        <v>0.45250000000000001</v>
      </c>
      <c r="M98" s="2298">
        <v>0.45250000000000001</v>
      </c>
      <c r="N98" s="2298">
        <v>0.45250000000000001</v>
      </c>
    </row>
    <row r="99" spans="1:14">
      <c r="A99" s="3526"/>
      <c r="B99" s="2297" t="s">
        <v>2435</v>
      </c>
      <c r="C99" s="2299">
        <f>$I$3</f>
        <v>0</v>
      </c>
      <c r="D99" s="2299">
        <f t="shared" ref="D99:M99" si="30">$I$3</f>
        <v>0</v>
      </c>
      <c r="E99" s="2299">
        <f t="shared" si="30"/>
        <v>0</v>
      </c>
      <c r="F99" s="2299">
        <f t="shared" si="30"/>
        <v>0</v>
      </c>
      <c r="G99" s="2299">
        <f t="shared" si="30"/>
        <v>0</v>
      </c>
      <c r="H99" s="2299">
        <f t="shared" si="30"/>
        <v>0</v>
      </c>
      <c r="I99" s="2299">
        <f t="shared" si="30"/>
        <v>0</v>
      </c>
      <c r="J99" s="2299">
        <f t="shared" si="30"/>
        <v>0</v>
      </c>
      <c r="K99" s="2299">
        <f t="shared" si="30"/>
        <v>0</v>
      </c>
      <c r="L99" s="2299">
        <f t="shared" si="30"/>
        <v>0</v>
      </c>
      <c r="M99" s="2299">
        <f t="shared" si="30"/>
        <v>0</v>
      </c>
      <c r="N99" s="2299">
        <f>$I$3</f>
        <v>0</v>
      </c>
    </row>
    <row r="100" spans="1:14">
      <c r="A100" s="3527"/>
      <c r="B100" s="2297">
        <v>7</v>
      </c>
      <c r="C100" s="2300">
        <f>(-0.163*(C99^2)-0.59*C99+7617)*(10^(-4))</f>
        <v>0.76170000000000004</v>
      </c>
      <c r="D100" s="2300">
        <f>(-0.163*(D99^2)-0.59*D99+7617)*(10^(-4))</f>
        <v>0.76170000000000004</v>
      </c>
      <c r="E100" s="2300">
        <f>(-0.161*(E99^2)-7.509*E99+6533)*(10^(-4))</f>
        <v>0.65329999999999999</v>
      </c>
      <c r="F100" s="2300">
        <f>(-0.161*(F99^2)-7.509*F99+6533)*(10^(-4))</f>
        <v>0.65329999999999999</v>
      </c>
      <c r="G100" s="2300">
        <f>(-0.161*(G99^2)-7.509*G99+6533)*(10^(-4))</f>
        <v>0.65329999999999999</v>
      </c>
      <c r="H100" s="2300">
        <f>(-0.161*(H99^2)-7.509*H99+6533)*(10^(-4))</f>
        <v>0.65329999999999999</v>
      </c>
      <c r="I100" s="2300">
        <f>(-0.161*(I99^2)-7.509*I99+6533)*(10^(-4))</f>
        <v>0.65329999999999999</v>
      </c>
      <c r="J100" s="2300">
        <f>(-0.214*(J99^2)-21.991*J99+4665)*(10^(-4))</f>
        <v>0.46650000000000003</v>
      </c>
      <c r="K100" s="2300">
        <f>(-0.214*(K99^2)-21.991*K99+4665)*(10^(-4))</f>
        <v>0.46650000000000003</v>
      </c>
      <c r="L100" s="2300">
        <f>(-0.214*(L99^2)-21.991*L99+4665)*(10^(-4))</f>
        <v>0.46650000000000003</v>
      </c>
      <c r="M100" s="2300">
        <f>(-0.214*(M99^2)-21.991*M99+4665)*(10^(-4))</f>
        <v>0.46650000000000003</v>
      </c>
      <c r="N100" s="2300">
        <f>(-0.214*(N99^2)-21.991*N99+4665)*(10^(-4))</f>
        <v>0.46650000000000003</v>
      </c>
    </row>
    <row r="101" spans="1:14">
      <c r="A101" s="3525" t="s">
        <v>2554</v>
      </c>
      <c r="B101" s="2301" t="s">
        <v>2555</v>
      </c>
      <c r="C101" s="2302" t="e">
        <f>$G$3</f>
        <v>#DIV/0!</v>
      </c>
      <c r="D101" s="2302" t="e">
        <f t="shared" ref="D101:N101" si="31">$G$3</f>
        <v>#DIV/0!</v>
      </c>
      <c r="E101" s="2302" t="e">
        <f t="shared" si="31"/>
        <v>#DIV/0!</v>
      </c>
      <c r="F101" s="2302" t="e">
        <f t="shared" si="31"/>
        <v>#DIV/0!</v>
      </c>
      <c r="G101" s="2302" t="e">
        <f t="shared" si="31"/>
        <v>#DIV/0!</v>
      </c>
      <c r="H101" s="2302" t="e">
        <f t="shared" si="31"/>
        <v>#DIV/0!</v>
      </c>
      <c r="I101" s="2302" t="e">
        <f t="shared" si="31"/>
        <v>#DIV/0!</v>
      </c>
      <c r="J101" s="2302" t="e">
        <f t="shared" si="31"/>
        <v>#DIV/0!</v>
      </c>
      <c r="K101" s="2302" t="e">
        <f t="shared" si="31"/>
        <v>#DIV/0!</v>
      </c>
      <c r="L101" s="2302" t="e">
        <f t="shared" si="31"/>
        <v>#DIV/0!</v>
      </c>
      <c r="M101" s="2302" t="e">
        <f t="shared" si="31"/>
        <v>#DIV/0!</v>
      </c>
      <c r="N101" s="2302" t="e">
        <f t="shared" si="31"/>
        <v>#DIV/0!</v>
      </c>
    </row>
    <row r="102" spans="1:14">
      <c r="A102" s="3526"/>
      <c r="B102" s="2297">
        <v>1</v>
      </c>
      <c r="C102" s="2298" t="e">
        <f>1.9362/C101</f>
        <v>#DIV/0!</v>
      </c>
      <c r="D102" s="2298" t="e">
        <f>1.9362/D101</f>
        <v>#DIV/0!</v>
      </c>
      <c r="E102" s="2298" t="e">
        <f>1.8629/E101</f>
        <v>#DIV/0!</v>
      </c>
      <c r="F102" s="2298" t="e">
        <f>1.8629/F101</f>
        <v>#DIV/0!</v>
      </c>
      <c r="G102" s="2298" t="e">
        <f>1.8629/G101</f>
        <v>#DIV/0!</v>
      </c>
      <c r="H102" s="2298" t="e">
        <f>1.8629/H101</f>
        <v>#DIV/0!</v>
      </c>
      <c r="I102" s="2298" t="e">
        <f>1.8629/I101</f>
        <v>#DIV/0!</v>
      </c>
      <c r="J102" s="2298" t="e">
        <f>1.942/J101</f>
        <v>#DIV/0!</v>
      </c>
      <c r="K102" s="2298" t="e">
        <f>1.942/K101</f>
        <v>#DIV/0!</v>
      </c>
      <c r="L102" s="2298" t="e">
        <f>1.942/L101</f>
        <v>#DIV/0!</v>
      </c>
      <c r="M102" s="2298" t="e">
        <f>1.942/M101</f>
        <v>#DIV/0!</v>
      </c>
      <c r="N102" s="2298" t="e">
        <f>1.942/N101</f>
        <v>#DIV/0!</v>
      </c>
    </row>
    <row r="103" spans="1:14">
      <c r="A103" s="3526"/>
      <c r="B103" s="2297">
        <v>2</v>
      </c>
      <c r="C103" s="2298" t="e">
        <f>1.4198/C101</f>
        <v>#DIV/0!</v>
      </c>
      <c r="D103" s="2298" t="e">
        <f>1.4198/D101</f>
        <v>#DIV/0!</v>
      </c>
      <c r="E103" s="2298" t="e">
        <f>1.3372/E101</f>
        <v>#DIV/0!</v>
      </c>
      <c r="F103" s="2298" t="e">
        <f>1.3372/F101</f>
        <v>#DIV/0!</v>
      </c>
      <c r="G103" s="2298" t="e">
        <f>1.3372/G101</f>
        <v>#DIV/0!</v>
      </c>
      <c r="H103" s="2298" t="e">
        <f>1.3372/H101</f>
        <v>#DIV/0!</v>
      </c>
      <c r="I103" s="2298" t="e">
        <f>1.3372/I101</f>
        <v>#DIV/0!</v>
      </c>
      <c r="J103" s="2298" t="e">
        <f>1.2799/J101</f>
        <v>#DIV/0!</v>
      </c>
      <c r="K103" s="2298" t="e">
        <f>1.2799/K101</f>
        <v>#DIV/0!</v>
      </c>
      <c r="L103" s="2298" t="e">
        <f>1.2799/L101</f>
        <v>#DIV/0!</v>
      </c>
      <c r="M103" s="2298" t="e">
        <f>1.2799/M101</f>
        <v>#DIV/0!</v>
      </c>
      <c r="N103" s="2298" t="e">
        <f>1.2799/N101</f>
        <v>#DIV/0!</v>
      </c>
    </row>
    <row r="104" spans="1:14">
      <c r="A104" s="3526"/>
      <c r="B104" s="2297">
        <v>3</v>
      </c>
      <c r="C104" s="2298" t="e">
        <f>1.1594/C101</f>
        <v>#DIV/0!</v>
      </c>
      <c r="D104" s="2298" t="e">
        <f>1.1594/D101</f>
        <v>#DIV/0!</v>
      </c>
      <c r="E104" s="2298" t="e">
        <f>1.0788/E101</f>
        <v>#DIV/0!</v>
      </c>
      <c r="F104" s="2298" t="e">
        <f>1.0788/F101</f>
        <v>#DIV/0!</v>
      </c>
      <c r="G104" s="2298" t="e">
        <f>1.0788/G101</f>
        <v>#DIV/0!</v>
      </c>
      <c r="H104" s="2298" t="e">
        <f>1.0788/H101</f>
        <v>#DIV/0!</v>
      </c>
      <c r="I104" s="2298" t="e">
        <f>1.0788/I101</f>
        <v>#DIV/0!</v>
      </c>
      <c r="J104" s="2298" t="e">
        <f>1.0072/J101</f>
        <v>#DIV/0!</v>
      </c>
      <c r="K104" s="2298" t="e">
        <f>1.0072/K101</f>
        <v>#DIV/0!</v>
      </c>
      <c r="L104" s="2298" t="e">
        <f>1.0072/L101</f>
        <v>#DIV/0!</v>
      </c>
      <c r="M104" s="2298" t="e">
        <f>1.0072/M101</f>
        <v>#DIV/0!</v>
      </c>
      <c r="N104" s="2298" t="e">
        <f>1.0072/N101</f>
        <v>#DIV/0!</v>
      </c>
    </row>
    <row r="105" spans="1:14">
      <c r="A105" s="3526"/>
      <c r="B105" s="2297">
        <v>4</v>
      </c>
      <c r="C105" s="2298" t="e">
        <f>0.9622/C101</f>
        <v>#DIV/0!</v>
      </c>
      <c r="D105" s="2298" t="e">
        <f>0.9622/D101</f>
        <v>#DIV/0!</v>
      </c>
      <c r="E105" s="2298" t="e">
        <f>0.8656/E101</f>
        <v>#DIV/0!</v>
      </c>
      <c r="F105" s="2298" t="e">
        <f>0.8656/F101</f>
        <v>#DIV/0!</v>
      </c>
      <c r="G105" s="2298" t="e">
        <f>0.8656/G101</f>
        <v>#DIV/0!</v>
      </c>
      <c r="H105" s="2298" t="e">
        <f>0.8656/H101</f>
        <v>#DIV/0!</v>
      </c>
      <c r="I105" s="2298" t="e">
        <f>0.8656/I101</f>
        <v>#DIV/0!</v>
      </c>
      <c r="J105" s="2298" t="e">
        <f>0.7525/J101</f>
        <v>#DIV/0!</v>
      </c>
      <c r="K105" s="2298" t="e">
        <f>0.7525/K101</f>
        <v>#DIV/0!</v>
      </c>
      <c r="L105" s="2298" t="e">
        <f>0.7525/L101</f>
        <v>#DIV/0!</v>
      </c>
      <c r="M105" s="2298" t="e">
        <f>0.7525/M101</f>
        <v>#DIV/0!</v>
      </c>
      <c r="N105" s="2298" t="e">
        <f>0.7525/N101</f>
        <v>#DIV/0!</v>
      </c>
    </row>
    <row r="106" spans="1:14">
      <c r="A106" s="3526"/>
      <c r="B106" s="2297">
        <v>5</v>
      </c>
      <c r="C106" s="2298" t="e">
        <f>0.8417/C101</f>
        <v>#DIV/0!</v>
      </c>
      <c r="D106" s="2298" t="e">
        <f>0.8417/D101</f>
        <v>#DIV/0!</v>
      </c>
      <c r="E106" s="2298" t="e">
        <f>0.7371/E101</f>
        <v>#DIV/0!</v>
      </c>
      <c r="F106" s="2298" t="e">
        <f>0.7371/F101</f>
        <v>#DIV/0!</v>
      </c>
      <c r="G106" s="2298" t="e">
        <f>0.7371/G101</f>
        <v>#DIV/0!</v>
      </c>
      <c r="H106" s="2298" t="e">
        <f>0.7371/H101</f>
        <v>#DIV/0!</v>
      </c>
      <c r="I106" s="2298" t="e">
        <f>0.7371/I101</f>
        <v>#DIV/0!</v>
      </c>
      <c r="J106" s="2298" t="e">
        <f>0.5659/J101</f>
        <v>#DIV/0!</v>
      </c>
      <c r="K106" s="2298" t="e">
        <f>0.5659/K101</f>
        <v>#DIV/0!</v>
      </c>
      <c r="L106" s="2298" t="e">
        <f>0.5659/L101</f>
        <v>#DIV/0!</v>
      </c>
      <c r="M106" s="2298" t="e">
        <f>0.5659/M101</f>
        <v>#DIV/0!</v>
      </c>
      <c r="N106" s="2298" t="e">
        <f>0.5659/N101</f>
        <v>#DIV/0!</v>
      </c>
    </row>
    <row r="107" spans="1:14">
      <c r="A107" s="3526"/>
      <c r="B107" s="2297">
        <v>6</v>
      </c>
      <c r="C107" s="2298" t="e">
        <f>0.7608/C101</f>
        <v>#DIV/0!</v>
      </c>
      <c r="D107" s="2298" t="e">
        <f>0.7608/D101</f>
        <v>#DIV/0!</v>
      </c>
      <c r="E107" s="2298" t="e">
        <f>0.6482/E101</f>
        <v>#DIV/0!</v>
      </c>
      <c r="F107" s="2298" t="e">
        <f>0.6482/F101</f>
        <v>#DIV/0!</v>
      </c>
      <c r="G107" s="2298" t="e">
        <f>0.6482/G101</f>
        <v>#DIV/0!</v>
      </c>
      <c r="H107" s="2298" t="e">
        <f>0.6482/H101</f>
        <v>#DIV/0!</v>
      </c>
      <c r="I107" s="2298" t="e">
        <f>0.6482/I101</f>
        <v>#DIV/0!</v>
      </c>
      <c r="J107" s="2298" t="e">
        <f>0.4525/J101</f>
        <v>#DIV/0!</v>
      </c>
      <c r="K107" s="2298" t="e">
        <f>0.4525/K101</f>
        <v>#DIV/0!</v>
      </c>
      <c r="L107" s="2298" t="e">
        <f>0.4525/L101</f>
        <v>#DIV/0!</v>
      </c>
      <c r="M107" s="2298" t="e">
        <f>0.4525/M101</f>
        <v>#DIV/0!</v>
      </c>
      <c r="N107" s="2298" t="e">
        <f>0.4525/N101</f>
        <v>#DIV/0!</v>
      </c>
    </row>
    <row r="108" spans="1:14">
      <c r="A108" s="3526"/>
      <c r="B108" s="3528" t="s">
        <v>2556</v>
      </c>
      <c r="C108" s="2299">
        <f>C99</f>
        <v>0</v>
      </c>
      <c r="D108" s="2299">
        <f t="shared" ref="D108:N108" si="32">D99</f>
        <v>0</v>
      </c>
      <c r="E108" s="2299">
        <f t="shared" si="32"/>
        <v>0</v>
      </c>
      <c r="F108" s="2299">
        <f t="shared" si="32"/>
        <v>0</v>
      </c>
      <c r="G108" s="2299">
        <f t="shared" si="32"/>
        <v>0</v>
      </c>
      <c r="H108" s="2299">
        <f t="shared" si="32"/>
        <v>0</v>
      </c>
      <c r="I108" s="2299">
        <f t="shared" si="32"/>
        <v>0</v>
      </c>
      <c r="J108" s="2299">
        <f t="shared" si="32"/>
        <v>0</v>
      </c>
      <c r="K108" s="2299">
        <f t="shared" si="32"/>
        <v>0</v>
      </c>
      <c r="L108" s="2299">
        <f t="shared" si="32"/>
        <v>0</v>
      </c>
      <c r="M108" s="2299">
        <f t="shared" si="32"/>
        <v>0</v>
      </c>
      <c r="N108" s="2299">
        <f t="shared" si="32"/>
        <v>0</v>
      </c>
    </row>
    <row r="109" spans="1:14">
      <c r="A109" s="3527"/>
      <c r="B109" s="3529"/>
      <c r="C109" s="2300" t="e">
        <f>(-0.163*(C108^2)-0.59*C108+7617)*(10^(-4))/C101</f>
        <v>#DIV/0!</v>
      </c>
      <c r="D109" s="2300" t="e">
        <f>(-0.163*(D108^2)-0.59*D108+7617)*(10^(-4))/D101</f>
        <v>#DIV/0!</v>
      </c>
      <c r="E109" s="2300" t="e">
        <f>(-0.161*(E108^2)-7.509*E108+6533)*(10^(-4))/E101</f>
        <v>#DIV/0!</v>
      </c>
      <c r="F109" s="2300" t="e">
        <f>(-0.161*(F108^2)-7.509*F108+6533)*(10^(-4))/F101</f>
        <v>#DIV/0!</v>
      </c>
      <c r="G109" s="2300" t="e">
        <f>(-0.161*(G108^2)-7.509*G108+6533)*(10^(-4))/G101</f>
        <v>#DIV/0!</v>
      </c>
      <c r="H109" s="2300" t="e">
        <f>(-0.161*(H108^2)-7.509*H108+6533)*(10^(-4))/H101</f>
        <v>#DIV/0!</v>
      </c>
      <c r="I109" s="2300" t="e">
        <f>(-0.161*(I108^2)-7.509*I108+6533)*(10^(-4))/I101</f>
        <v>#DIV/0!</v>
      </c>
      <c r="J109" s="2300" t="e">
        <f>(-0.214*(J108^2)-21.991*J108+4665)*(10^(-4))/J101</f>
        <v>#DIV/0!</v>
      </c>
      <c r="K109" s="2300" t="e">
        <f>(-0.214*(K108^2)-21.991*K108+4665)*(10^(-4))/K101</f>
        <v>#DIV/0!</v>
      </c>
      <c r="L109" s="2300" t="e">
        <f>(-0.214*(L108^2)-21.991*L108+4665)*(10^(-4))/L101</f>
        <v>#DIV/0!</v>
      </c>
      <c r="M109" s="2300" t="e">
        <f>(-0.214*(M108^2)-21.991*M108+4665)*(10^(-4))/M101</f>
        <v>#DIV/0!</v>
      </c>
      <c r="N109" s="2300" t="e">
        <f>(-0.214*(N108^2)-21.991*N108+4665)*(10^(-4))/N101</f>
        <v>#DIV/0!</v>
      </c>
    </row>
    <row r="110" spans="1:14">
      <c r="A110" s="3523" t="s">
        <v>2557</v>
      </c>
      <c r="B110" s="3523"/>
      <c r="C110" s="3523"/>
      <c r="D110" s="3523"/>
      <c r="E110" s="3523"/>
      <c r="F110" s="3523"/>
      <c r="G110" s="3523"/>
      <c r="H110" s="3523"/>
      <c r="I110" s="3523"/>
      <c r="J110" s="3523"/>
      <c r="K110" s="2303"/>
      <c r="L110" s="2303"/>
      <c r="M110" s="2303"/>
      <c r="N110" s="2303"/>
    </row>
    <row r="112" spans="1:14" ht="13.5" thickBot="1"/>
    <row r="113" spans="1:13" ht="25.5" thickBot="1">
      <c r="A113" s="824" t="s">
        <v>2558</v>
      </c>
      <c r="B113" s="1178" t="e">
        <f>G3</f>
        <v>#DIV/0!</v>
      </c>
      <c r="C113" s="825" t="s">
        <v>2559</v>
      </c>
      <c r="D113" s="826" t="e">
        <f>SUMPRODUCT((A115:A118=F113)*(B114:M114=H113)*B115:M118)</f>
        <v>#DIV/0!</v>
      </c>
      <c r="E113" s="2139" t="s">
        <v>2392</v>
      </c>
      <c r="F113" s="2305">
        <f>E2</f>
        <v>0</v>
      </c>
      <c r="G113" s="2139" t="s">
        <v>2393</v>
      </c>
      <c r="H113" s="2305">
        <f>G2</f>
        <v>0</v>
      </c>
      <c r="I113" s="2139"/>
      <c r="J113" s="2306"/>
      <c r="K113" s="2306"/>
      <c r="L113" s="2306"/>
      <c r="M113" s="2306"/>
    </row>
    <row r="114" spans="1:13">
      <c r="A114" s="829"/>
      <c r="B114" s="2307" t="s">
        <v>2560</v>
      </c>
      <c r="C114" s="2307" t="s">
        <v>2561</v>
      </c>
      <c r="D114" s="2307" t="s">
        <v>2562</v>
      </c>
      <c r="E114" s="2308" t="s">
        <v>2563</v>
      </c>
      <c r="F114" s="2308" t="s">
        <v>2564</v>
      </c>
      <c r="G114" s="2308" t="s">
        <v>2565</v>
      </c>
      <c r="H114" s="2309" t="s">
        <v>2566</v>
      </c>
      <c r="I114" s="2309" t="s">
        <v>2567</v>
      </c>
      <c r="J114" s="2310" t="s">
        <v>2568</v>
      </c>
      <c r="K114" s="2310" t="s">
        <v>2569</v>
      </c>
      <c r="L114" s="2310" t="s">
        <v>2570</v>
      </c>
      <c r="M114" s="2311" t="s">
        <v>2571</v>
      </c>
    </row>
    <row r="115" spans="1:13">
      <c r="A115" s="830" t="s">
        <v>2457</v>
      </c>
      <c r="B115" s="831" t="e">
        <f>ROUND(0.9335-0.0094*B113,4)</f>
        <v>#DIV/0!</v>
      </c>
      <c r="C115" s="831" t="e">
        <f>B115</f>
        <v>#DIV/0!</v>
      </c>
      <c r="D115" s="831" t="e">
        <f>ROUND(0.8331-0.0109*B113,4)</f>
        <v>#DIV/0!</v>
      </c>
      <c r="E115" s="831" t="e">
        <f>D115</f>
        <v>#DIV/0!</v>
      </c>
      <c r="F115" s="831" t="e">
        <f>E115</f>
        <v>#DIV/0!</v>
      </c>
      <c r="G115" s="831" t="e">
        <f>F115</f>
        <v>#DIV/0!</v>
      </c>
      <c r="H115" s="831" t="e">
        <f>G115</f>
        <v>#DIV/0!</v>
      </c>
      <c r="I115" s="831" t="e">
        <f>ROUND(0.689-0.0155*B113,4)</f>
        <v>#DIV/0!</v>
      </c>
      <c r="J115" s="831" t="e">
        <f t="shared" ref="J115:M118" si="33">I115</f>
        <v>#DIV/0!</v>
      </c>
      <c r="K115" s="831" t="e">
        <f t="shared" si="33"/>
        <v>#DIV/0!</v>
      </c>
      <c r="L115" s="831" t="e">
        <f t="shared" si="33"/>
        <v>#DIV/0!</v>
      </c>
      <c r="M115" s="832" t="e">
        <f t="shared" si="33"/>
        <v>#DIV/0!</v>
      </c>
    </row>
    <row r="116" spans="1:13">
      <c r="A116" s="830" t="s">
        <v>2458</v>
      </c>
      <c r="B116" s="831" t="e">
        <f>ROUND(0.949-0.012*B113,4)</f>
        <v>#DIV/0!</v>
      </c>
      <c r="C116" s="831" t="e">
        <f>B116</f>
        <v>#DIV/0!</v>
      </c>
      <c r="D116" s="831" t="e">
        <f>ROUND(0.8567-0.013*B113,4)</f>
        <v>#DIV/0!</v>
      </c>
      <c r="E116" s="831" t="e">
        <f t="shared" ref="E116:H117" si="34">D116</f>
        <v>#DIV/0!</v>
      </c>
      <c r="F116" s="831" t="e">
        <f t="shared" si="34"/>
        <v>#DIV/0!</v>
      </c>
      <c r="G116" s="831" t="e">
        <f t="shared" si="34"/>
        <v>#DIV/0!</v>
      </c>
      <c r="H116" s="831" t="e">
        <f t="shared" si="34"/>
        <v>#DIV/0!</v>
      </c>
      <c r="I116" s="831" t="e">
        <f>ROUND(0.7694-0.014*B113,4)</f>
        <v>#DIV/0!</v>
      </c>
      <c r="J116" s="831" t="e">
        <f t="shared" si="33"/>
        <v>#DIV/0!</v>
      </c>
      <c r="K116" s="831" t="e">
        <f t="shared" si="33"/>
        <v>#DIV/0!</v>
      </c>
      <c r="L116" s="831" t="e">
        <f t="shared" si="33"/>
        <v>#DIV/0!</v>
      </c>
      <c r="M116" s="832" t="e">
        <f t="shared" si="33"/>
        <v>#DIV/0!</v>
      </c>
    </row>
    <row r="117" spans="1:13">
      <c r="A117" s="830" t="s">
        <v>2459</v>
      </c>
      <c r="B117" s="831" t="e">
        <f>ROUND(0.8808-0.006*B113,4)</f>
        <v>#DIV/0!</v>
      </c>
      <c r="C117" s="831" t="e">
        <f>B117</f>
        <v>#DIV/0!</v>
      </c>
      <c r="D117" s="831" t="e">
        <f>ROUND(0.8748-0.008*B113,4)</f>
        <v>#DIV/0!</v>
      </c>
      <c r="E117" s="831" t="e">
        <f t="shared" si="34"/>
        <v>#DIV/0!</v>
      </c>
      <c r="F117" s="831" t="e">
        <f t="shared" si="34"/>
        <v>#DIV/0!</v>
      </c>
      <c r="G117" s="831" t="e">
        <f t="shared" si="34"/>
        <v>#DIV/0!</v>
      </c>
      <c r="H117" s="831" t="e">
        <f t="shared" si="34"/>
        <v>#DIV/0!</v>
      </c>
      <c r="I117" s="831" t="e">
        <f>ROUND(0.7412-0.0095*B113,4)</f>
        <v>#DIV/0!</v>
      </c>
      <c r="J117" s="831" t="e">
        <f t="shared" si="33"/>
        <v>#DIV/0!</v>
      </c>
      <c r="K117" s="831" t="e">
        <f t="shared" si="33"/>
        <v>#DIV/0!</v>
      </c>
      <c r="L117" s="831" t="e">
        <f t="shared" si="33"/>
        <v>#DIV/0!</v>
      </c>
      <c r="M117" s="832" t="e">
        <f t="shared" si="33"/>
        <v>#DIV/0!</v>
      </c>
    </row>
    <row r="118" spans="1:13" ht="13.5" thickBot="1">
      <c r="A118" s="670" t="s">
        <v>2460</v>
      </c>
      <c r="B118" s="833" t="e">
        <f>ROUND(0.7275-0.01*B113,4)</f>
        <v>#DIV/0!</v>
      </c>
      <c r="C118" s="833" t="e">
        <f>B118</f>
        <v>#DIV/0!</v>
      </c>
      <c r="D118" s="833" t="e">
        <f>ROUND(0.7043-0.012*B113,4)</f>
        <v>#DIV/0!</v>
      </c>
      <c r="E118" s="833" t="e">
        <f>D118</f>
        <v>#DIV/0!</v>
      </c>
      <c r="F118" s="833" t="e">
        <f>E118</f>
        <v>#DIV/0!</v>
      </c>
      <c r="G118" s="833" t="e">
        <f>ROUND(0.6299-0.0122*B113,4)</f>
        <v>#DIV/0!</v>
      </c>
      <c r="H118" s="833" t="e">
        <f>G118</f>
        <v>#DIV/0!</v>
      </c>
      <c r="I118" s="833" t="e">
        <f>ROUND(0.5667-0.0136*B113,4)</f>
        <v>#DIV/0!</v>
      </c>
      <c r="J118" s="833" t="e">
        <f t="shared" si="33"/>
        <v>#DIV/0!</v>
      </c>
      <c r="K118" s="833" t="e">
        <f t="shared" si="33"/>
        <v>#DIV/0!</v>
      </c>
      <c r="L118" s="833" t="e">
        <f t="shared" si="33"/>
        <v>#DIV/0!</v>
      </c>
      <c r="M118" s="834" t="e">
        <f t="shared" si="33"/>
        <v>#DIV/0!</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5"/>
    <col min="2" max="9" width="14.375" style="801"/>
    <col min="10" max="16384" width="14.375" style="755"/>
  </cols>
  <sheetData>
    <row r="1" spans="1:13" ht="19.5" customHeight="1" thickBot="1">
      <c r="A1" s="795" t="s">
        <v>545</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3187" t="s">
        <v>2944</v>
      </c>
      <c r="B2" s="3188">
        <v>3.5</v>
      </c>
      <c r="C2" s="3188">
        <v>3.5</v>
      </c>
      <c r="D2" s="3189">
        <v>2.5</v>
      </c>
      <c r="E2" s="3189">
        <v>2.5</v>
      </c>
      <c r="F2" s="3189">
        <v>2.5</v>
      </c>
      <c r="G2" s="3189">
        <v>2.5</v>
      </c>
      <c r="H2" s="3189">
        <v>2.5</v>
      </c>
      <c r="I2" s="3188">
        <v>2</v>
      </c>
      <c r="J2" s="3188">
        <v>2</v>
      </c>
      <c r="K2" s="3188">
        <v>2</v>
      </c>
      <c r="L2" s="3188">
        <v>2</v>
      </c>
      <c r="M2" s="3190">
        <v>2</v>
      </c>
    </row>
    <row r="3" spans="1:13" ht="19.5" customHeight="1">
      <c r="A3" s="3191" t="s">
        <v>2945</v>
      </c>
      <c r="B3" s="3192">
        <v>3.5</v>
      </c>
      <c r="C3" s="3192">
        <v>3.5</v>
      </c>
      <c r="D3" s="3193">
        <v>2.5</v>
      </c>
      <c r="E3" s="3193">
        <v>2.5</v>
      </c>
      <c r="F3" s="3193">
        <v>2.5</v>
      </c>
      <c r="G3" s="3193">
        <v>2.5</v>
      </c>
      <c r="H3" s="3193">
        <v>2.5</v>
      </c>
      <c r="I3" s="3192">
        <v>2</v>
      </c>
      <c r="J3" s="3192">
        <v>2</v>
      </c>
      <c r="K3" s="3192">
        <v>2</v>
      </c>
      <c r="L3" s="3192">
        <v>2</v>
      </c>
      <c r="M3" s="3194">
        <v>2</v>
      </c>
    </row>
    <row r="4" spans="1:13" ht="19.5" customHeight="1">
      <c r="A4" s="3191" t="s">
        <v>2946</v>
      </c>
      <c r="B4" s="3193">
        <v>2.5</v>
      </c>
      <c r="C4" s="3193">
        <v>2.5</v>
      </c>
      <c r="D4" s="3193">
        <v>2.5</v>
      </c>
      <c r="E4" s="3193">
        <v>2.5</v>
      </c>
      <c r="F4" s="3193">
        <v>2.5</v>
      </c>
      <c r="G4" s="3193">
        <v>2.5</v>
      </c>
      <c r="H4" s="3193">
        <v>2.5</v>
      </c>
      <c r="I4" s="3192">
        <v>1.5</v>
      </c>
      <c r="J4" s="3192">
        <v>1.5</v>
      </c>
      <c r="K4" s="3192">
        <v>1.5</v>
      </c>
      <c r="L4" s="3192">
        <v>1.5</v>
      </c>
      <c r="M4" s="3194">
        <v>1.5</v>
      </c>
    </row>
    <row r="5" spans="1:13" ht="19.5" customHeight="1">
      <c r="A5" s="3195" t="s">
        <v>2947</v>
      </c>
      <c r="B5" s="3192">
        <v>1.5</v>
      </c>
      <c r="C5" s="3192">
        <v>1.5</v>
      </c>
      <c r="D5" s="3192">
        <v>1.5</v>
      </c>
      <c r="E5" s="3192">
        <v>1.5</v>
      </c>
      <c r="F5" s="3192">
        <v>1.5</v>
      </c>
      <c r="G5" s="3192">
        <v>1.2</v>
      </c>
      <c r="H5" s="3192">
        <v>1.2</v>
      </c>
      <c r="I5" s="3192">
        <v>1</v>
      </c>
      <c r="J5" s="3192">
        <v>1</v>
      </c>
      <c r="K5" s="3192">
        <v>1</v>
      </c>
      <c r="L5" s="3192">
        <v>1</v>
      </c>
      <c r="M5" s="3194">
        <v>1</v>
      </c>
    </row>
    <row r="6" spans="1:13" ht="19.5" customHeight="1">
      <c r="A6" s="3196" t="s">
        <v>2948</v>
      </c>
      <c r="B6" s="3197">
        <v>2.5</v>
      </c>
      <c r="C6" s="3197">
        <v>2.5</v>
      </c>
      <c r="D6" s="3197">
        <v>2</v>
      </c>
      <c r="E6" s="3197">
        <v>2</v>
      </c>
      <c r="F6" s="3197">
        <v>2</v>
      </c>
      <c r="G6" s="3197">
        <v>2</v>
      </c>
      <c r="H6" s="3197">
        <v>2</v>
      </c>
      <c r="I6" s="3198">
        <v>1.5</v>
      </c>
      <c r="J6" s="3198">
        <v>1.5</v>
      </c>
      <c r="K6" s="3198">
        <v>1.5</v>
      </c>
      <c r="L6" s="3198">
        <v>1.5</v>
      </c>
      <c r="M6" s="3199">
        <v>1.5</v>
      </c>
    </row>
    <row r="7" spans="1:13" ht="19.5" customHeight="1" thickBot="1">
      <c r="A7" s="3200" t="s">
        <v>2949</v>
      </c>
      <c r="B7" s="3201">
        <v>2.5</v>
      </c>
      <c r="C7" s="3201">
        <v>2.5</v>
      </c>
      <c r="D7" s="3201">
        <v>2</v>
      </c>
      <c r="E7" s="3201">
        <v>2</v>
      </c>
      <c r="F7" s="3201">
        <v>2</v>
      </c>
      <c r="G7" s="3201">
        <v>2</v>
      </c>
      <c r="H7" s="3201">
        <v>2</v>
      </c>
      <c r="I7" s="3202">
        <v>1.5</v>
      </c>
      <c r="J7" s="3202">
        <v>1.5</v>
      </c>
      <c r="K7" s="3202">
        <v>1.5</v>
      </c>
      <c r="L7" s="3202">
        <v>1.5</v>
      </c>
      <c r="M7" s="3203">
        <v>1.5</v>
      </c>
    </row>
    <row r="8" spans="1:13" ht="19.5" customHeight="1">
      <c r="A8" s="796" t="s">
        <v>546</v>
      </c>
      <c r="B8" s="3204">
        <v>80</v>
      </c>
      <c r="C8" s="3204">
        <v>80</v>
      </c>
      <c r="D8" s="3204">
        <v>70</v>
      </c>
      <c r="E8" s="3204">
        <v>70</v>
      </c>
      <c r="F8" s="3204">
        <v>70</v>
      </c>
      <c r="G8" s="3204">
        <v>70</v>
      </c>
      <c r="H8" s="3204">
        <v>70</v>
      </c>
      <c r="I8" s="3204">
        <v>60</v>
      </c>
      <c r="J8" s="3204">
        <v>60</v>
      </c>
      <c r="K8" s="3204">
        <v>60</v>
      </c>
      <c r="L8" s="3204">
        <v>60</v>
      </c>
      <c r="M8" s="3205">
        <v>60</v>
      </c>
    </row>
    <row r="9" spans="1:13" ht="19.5" customHeight="1">
      <c r="A9" s="756" t="s">
        <v>547</v>
      </c>
      <c r="B9" s="3206">
        <v>70</v>
      </c>
      <c r="C9" s="3206">
        <v>70</v>
      </c>
      <c r="D9" s="3206">
        <v>60</v>
      </c>
      <c r="E9" s="3206">
        <v>60</v>
      </c>
      <c r="F9" s="3206">
        <v>60</v>
      </c>
      <c r="G9" s="3206">
        <v>60</v>
      </c>
      <c r="H9" s="3206">
        <v>60</v>
      </c>
      <c r="I9" s="3206">
        <v>50</v>
      </c>
      <c r="J9" s="3206">
        <v>50</v>
      </c>
      <c r="K9" s="3206">
        <v>50</v>
      </c>
      <c r="L9" s="3206">
        <v>50</v>
      </c>
      <c r="M9" s="3207">
        <v>50</v>
      </c>
    </row>
    <row r="10" spans="1:13" ht="19.5" customHeight="1">
      <c r="A10" s="756" t="s">
        <v>548</v>
      </c>
      <c r="B10" s="3206">
        <v>20</v>
      </c>
      <c r="C10" s="3206">
        <v>20</v>
      </c>
      <c r="D10" s="3206">
        <v>15</v>
      </c>
      <c r="E10" s="3206">
        <v>15</v>
      </c>
      <c r="F10" s="3206">
        <v>15</v>
      </c>
      <c r="G10" s="3206">
        <v>15</v>
      </c>
      <c r="H10" s="3206">
        <v>15</v>
      </c>
      <c r="I10" s="3206">
        <v>10</v>
      </c>
      <c r="J10" s="3206">
        <v>10</v>
      </c>
      <c r="K10" s="3206">
        <v>10</v>
      </c>
      <c r="L10" s="3206">
        <v>10</v>
      </c>
      <c r="M10" s="3207">
        <v>10</v>
      </c>
    </row>
    <row r="11" spans="1:13" ht="19.5" customHeight="1">
      <c r="A11" s="756" t="s">
        <v>549</v>
      </c>
      <c r="B11" s="3206">
        <v>30</v>
      </c>
      <c r="C11" s="3206">
        <v>30</v>
      </c>
      <c r="D11" s="3206">
        <v>25</v>
      </c>
      <c r="E11" s="3206">
        <v>25</v>
      </c>
      <c r="F11" s="3206">
        <v>25</v>
      </c>
      <c r="G11" s="3206">
        <v>25</v>
      </c>
      <c r="H11" s="3206">
        <v>25</v>
      </c>
      <c r="I11" s="3206">
        <v>20</v>
      </c>
      <c r="J11" s="3206">
        <v>20</v>
      </c>
      <c r="K11" s="3206">
        <v>20</v>
      </c>
      <c r="L11" s="3206">
        <v>20</v>
      </c>
      <c r="M11" s="3207">
        <v>20</v>
      </c>
    </row>
    <row r="12" spans="1:13" ht="19.5" customHeight="1">
      <c r="A12" s="756" t="s">
        <v>550</v>
      </c>
      <c r="B12" s="3206">
        <v>45</v>
      </c>
      <c r="C12" s="3206">
        <v>45</v>
      </c>
      <c r="D12" s="3206">
        <v>40</v>
      </c>
      <c r="E12" s="3206">
        <v>40</v>
      </c>
      <c r="F12" s="3206">
        <v>40</v>
      </c>
      <c r="G12" s="3206">
        <v>40</v>
      </c>
      <c r="H12" s="3206">
        <v>40</v>
      </c>
      <c r="I12" s="3206">
        <v>35</v>
      </c>
      <c r="J12" s="3206">
        <v>35</v>
      </c>
      <c r="K12" s="3206">
        <v>35</v>
      </c>
      <c r="L12" s="3206">
        <v>35</v>
      </c>
      <c r="M12" s="3207">
        <v>35</v>
      </c>
    </row>
    <row r="13" spans="1:13" ht="19.5" customHeight="1">
      <c r="A13" s="756" t="s">
        <v>551</v>
      </c>
      <c r="B13" s="3206">
        <v>60</v>
      </c>
      <c r="C13" s="3206">
        <v>60</v>
      </c>
      <c r="D13" s="3206">
        <v>50</v>
      </c>
      <c r="E13" s="3206">
        <v>50</v>
      </c>
      <c r="F13" s="3206">
        <v>50</v>
      </c>
      <c r="G13" s="3206">
        <v>50</v>
      </c>
      <c r="H13" s="3206">
        <v>50</v>
      </c>
      <c r="I13" s="3206">
        <v>40</v>
      </c>
      <c r="J13" s="3206">
        <v>40</v>
      </c>
      <c r="K13" s="3206">
        <v>40</v>
      </c>
      <c r="L13" s="3206">
        <v>40</v>
      </c>
      <c r="M13" s="3207">
        <v>40</v>
      </c>
    </row>
    <row r="14" spans="1:13" ht="19.5" customHeight="1">
      <c r="A14" s="756" t="s">
        <v>552</v>
      </c>
      <c r="B14" s="3206">
        <v>50</v>
      </c>
      <c r="C14" s="3206">
        <v>50</v>
      </c>
      <c r="D14" s="3206">
        <v>40</v>
      </c>
      <c r="E14" s="3206">
        <v>40</v>
      </c>
      <c r="F14" s="3206">
        <v>40</v>
      </c>
      <c r="G14" s="3206">
        <v>40</v>
      </c>
      <c r="H14" s="3206">
        <v>40</v>
      </c>
      <c r="I14" s="3206">
        <v>30</v>
      </c>
      <c r="J14" s="3206">
        <v>30</v>
      </c>
      <c r="K14" s="3206">
        <v>30</v>
      </c>
      <c r="L14" s="3206">
        <v>30</v>
      </c>
      <c r="M14" s="3207">
        <v>30</v>
      </c>
    </row>
    <row r="15" spans="1:13" ht="19.5" customHeight="1">
      <c r="A15" s="797" t="s">
        <v>553</v>
      </c>
      <c r="B15" s="3208">
        <v>20</v>
      </c>
      <c r="C15" s="3208">
        <v>20</v>
      </c>
      <c r="D15" s="3208">
        <v>15</v>
      </c>
      <c r="E15" s="3208">
        <v>15</v>
      </c>
      <c r="F15" s="3208">
        <v>15</v>
      </c>
      <c r="G15" s="3208">
        <v>15</v>
      </c>
      <c r="H15" s="3208">
        <v>15</v>
      </c>
      <c r="I15" s="3208">
        <v>10</v>
      </c>
      <c r="J15" s="3208">
        <v>10</v>
      </c>
      <c r="K15" s="3208">
        <v>10</v>
      </c>
      <c r="L15" s="3208">
        <v>10</v>
      </c>
      <c r="M15" s="3209">
        <v>10</v>
      </c>
    </row>
    <row r="16" spans="1:13" ht="19.5" customHeight="1">
      <c r="A16" s="757" t="s">
        <v>554</v>
      </c>
      <c r="B16" s="798">
        <v>0</v>
      </c>
      <c r="C16" s="798">
        <v>0</v>
      </c>
      <c r="D16" s="798">
        <v>0</v>
      </c>
      <c r="E16" s="798">
        <v>0</v>
      </c>
      <c r="F16" s="798">
        <v>0</v>
      </c>
      <c r="G16" s="798">
        <v>0</v>
      </c>
      <c r="H16" s="798">
        <v>0</v>
      </c>
      <c r="I16" s="798">
        <v>0</v>
      </c>
      <c r="J16" s="798">
        <v>0</v>
      </c>
      <c r="K16" s="798">
        <v>0</v>
      </c>
      <c r="L16" s="798">
        <v>0</v>
      </c>
      <c r="M16" s="798">
        <v>0</v>
      </c>
    </row>
    <row r="17" spans="1:13" ht="19.5" customHeight="1">
      <c r="A17" s="757" t="s">
        <v>2623</v>
      </c>
      <c r="B17" s="798">
        <f>SUM(B8:B15)</f>
        <v>375</v>
      </c>
      <c r="C17" s="798">
        <f t="shared" ref="C17:H17" si="0">SUM(C8:C15)</f>
        <v>375</v>
      </c>
      <c r="D17" s="798">
        <f t="shared" si="0"/>
        <v>315</v>
      </c>
      <c r="E17" s="798">
        <f t="shared" si="0"/>
        <v>315</v>
      </c>
      <c r="F17" s="798">
        <f t="shared" si="0"/>
        <v>315</v>
      </c>
      <c r="G17" s="798">
        <f t="shared" si="0"/>
        <v>315</v>
      </c>
      <c r="H17" s="798">
        <f t="shared" si="0"/>
        <v>315</v>
      </c>
      <c r="I17" s="798">
        <f>SUM(I8:I12,I15)</f>
        <v>185</v>
      </c>
      <c r="J17" s="798">
        <f t="shared" ref="J17:M17" si="1">SUM(J8:J12,J15)</f>
        <v>185</v>
      </c>
      <c r="K17" s="798">
        <f t="shared" si="1"/>
        <v>185</v>
      </c>
      <c r="L17" s="798">
        <f t="shared" si="1"/>
        <v>185</v>
      </c>
      <c r="M17" s="798">
        <f t="shared" si="1"/>
        <v>185</v>
      </c>
    </row>
    <row r="18" spans="1:13" ht="19.5" customHeight="1">
      <c r="A18" s="799" t="s">
        <v>555</v>
      </c>
      <c r="B18" s="799"/>
      <c r="C18" s="800"/>
      <c r="D18" s="800"/>
      <c r="E18" s="799"/>
      <c r="F18" s="800"/>
      <c r="G18" s="800"/>
    </row>
    <row r="19" spans="1:13" ht="19.5" customHeight="1" thickBot="1">
      <c r="A19" s="3208" t="s">
        <v>2950</v>
      </c>
      <c r="B19" s="3210" t="s">
        <v>2951</v>
      </c>
      <c r="C19" s="3211" t="s">
        <v>2952</v>
      </c>
      <c r="D19" s="3212"/>
      <c r="E19" s="3206" t="s">
        <v>2953</v>
      </c>
      <c r="F19" s="803"/>
      <c r="G19" s="803"/>
    </row>
    <row r="20" spans="1:13" s="808" customFormat="1" ht="19.5" customHeight="1">
      <c r="A20" s="3553" t="s">
        <v>2954</v>
      </c>
      <c r="B20" s="3546" t="s">
        <v>2955</v>
      </c>
      <c r="C20" s="3213" t="s">
        <v>2956</v>
      </c>
      <c r="D20" s="3214"/>
      <c r="E20" s="3215">
        <v>1</v>
      </c>
      <c r="F20" s="3216" t="s">
        <v>2957</v>
      </c>
      <c r="G20" s="807"/>
      <c r="H20" s="801"/>
      <c r="I20" s="801"/>
    </row>
    <row r="21" spans="1:13" s="808" customFormat="1" ht="19.5" customHeight="1">
      <c r="A21" s="3554"/>
      <c r="B21" s="3547"/>
      <c r="C21" s="805" t="s">
        <v>2958</v>
      </c>
      <c r="D21" s="806"/>
      <c r="E21" s="3217">
        <v>1</v>
      </c>
      <c r="F21" s="3216" t="s">
        <v>2959</v>
      </c>
      <c r="G21" s="807"/>
      <c r="H21" s="801"/>
      <c r="I21" s="801"/>
    </row>
    <row r="22" spans="1:13" s="808" customFormat="1" ht="19.5" customHeight="1">
      <c r="A22" s="3554"/>
      <c r="B22" s="3547"/>
      <c r="C22" s="805" t="s">
        <v>2960</v>
      </c>
      <c r="D22" s="806"/>
      <c r="E22" s="3217">
        <v>0.9</v>
      </c>
      <c r="F22" s="3216" t="s">
        <v>2961</v>
      </c>
      <c r="G22" s="807"/>
      <c r="H22" s="801"/>
      <c r="I22" s="801"/>
    </row>
    <row r="23" spans="1:13" s="808" customFormat="1" ht="19.5" customHeight="1">
      <c r="A23" s="3554"/>
      <c r="B23" s="3547"/>
      <c r="C23" s="805" t="s">
        <v>2962</v>
      </c>
      <c r="D23" s="806"/>
      <c r="E23" s="3217">
        <v>0.9</v>
      </c>
      <c r="F23" s="3216" t="s">
        <v>2963</v>
      </c>
      <c r="G23" s="807"/>
      <c r="H23" s="801"/>
      <c r="I23" s="801"/>
    </row>
    <row r="24" spans="1:13" s="808" customFormat="1" ht="19.5" customHeight="1">
      <c r="A24" s="3554"/>
      <c r="B24" s="3547"/>
      <c r="C24" s="805" t="s">
        <v>2964</v>
      </c>
      <c r="D24" s="806"/>
      <c r="E24" s="3217">
        <v>0.8</v>
      </c>
      <c r="F24" s="3216" t="s">
        <v>2965</v>
      </c>
      <c r="G24" s="807"/>
      <c r="H24" s="801"/>
      <c r="I24" s="801"/>
    </row>
    <row r="25" spans="1:13" s="808" customFormat="1" ht="19.5" customHeight="1" thickBot="1">
      <c r="A25" s="3555"/>
      <c r="B25" s="3548"/>
      <c r="C25" s="3218" t="s">
        <v>2966</v>
      </c>
      <c r="D25" s="3219"/>
      <c r="E25" s="3220">
        <v>0.8</v>
      </c>
      <c r="F25" s="3216" t="s">
        <v>2967</v>
      </c>
      <c r="G25" s="807"/>
      <c r="H25" s="801"/>
      <c r="I25" s="801"/>
    </row>
    <row r="26" spans="1:13" s="808" customFormat="1" ht="19.5" customHeight="1" thickBot="1">
      <c r="A26" s="3221" t="s">
        <v>2968</v>
      </c>
      <c r="B26" s="3222" t="s">
        <v>2955</v>
      </c>
      <c r="C26" s="3223" t="s">
        <v>2969</v>
      </c>
      <c r="D26" s="3224"/>
      <c r="E26" s="3225">
        <v>1</v>
      </c>
      <c r="F26" s="3216" t="s">
        <v>2970</v>
      </c>
      <c r="G26" s="807"/>
      <c r="H26" s="801"/>
      <c r="I26" s="801"/>
    </row>
    <row r="27" spans="1:13" s="808" customFormat="1" ht="19.5" customHeight="1">
      <c r="A27" s="3549" t="s">
        <v>2971</v>
      </c>
      <c r="B27" s="3546" t="s">
        <v>2971</v>
      </c>
      <c r="C27" s="3213" t="s">
        <v>2972</v>
      </c>
      <c r="D27" s="3214"/>
      <c r="E27" s="3215">
        <v>1</v>
      </c>
      <c r="F27" s="3216" t="s">
        <v>2973</v>
      </c>
      <c r="G27" s="807"/>
      <c r="H27" s="801"/>
      <c r="I27" s="801"/>
    </row>
    <row r="28" spans="1:13" s="808" customFormat="1" ht="19.5" customHeight="1">
      <c r="A28" s="3550"/>
      <c r="B28" s="3547"/>
      <c r="C28" s="805" t="s">
        <v>2974</v>
      </c>
      <c r="D28" s="806"/>
      <c r="E28" s="3217">
        <v>1</v>
      </c>
      <c r="F28" s="3216" t="s">
        <v>2975</v>
      </c>
      <c r="G28" s="807"/>
      <c r="H28" s="801"/>
      <c r="I28" s="801"/>
    </row>
    <row r="29" spans="1:13" s="808" customFormat="1" ht="19.5" customHeight="1">
      <c r="A29" s="3550"/>
      <c r="B29" s="3547"/>
      <c r="C29" s="805" t="s">
        <v>2976</v>
      </c>
      <c r="D29" s="806"/>
      <c r="E29" s="3217">
        <v>0.8</v>
      </c>
      <c r="F29" s="3216" t="s">
        <v>2977</v>
      </c>
      <c r="G29" s="807"/>
      <c r="H29" s="801"/>
      <c r="I29" s="801"/>
    </row>
    <row r="30" spans="1:13" s="808" customFormat="1" ht="19.5" customHeight="1">
      <c r="A30" s="3550"/>
      <c r="B30" s="3547"/>
      <c r="C30" s="805" t="s">
        <v>2978</v>
      </c>
      <c r="D30" s="806"/>
      <c r="E30" s="3217">
        <v>0.8</v>
      </c>
      <c r="F30" s="3216" t="s">
        <v>2979</v>
      </c>
      <c r="G30" s="807"/>
      <c r="H30" s="801"/>
      <c r="I30" s="801"/>
    </row>
    <row r="31" spans="1:13" s="808" customFormat="1" ht="19.5" customHeight="1">
      <c r="A31" s="3550"/>
      <c r="B31" s="3547"/>
      <c r="C31" s="805" t="s">
        <v>2980</v>
      </c>
      <c r="D31" s="806"/>
      <c r="E31" s="3217">
        <v>0.8</v>
      </c>
      <c r="F31" s="3216" t="s">
        <v>2981</v>
      </c>
      <c r="G31" s="807"/>
      <c r="H31" s="801"/>
      <c r="I31" s="801"/>
    </row>
    <row r="32" spans="1:13" s="808" customFormat="1" ht="19.5" customHeight="1">
      <c r="A32" s="3550"/>
      <c r="B32" s="3547"/>
      <c r="C32" s="805" t="s">
        <v>2982</v>
      </c>
      <c r="D32" s="806"/>
      <c r="E32" s="3217">
        <v>0.7</v>
      </c>
      <c r="F32" s="3216" t="s">
        <v>2983</v>
      </c>
      <c r="G32" s="807"/>
      <c r="H32" s="801"/>
      <c r="I32" s="801"/>
    </row>
    <row r="33" spans="1:9" s="808" customFormat="1" ht="19.5" customHeight="1">
      <c r="A33" s="3550"/>
      <c r="B33" s="3547"/>
      <c r="C33" s="805" t="s">
        <v>2984</v>
      </c>
      <c r="D33" s="806"/>
      <c r="E33" s="3217">
        <v>0.8</v>
      </c>
      <c r="F33" s="3216" t="s">
        <v>2985</v>
      </c>
      <c r="G33" s="807"/>
      <c r="H33" s="801"/>
      <c r="I33" s="801"/>
    </row>
    <row r="34" spans="1:9" s="808" customFormat="1" ht="19.5" customHeight="1">
      <c r="A34" s="3550"/>
      <c r="B34" s="3547"/>
      <c r="C34" s="805" t="s">
        <v>2986</v>
      </c>
      <c r="D34" s="806"/>
      <c r="E34" s="3217">
        <v>0.6</v>
      </c>
      <c r="F34" s="3216" t="s">
        <v>2987</v>
      </c>
      <c r="G34" s="807"/>
      <c r="H34" s="801"/>
      <c r="I34" s="801"/>
    </row>
    <row r="35" spans="1:9" s="808" customFormat="1" ht="19.5" customHeight="1">
      <c r="A35" s="3550"/>
      <c r="B35" s="3547"/>
      <c r="C35" s="805" t="s">
        <v>2988</v>
      </c>
      <c r="D35" s="806"/>
      <c r="E35" s="3217">
        <v>0.2</v>
      </c>
      <c r="F35" s="3216" t="s">
        <v>2989</v>
      </c>
      <c r="G35" s="807"/>
      <c r="H35" s="801"/>
      <c r="I35" s="801"/>
    </row>
    <row r="36" spans="1:9" s="808" customFormat="1" ht="19.5" customHeight="1">
      <c r="A36" s="3550"/>
      <c r="B36" s="3547"/>
      <c r="C36" s="805" t="s">
        <v>2990</v>
      </c>
      <c r="D36" s="806"/>
      <c r="E36" s="3217">
        <v>0.2</v>
      </c>
      <c r="F36" s="3216" t="s">
        <v>2991</v>
      </c>
      <c r="G36" s="807"/>
      <c r="H36" s="801"/>
      <c r="I36" s="801"/>
    </row>
    <row r="37" spans="1:9" s="808" customFormat="1" ht="19.5" customHeight="1">
      <c r="A37" s="3550"/>
      <c r="B37" s="3552" t="s">
        <v>2992</v>
      </c>
      <c r="C37" s="805" t="s">
        <v>2993</v>
      </c>
      <c r="D37" s="806"/>
      <c r="E37" s="3217">
        <v>0.6</v>
      </c>
      <c r="F37" s="3216" t="s">
        <v>2994</v>
      </c>
      <c r="G37" s="807"/>
      <c r="H37" s="801"/>
      <c r="I37" s="801"/>
    </row>
    <row r="38" spans="1:9" s="808" customFormat="1" ht="19.5" customHeight="1">
      <c r="A38" s="3550"/>
      <c r="B38" s="3547"/>
      <c r="C38" s="805" t="s">
        <v>2995</v>
      </c>
      <c r="D38" s="806"/>
      <c r="E38" s="3217">
        <v>0.6</v>
      </c>
      <c r="F38" s="3216" t="s">
        <v>2996</v>
      </c>
      <c r="G38" s="807"/>
      <c r="H38" s="801"/>
      <c r="I38" s="801"/>
    </row>
    <row r="39" spans="1:9" s="808" customFormat="1" ht="19.5" customHeight="1" thickBot="1">
      <c r="A39" s="3551"/>
      <c r="B39" s="3548"/>
      <c r="C39" s="3218" t="s">
        <v>2997</v>
      </c>
      <c r="D39" s="3219"/>
      <c r="E39" s="3220">
        <v>0.6</v>
      </c>
      <c r="F39" s="3216" t="s">
        <v>2998</v>
      </c>
      <c r="G39" s="807"/>
      <c r="H39" s="801"/>
      <c r="I39" s="801"/>
    </row>
    <row r="40" spans="1:9" s="808" customFormat="1" ht="19.5" customHeight="1" thickBot="1">
      <c r="A40" s="3221" t="s">
        <v>2999</v>
      </c>
      <c r="B40" s="3222" t="s">
        <v>2999</v>
      </c>
      <c r="C40" s="3223" t="s">
        <v>3000</v>
      </c>
      <c r="D40" s="3224"/>
      <c r="E40" s="3225">
        <v>1</v>
      </c>
      <c r="F40" s="3216" t="s">
        <v>3001</v>
      </c>
      <c r="G40" s="807"/>
      <c r="H40" s="801"/>
      <c r="I40" s="801"/>
    </row>
    <row r="41" spans="1:9" s="808" customFormat="1" ht="19.5" customHeight="1">
      <c r="A41" s="3553" t="s">
        <v>3002</v>
      </c>
      <c r="B41" s="3546" t="s">
        <v>3003</v>
      </c>
      <c r="C41" s="3213" t="s">
        <v>3004</v>
      </c>
      <c r="D41" s="3214"/>
      <c r="E41" s="3215">
        <v>1</v>
      </c>
      <c r="F41" s="3216" t="s">
        <v>3005</v>
      </c>
      <c r="G41" s="807"/>
      <c r="H41" s="801"/>
      <c r="I41" s="801"/>
    </row>
    <row r="42" spans="1:9" s="808" customFormat="1" ht="19.5" customHeight="1">
      <c r="A42" s="3554"/>
      <c r="B42" s="3547"/>
      <c r="C42" s="805" t="s">
        <v>3006</v>
      </c>
      <c r="D42" s="806"/>
      <c r="E42" s="3217">
        <v>1</v>
      </c>
      <c r="F42" s="3216" t="s">
        <v>3007</v>
      </c>
      <c r="G42" s="807"/>
      <c r="H42" s="801"/>
      <c r="I42" s="801"/>
    </row>
    <row r="43" spans="1:9" s="808" customFormat="1" ht="19.5" customHeight="1">
      <c r="A43" s="3554"/>
      <c r="B43" s="3556"/>
      <c r="C43" s="805" t="s">
        <v>3008</v>
      </c>
      <c r="D43" s="806"/>
      <c r="E43" s="3217">
        <v>1.5</v>
      </c>
      <c r="F43" s="3216" t="s">
        <v>3009</v>
      </c>
      <c r="G43" s="807"/>
      <c r="H43" s="801"/>
      <c r="I43" s="801"/>
    </row>
    <row r="44" spans="1:9" s="808" customFormat="1" ht="19.5" customHeight="1">
      <c r="A44" s="3554"/>
      <c r="B44" s="3226" t="s">
        <v>2971</v>
      </c>
      <c r="C44" s="805" t="s">
        <v>3010</v>
      </c>
      <c r="D44" s="806"/>
      <c r="E44" s="3217">
        <v>2</v>
      </c>
      <c r="F44" s="3216" t="s">
        <v>3011</v>
      </c>
      <c r="G44" s="807"/>
      <c r="H44" s="801"/>
      <c r="I44" s="801"/>
    </row>
    <row r="45" spans="1:9" s="808" customFormat="1" ht="19.5" customHeight="1">
      <c r="A45" s="3554"/>
      <c r="B45" s="3552" t="s">
        <v>3012</v>
      </c>
      <c r="C45" s="805" t="s">
        <v>3013</v>
      </c>
      <c r="D45" s="806"/>
      <c r="E45" s="3217">
        <v>1</v>
      </c>
      <c r="F45" s="3216" t="s">
        <v>3014</v>
      </c>
      <c r="G45" s="807"/>
      <c r="H45" s="801"/>
      <c r="I45" s="801"/>
    </row>
    <row r="46" spans="1:9" s="808" customFormat="1" ht="19.5" customHeight="1">
      <c r="A46" s="3554"/>
      <c r="B46" s="3547"/>
      <c r="C46" s="805" t="s">
        <v>3015</v>
      </c>
      <c r="D46" s="806"/>
      <c r="E46" s="3217">
        <v>1</v>
      </c>
      <c r="F46" s="3216" t="s">
        <v>3016</v>
      </c>
      <c r="G46" s="807"/>
      <c r="H46" s="801"/>
      <c r="I46" s="801"/>
    </row>
    <row r="47" spans="1:9" s="808" customFormat="1" ht="19.5" customHeight="1">
      <c r="A47" s="3554"/>
      <c r="B47" s="3547"/>
      <c r="C47" s="805" t="s">
        <v>3017</v>
      </c>
      <c r="D47" s="806"/>
      <c r="E47" s="3217">
        <v>1</v>
      </c>
      <c r="F47" s="3216" t="s">
        <v>3018</v>
      </c>
      <c r="G47" s="807"/>
      <c r="H47" s="801"/>
      <c r="I47" s="801"/>
    </row>
    <row r="48" spans="1:9" s="808" customFormat="1" ht="19.5" customHeight="1">
      <c r="A48" s="3554"/>
      <c r="B48" s="3547"/>
      <c r="C48" s="805" t="s">
        <v>3019</v>
      </c>
      <c r="D48" s="806"/>
      <c r="E48" s="3217">
        <v>1</v>
      </c>
      <c r="F48" s="3216" t="s">
        <v>3020</v>
      </c>
      <c r="G48" s="807"/>
      <c r="H48" s="801"/>
      <c r="I48" s="801"/>
    </row>
    <row r="49" spans="1:9" s="808" customFormat="1" ht="19.5" customHeight="1">
      <c r="A49" s="3554"/>
      <c r="B49" s="3547"/>
      <c r="C49" s="805" t="s">
        <v>3021</v>
      </c>
      <c r="D49" s="806"/>
      <c r="E49" s="3217">
        <v>1</v>
      </c>
      <c r="F49" s="3216" t="s">
        <v>3022</v>
      </c>
      <c r="G49" s="807"/>
      <c r="H49" s="801"/>
      <c r="I49" s="801"/>
    </row>
    <row r="50" spans="1:9" s="808" customFormat="1" ht="19.5" customHeight="1">
      <c r="A50" s="3554"/>
      <c r="B50" s="3547"/>
      <c r="C50" s="805" t="s">
        <v>3023</v>
      </c>
      <c r="D50" s="806"/>
      <c r="E50" s="3217">
        <v>1</v>
      </c>
      <c r="F50" s="3216" t="s">
        <v>3024</v>
      </c>
      <c r="G50" s="807"/>
      <c r="H50" s="801"/>
      <c r="I50" s="801"/>
    </row>
    <row r="51" spans="1:9" s="808" customFormat="1" ht="19.5" customHeight="1" thickBot="1">
      <c r="A51" s="3555"/>
      <c r="B51" s="3548"/>
      <c r="C51" s="3218" t="s">
        <v>3025</v>
      </c>
      <c r="D51" s="3219"/>
      <c r="E51" s="3220">
        <v>1</v>
      </c>
      <c r="F51" s="3216" t="s">
        <v>3026</v>
      </c>
      <c r="G51" s="807"/>
      <c r="H51" s="801"/>
      <c r="I51" s="801"/>
    </row>
    <row r="52" spans="1:9" s="808" customFormat="1" ht="19.5" customHeight="1">
      <c r="A52" s="809"/>
      <c r="B52" s="809"/>
      <c r="C52" s="809"/>
      <c r="D52" s="809"/>
      <c r="E52" s="809"/>
      <c r="F52" s="810"/>
      <c r="G52" s="810"/>
      <c r="H52" s="801"/>
      <c r="I52" s="801"/>
    </row>
    <row r="54" spans="1:9" ht="19.5" customHeight="1">
      <c r="A54" s="811"/>
      <c r="B54" s="757" t="s">
        <v>556</v>
      </c>
      <c r="C54" s="757" t="s">
        <v>556</v>
      </c>
      <c r="D54" s="757" t="s">
        <v>556</v>
      </c>
      <c r="E54" s="762" t="s">
        <v>556</v>
      </c>
      <c r="F54" s="762" t="s">
        <v>557</v>
      </c>
      <c r="G54" s="762" t="s">
        <v>556</v>
      </c>
      <c r="I54" s="755"/>
    </row>
    <row r="55" spans="1:9" ht="19.5" customHeight="1">
      <c r="A55" s="812"/>
      <c r="B55" s="762" t="s">
        <v>183</v>
      </c>
      <c r="C55" s="762" t="s">
        <v>183</v>
      </c>
      <c r="D55" s="762" t="s">
        <v>183</v>
      </c>
      <c r="E55" s="757" t="s">
        <v>184</v>
      </c>
      <c r="F55" s="757" t="s">
        <v>185</v>
      </c>
      <c r="G55" s="757" t="s">
        <v>558</v>
      </c>
      <c r="I55" s="755"/>
    </row>
    <row r="56" spans="1:9" ht="19.5" customHeight="1">
      <c r="A56" s="813"/>
      <c r="B56" s="757">
        <v>1</v>
      </c>
      <c r="C56" s="757">
        <v>2</v>
      </c>
      <c r="D56" s="757">
        <v>3</v>
      </c>
      <c r="E56" s="802" t="s">
        <v>559</v>
      </c>
      <c r="F56" s="802" t="s">
        <v>559</v>
      </c>
      <c r="G56" s="802" t="s">
        <v>559</v>
      </c>
      <c r="I56" s="755"/>
    </row>
    <row r="57" spans="1:9" ht="19.5" customHeight="1">
      <c r="A57" s="814" t="s">
        <v>157</v>
      </c>
      <c r="B57" s="3206">
        <v>0.7</v>
      </c>
      <c r="C57" s="3206">
        <v>0.4</v>
      </c>
      <c r="D57" s="3206">
        <v>0.3</v>
      </c>
      <c r="E57" s="3212">
        <v>0.3</v>
      </c>
      <c r="F57" s="3206">
        <v>0.3</v>
      </c>
      <c r="G57" s="3206">
        <v>0.2</v>
      </c>
      <c r="I57" s="755"/>
    </row>
    <row r="58" spans="1:9" ht="19.5" customHeight="1">
      <c r="A58" s="814" t="s">
        <v>158</v>
      </c>
      <c r="B58" s="3206">
        <v>0.7</v>
      </c>
      <c r="C58" s="3206">
        <v>0.4</v>
      </c>
      <c r="D58" s="3206">
        <v>0.3</v>
      </c>
      <c r="E58" s="3206">
        <v>0.3</v>
      </c>
      <c r="F58" s="3206">
        <v>0.3</v>
      </c>
      <c r="G58" s="3206">
        <v>0.2</v>
      </c>
      <c r="I58" s="755"/>
    </row>
    <row r="59" spans="1:9" ht="19.5" customHeight="1">
      <c r="A59" s="814" t="s">
        <v>159</v>
      </c>
      <c r="B59" s="3206">
        <v>0.6</v>
      </c>
      <c r="C59" s="3206">
        <v>0.3</v>
      </c>
      <c r="D59" s="3206">
        <v>0.25</v>
      </c>
      <c r="E59" s="3206">
        <v>0.25</v>
      </c>
      <c r="F59" s="3206">
        <v>0.25</v>
      </c>
      <c r="G59" s="3206">
        <v>0.15</v>
      </c>
      <c r="I59" s="755"/>
    </row>
    <row r="60" spans="1:9" ht="19.5" customHeight="1">
      <c r="A60" s="814" t="s">
        <v>160</v>
      </c>
      <c r="B60" s="3206">
        <v>0.6</v>
      </c>
      <c r="C60" s="3206">
        <v>0.3</v>
      </c>
      <c r="D60" s="3206">
        <v>0.25</v>
      </c>
      <c r="E60" s="3206">
        <v>0.25</v>
      </c>
      <c r="F60" s="3206">
        <v>0.25</v>
      </c>
      <c r="G60" s="3206">
        <v>0.15</v>
      </c>
      <c r="I60" s="755"/>
    </row>
    <row r="61" spans="1:9" s="801" customFormat="1" ht="19.5" customHeight="1">
      <c r="A61" s="814" t="s">
        <v>161</v>
      </c>
      <c r="B61" s="3206">
        <v>0.6</v>
      </c>
      <c r="C61" s="3206">
        <v>0.3</v>
      </c>
      <c r="D61" s="3206">
        <v>0.25</v>
      </c>
      <c r="E61" s="3206">
        <v>0.25</v>
      </c>
      <c r="F61" s="3206">
        <v>0.25</v>
      </c>
      <c r="G61" s="3206">
        <v>0.15</v>
      </c>
    </row>
    <row r="62" spans="1:9" s="801" customFormat="1" ht="19.5" customHeight="1">
      <c r="A62" s="814" t="s">
        <v>162</v>
      </c>
      <c r="B62" s="3206">
        <v>0.6</v>
      </c>
      <c r="C62" s="3206">
        <v>0.3</v>
      </c>
      <c r="D62" s="3206">
        <v>0.25</v>
      </c>
      <c r="E62" s="3206">
        <v>0.25</v>
      </c>
      <c r="F62" s="3206">
        <v>0.25</v>
      </c>
      <c r="G62" s="3206">
        <v>0.15</v>
      </c>
    </row>
    <row r="63" spans="1:9" s="801" customFormat="1" ht="19.5" customHeight="1">
      <c r="A63" s="814" t="s">
        <v>163</v>
      </c>
      <c r="B63" s="3206">
        <v>0.6</v>
      </c>
      <c r="C63" s="3206">
        <v>0.3</v>
      </c>
      <c r="D63" s="3206">
        <v>0.25</v>
      </c>
      <c r="E63" s="3206">
        <v>0.25</v>
      </c>
      <c r="F63" s="3206">
        <v>0.25</v>
      </c>
      <c r="G63" s="3206">
        <v>0.15</v>
      </c>
    </row>
    <row r="64" spans="1:9" s="801" customFormat="1" ht="19.5" customHeight="1">
      <c r="A64" s="814" t="s">
        <v>164</v>
      </c>
      <c r="B64" s="3206">
        <v>0.5</v>
      </c>
      <c r="C64" s="3206">
        <v>0.2</v>
      </c>
      <c r="D64" s="3206">
        <v>0.2</v>
      </c>
      <c r="E64" s="3206">
        <v>0.2</v>
      </c>
      <c r="F64" s="3206">
        <v>0.2</v>
      </c>
      <c r="G64" s="3206">
        <v>0.1</v>
      </c>
    </row>
    <row r="65" spans="1:7" s="801" customFormat="1" ht="19.5" customHeight="1">
      <c r="A65" s="814" t="s">
        <v>165</v>
      </c>
      <c r="B65" s="3206">
        <v>0.5</v>
      </c>
      <c r="C65" s="3206">
        <v>0.2</v>
      </c>
      <c r="D65" s="3206">
        <v>0.2</v>
      </c>
      <c r="E65" s="3206">
        <v>0.2</v>
      </c>
      <c r="F65" s="3206">
        <v>0.2</v>
      </c>
      <c r="G65" s="3206">
        <v>0.1</v>
      </c>
    </row>
    <row r="66" spans="1:7" s="801" customFormat="1" ht="19.5" customHeight="1">
      <c r="A66" s="814" t="s">
        <v>166</v>
      </c>
      <c r="B66" s="3206">
        <v>0.5</v>
      </c>
      <c r="C66" s="3206">
        <v>0.2</v>
      </c>
      <c r="D66" s="3206">
        <v>0.2</v>
      </c>
      <c r="E66" s="3206">
        <v>0.2</v>
      </c>
      <c r="F66" s="3206">
        <v>0.2</v>
      </c>
      <c r="G66" s="3206">
        <v>0.1</v>
      </c>
    </row>
    <row r="67" spans="1:7" s="801" customFormat="1" ht="19.5" customHeight="1">
      <c r="A67" s="814" t="s">
        <v>167</v>
      </c>
      <c r="B67" s="3206">
        <v>0.5</v>
      </c>
      <c r="C67" s="3206">
        <v>0.2</v>
      </c>
      <c r="D67" s="3206">
        <v>0.2</v>
      </c>
      <c r="E67" s="3206">
        <v>0.2</v>
      </c>
      <c r="F67" s="3206">
        <v>0.2</v>
      </c>
      <c r="G67" s="3206">
        <v>0.1</v>
      </c>
    </row>
    <row r="68" spans="1:7" s="801" customFormat="1" ht="19.5" customHeight="1">
      <c r="A68" s="814" t="s">
        <v>168</v>
      </c>
      <c r="B68" s="3206">
        <v>0.5</v>
      </c>
      <c r="C68" s="3206">
        <v>0.2</v>
      </c>
      <c r="D68" s="3206">
        <v>0.2</v>
      </c>
      <c r="E68" s="3206">
        <v>0.2</v>
      </c>
      <c r="F68" s="3206">
        <v>0.2</v>
      </c>
      <c r="G68" s="3206">
        <v>0.1</v>
      </c>
    </row>
    <row r="70" spans="1:7" s="801" customFormat="1" ht="19.5" customHeight="1">
      <c r="A70" s="815"/>
      <c r="B70" s="799"/>
      <c r="C70" s="799"/>
      <c r="D70" s="799" t="s">
        <v>560</v>
      </c>
      <c r="E70" s="799"/>
      <c r="F70" s="799"/>
    </row>
    <row r="71" spans="1:7" s="801" customFormat="1" ht="19.5" customHeight="1">
      <c r="A71" s="804" t="s">
        <v>561</v>
      </c>
      <c r="B71" s="804" t="s">
        <v>562</v>
      </c>
      <c r="C71" s="804" t="s">
        <v>563</v>
      </c>
      <c r="D71" s="804" t="s">
        <v>564</v>
      </c>
      <c r="E71" s="804" t="s">
        <v>565</v>
      </c>
      <c r="F71" s="804" t="s">
        <v>566</v>
      </c>
    </row>
    <row r="72" spans="1:7" ht="13.5">
      <c r="A72" s="859"/>
      <c r="B72" s="859"/>
      <c r="C72" s="859" t="s">
        <v>3027</v>
      </c>
      <c r="D72" s="859"/>
      <c r="E72" s="816" t="s">
        <v>1</v>
      </c>
      <c r="F72" s="859" t="s">
        <v>1</v>
      </c>
    </row>
    <row r="73" spans="1:7" s="801" customFormat="1" ht="13.5">
      <c r="A73" s="3226">
        <v>1</v>
      </c>
      <c r="B73" s="3552" t="s">
        <v>3028</v>
      </c>
      <c r="C73" s="3206" t="s">
        <v>3029</v>
      </c>
      <c r="D73" s="3206" t="s">
        <v>3030</v>
      </c>
      <c r="E73" s="3227">
        <v>0.2</v>
      </c>
      <c r="F73" s="3226">
        <v>25</v>
      </c>
    </row>
    <row r="74" spans="1:7" s="801" customFormat="1" ht="24">
      <c r="A74" s="3226">
        <v>2</v>
      </c>
      <c r="B74" s="3547"/>
      <c r="C74" s="3206" t="s">
        <v>3031</v>
      </c>
      <c r="D74" s="3206" t="s">
        <v>3032</v>
      </c>
      <c r="E74" s="3227">
        <v>0.2</v>
      </c>
      <c r="F74" s="3226">
        <v>25</v>
      </c>
    </row>
    <row r="75" spans="1:7" s="801" customFormat="1" ht="24">
      <c r="A75" s="3226">
        <v>3</v>
      </c>
      <c r="B75" s="3547"/>
      <c r="C75" s="3206" t="s">
        <v>3033</v>
      </c>
      <c r="D75" s="3206" t="s">
        <v>3034</v>
      </c>
      <c r="E75" s="3227">
        <v>0.2</v>
      </c>
      <c r="F75" s="3226">
        <v>25</v>
      </c>
    </row>
    <row r="76" spans="1:7" s="801" customFormat="1" ht="13.5">
      <c r="A76" s="3226">
        <v>4</v>
      </c>
      <c r="B76" s="3547"/>
      <c r="C76" s="3206" t="s">
        <v>3035</v>
      </c>
      <c r="D76" s="3206" t="s">
        <v>3036</v>
      </c>
      <c r="E76" s="3227">
        <v>0.15</v>
      </c>
      <c r="F76" s="3226">
        <v>20</v>
      </c>
    </row>
    <row r="77" spans="1:7" s="801" customFormat="1" ht="24">
      <c r="A77" s="3226">
        <v>5</v>
      </c>
      <c r="B77" s="3547"/>
      <c r="C77" s="3206" t="s">
        <v>3037</v>
      </c>
      <c r="D77" s="3206" t="s">
        <v>3038</v>
      </c>
      <c r="E77" s="3227">
        <v>0.15</v>
      </c>
      <c r="F77" s="3226">
        <v>20</v>
      </c>
    </row>
    <row r="78" spans="1:7" s="801" customFormat="1" ht="24">
      <c r="A78" s="3226">
        <v>6</v>
      </c>
      <c r="B78" s="3547"/>
      <c r="C78" s="3206" t="s">
        <v>3039</v>
      </c>
      <c r="D78" s="3206" t="s">
        <v>3040</v>
      </c>
      <c r="E78" s="3227">
        <v>0.15</v>
      </c>
      <c r="F78" s="3226">
        <v>20</v>
      </c>
    </row>
    <row r="79" spans="1:7" s="801" customFormat="1" ht="24">
      <c r="A79" s="3226">
        <v>7</v>
      </c>
      <c r="B79" s="3547"/>
      <c r="C79" s="3206" t="s">
        <v>3041</v>
      </c>
      <c r="D79" s="3206" t="s">
        <v>3042</v>
      </c>
      <c r="E79" s="3227">
        <v>0.15</v>
      </c>
      <c r="F79" s="3226">
        <v>20</v>
      </c>
    </row>
    <row r="80" spans="1:7" s="801" customFormat="1" ht="24">
      <c r="A80" s="3226">
        <v>8</v>
      </c>
      <c r="B80" s="3547"/>
      <c r="C80" s="3206" t="s">
        <v>3043</v>
      </c>
      <c r="D80" s="3206" t="s">
        <v>3044</v>
      </c>
      <c r="E80" s="3227">
        <v>0.1</v>
      </c>
      <c r="F80" s="3226">
        <v>15</v>
      </c>
    </row>
    <row r="81" spans="1:6" s="801" customFormat="1" ht="24">
      <c r="A81" s="3226">
        <v>9</v>
      </c>
      <c r="B81" s="3547"/>
      <c r="C81" s="3206" t="s">
        <v>3045</v>
      </c>
      <c r="D81" s="3206" t="s">
        <v>3046</v>
      </c>
      <c r="E81" s="3227">
        <v>0.1</v>
      </c>
      <c r="F81" s="3226">
        <v>15</v>
      </c>
    </row>
    <row r="82" spans="1:6" s="801" customFormat="1" ht="24">
      <c r="A82" s="3226">
        <v>10</v>
      </c>
      <c r="B82" s="3547"/>
      <c r="C82" s="3206" t="s">
        <v>3047</v>
      </c>
      <c r="D82" s="3206" t="s">
        <v>3048</v>
      </c>
      <c r="E82" s="3227">
        <v>0.1</v>
      </c>
      <c r="F82" s="3226">
        <v>15</v>
      </c>
    </row>
    <row r="83" spans="1:6" s="801" customFormat="1" ht="24">
      <c r="A83" s="3226">
        <v>11</v>
      </c>
      <c r="B83" s="3547"/>
      <c r="C83" s="3206" t="s">
        <v>3049</v>
      </c>
      <c r="D83" s="3206" t="s">
        <v>3050</v>
      </c>
      <c r="E83" s="3227">
        <v>0.1</v>
      </c>
      <c r="F83" s="3226">
        <v>15</v>
      </c>
    </row>
    <row r="84" spans="1:6" s="801" customFormat="1" ht="24">
      <c r="A84" s="3226">
        <v>12</v>
      </c>
      <c r="B84" s="3547"/>
      <c r="C84" s="3206" t="s">
        <v>3051</v>
      </c>
      <c r="D84" s="3206" t="s">
        <v>3052</v>
      </c>
      <c r="E84" s="3227">
        <v>0.1</v>
      </c>
      <c r="F84" s="3226">
        <v>15</v>
      </c>
    </row>
    <row r="85" spans="1:6" s="801" customFormat="1" ht="13.5">
      <c r="A85" s="3226">
        <v>13</v>
      </c>
      <c r="B85" s="3547"/>
      <c r="C85" s="3206" t="s">
        <v>3053</v>
      </c>
      <c r="D85" s="3206" t="s">
        <v>3054</v>
      </c>
      <c r="E85" s="3227">
        <v>0.1</v>
      </c>
      <c r="F85" s="3226">
        <v>15</v>
      </c>
    </row>
    <row r="86" spans="1:6" s="801" customFormat="1" ht="13.5">
      <c r="A86" s="3226">
        <v>14</v>
      </c>
      <c r="B86" s="3547"/>
      <c r="C86" s="3206" t="s">
        <v>3055</v>
      </c>
      <c r="D86" s="3206" t="s">
        <v>3056</v>
      </c>
      <c r="E86" s="3227">
        <v>0.1</v>
      </c>
      <c r="F86" s="3226">
        <v>15</v>
      </c>
    </row>
    <row r="87" spans="1:6" s="801" customFormat="1" ht="13.5">
      <c r="A87" s="3226">
        <v>15</v>
      </c>
      <c r="B87" s="3547"/>
      <c r="C87" s="3206" t="s">
        <v>3057</v>
      </c>
      <c r="D87" s="3206" t="s">
        <v>3058</v>
      </c>
      <c r="E87" s="3227">
        <v>0.1</v>
      </c>
      <c r="F87" s="3226">
        <v>15</v>
      </c>
    </row>
    <row r="88" spans="1:6" s="801" customFormat="1" ht="24">
      <c r="A88" s="3226">
        <v>16</v>
      </c>
      <c r="B88" s="3547"/>
      <c r="C88" s="3206" t="s">
        <v>3059</v>
      </c>
      <c r="D88" s="3206" t="s">
        <v>3060</v>
      </c>
      <c r="E88" s="3227">
        <v>0.1</v>
      </c>
      <c r="F88" s="3226">
        <v>15</v>
      </c>
    </row>
    <row r="89" spans="1:6" s="801" customFormat="1" ht="24">
      <c r="A89" s="3226">
        <v>17</v>
      </c>
      <c r="B89" s="3556"/>
      <c r="C89" s="3206" t="s">
        <v>3061</v>
      </c>
      <c r="D89" s="3206" t="s">
        <v>3062</v>
      </c>
      <c r="E89" s="3227">
        <v>0.1</v>
      </c>
      <c r="F89" s="3226">
        <v>15</v>
      </c>
    </row>
    <row r="90" spans="1:6" s="801" customFormat="1" ht="13.5">
      <c r="A90" s="3226">
        <v>18</v>
      </c>
      <c r="B90" s="3552" t="s">
        <v>3063</v>
      </c>
      <c r="C90" s="3206" t="s">
        <v>3064</v>
      </c>
      <c r="D90" s="3206" t="s">
        <v>3065</v>
      </c>
      <c r="E90" s="3227">
        <v>0.2</v>
      </c>
      <c r="F90" s="3226">
        <v>25</v>
      </c>
    </row>
    <row r="91" spans="1:6" s="801" customFormat="1" ht="24">
      <c r="A91" s="3226">
        <v>19</v>
      </c>
      <c r="B91" s="3547"/>
      <c r="C91" s="3206" t="s">
        <v>3066</v>
      </c>
      <c r="D91" s="3206" t="s">
        <v>3067</v>
      </c>
      <c r="E91" s="3227">
        <v>0.2</v>
      </c>
      <c r="F91" s="3226">
        <v>25</v>
      </c>
    </row>
    <row r="92" spans="1:6" s="801" customFormat="1" ht="13.5">
      <c r="A92" s="3226">
        <v>20</v>
      </c>
      <c r="B92" s="3547"/>
      <c r="C92" s="3206" t="s">
        <v>3068</v>
      </c>
      <c r="D92" s="3206" t="s">
        <v>3069</v>
      </c>
      <c r="E92" s="3227">
        <v>0.15</v>
      </c>
      <c r="F92" s="3226">
        <v>20</v>
      </c>
    </row>
    <row r="93" spans="1:6" s="801" customFormat="1" ht="24">
      <c r="A93" s="3226">
        <v>21</v>
      </c>
      <c r="B93" s="3547"/>
      <c r="C93" s="3206" t="s">
        <v>3070</v>
      </c>
      <c r="D93" s="3206" t="s">
        <v>3071</v>
      </c>
      <c r="E93" s="3227">
        <v>0.15</v>
      </c>
      <c r="F93" s="3226">
        <v>20</v>
      </c>
    </row>
    <row r="94" spans="1:6" s="801" customFormat="1" ht="24">
      <c r="A94" s="3226">
        <v>22</v>
      </c>
      <c r="B94" s="3547"/>
      <c r="C94" s="3206" t="s">
        <v>3072</v>
      </c>
      <c r="D94" s="3206" t="s">
        <v>3073</v>
      </c>
      <c r="E94" s="3227">
        <v>0.15</v>
      </c>
      <c r="F94" s="3226">
        <v>20</v>
      </c>
    </row>
    <row r="95" spans="1:6" s="801" customFormat="1" ht="36">
      <c r="A95" s="3226">
        <v>23</v>
      </c>
      <c r="B95" s="3547"/>
      <c r="C95" s="3206" t="s">
        <v>3074</v>
      </c>
      <c r="D95" s="3206" t="s">
        <v>3075</v>
      </c>
      <c r="E95" s="3227">
        <v>0.15</v>
      </c>
      <c r="F95" s="3226">
        <v>20</v>
      </c>
    </row>
    <row r="96" spans="1:6" s="801" customFormat="1" ht="13.5">
      <c r="A96" s="3226">
        <v>24</v>
      </c>
      <c r="B96" s="3547"/>
      <c r="C96" s="3206" t="s">
        <v>3076</v>
      </c>
      <c r="D96" s="3206" t="s">
        <v>3077</v>
      </c>
      <c r="E96" s="3227">
        <v>0.1</v>
      </c>
      <c r="F96" s="3226">
        <v>15</v>
      </c>
    </row>
    <row r="97" spans="1:6" s="801" customFormat="1" ht="24">
      <c r="A97" s="3226">
        <v>25</v>
      </c>
      <c r="B97" s="3547"/>
      <c r="C97" s="3206" t="s">
        <v>3078</v>
      </c>
      <c r="D97" s="3206" t="s">
        <v>3079</v>
      </c>
      <c r="E97" s="3227">
        <v>0.1</v>
      </c>
      <c r="F97" s="3226">
        <v>15</v>
      </c>
    </row>
    <row r="98" spans="1:6" s="801" customFormat="1" ht="24">
      <c r="A98" s="3226">
        <v>26</v>
      </c>
      <c r="B98" s="3547"/>
      <c r="C98" s="3206" t="s">
        <v>3080</v>
      </c>
      <c r="D98" s="3206" t="s">
        <v>3081</v>
      </c>
      <c r="E98" s="3227">
        <v>0.1</v>
      </c>
      <c r="F98" s="3226">
        <v>15</v>
      </c>
    </row>
    <row r="99" spans="1:6" s="801" customFormat="1" ht="24">
      <c r="A99" s="3226">
        <v>27</v>
      </c>
      <c r="B99" s="3547"/>
      <c r="C99" s="3206" t="s">
        <v>3082</v>
      </c>
      <c r="D99" s="3206" t="s">
        <v>3083</v>
      </c>
      <c r="E99" s="3227">
        <v>0.1</v>
      </c>
      <c r="F99" s="3226">
        <v>15</v>
      </c>
    </row>
    <row r="100" spans="1:6" s="801" customFormat="1" ht="24">
      <c r="A100" s="3226">
        <v>28</v>
      </c>
      <c r="B100" s="3547"/>
      <c r="C100" s="3206" t="s">
        <v>3084</v>
      </c>
      <c r="D100" s="3206" t="s">
        <v>3085</v>
      </c>
      <c r="E100" s="3227">
        <v>0.1</v>
      </c>
      <c r="F100" s="3226">
        <v>15</v>
      </c>
    </row>
    <row r="101" spans="1:6" s="801" customFormat="1" ht="24">
      <c r="A101" s="3226">
        <v>29</v>
      </c>
      <c r="B101" s="3547"/>
      <c r="C101" s="3206" t="s">
        <v>3086</v>
      </c>
      <c r="D101" s="3206" t="s">
        <v>3087</v>
      </c>
      <c r="E101" s="3227">
        <v>0.1</v>
      </c>
      <c r="F101" s="3226">
        <v>15</v>
      </c>
    </row>
    <row r="102" spans="1:6" s="801" customFormat="1" ht="24">
      <c r="A102" s="3226">
        <v>30</v>
      </c>
      <c r="B102" s="3547"/>
      <c r="C102" s="3206" t="s">
        <v>3088</v>
      </c>
      <c r="D102" s="3206" t="s">
        <v>3089</v>
      </c>
      <c r="E102" s="3227">
        <v>0.1</v>
      </c>
      <c r="F102" s="3226">
        <v>15</v>
      </c>
    </row>
    <row r="103" spans="1:6" s="801" customFormat="1" ht="24">
      <c r="A103" s="3226">
        <v>31</v>
      </c>
      <c r="B103" s="3547"/>
      <c r="C103" s="3206" t="s">
        <v>3090</v>
      </c>
      <c r="D103" s="3206" t="s">
        <v>3091</v>
      </c>
      <c r="E103" s="3227">
        <v>0.1</v>
      </c>
      <c r="F103" s="3226">
        <v>15</v>
      </c>
    </row>
    <row r="104" spans="1:6" s="801" customFormat="1" ht="24">
      <c r="A104" s="3226">
        <v>32</v>
      </c>
      <c r="B104" s="3547"/>
      <c r="C104" s="3206" t="s">
        <v>3092</v>
      </c>
      <c r="D104" s="3206" t="s">
        <v>3093</v>
      </c>
      <c r="E104" s="3227">
        <v>0.1</v>
      </c>
      <c r="F104" s="3226">
        <v>15</v>
      </c>
    </row>
    <row r="105" spans="1:6" s="801" customFormat="1" ht="24">
      <c r="A105" s="3226">
        <v>33</v>
      </c>
      <c r="B105" s="3547"/>
      <c r="C105" s="3206" t="s">
        <v>3094</v>
      </c>
      <c r="D105" s="3206" t="s">
        <v>3095</v>
      </c>
      <c r="E105" s="3227">
        <v>0.1</v>
      </c>
      <c r="F105" s="3226">
        <v>15</v>
      </c>
    </row>
    <row r="106" spans="1:6" s="801" customFormat="1" ht="24">
      <c r="A106" s="3226">
        <v>34</v>
      </c>
      <c r="B106" s="3556"/>
      <c r="C106" s="3206" t="s">
        <v>3096</v>
      </c>
      <c r="D106" s="3206" t="s">
        <v>3097</v>
      </c>
      <c r="E106" s="3227">
        <v>0.1</v>
      </c>
      <c r="F106" s="3226">
        <v>15</v>
      </c>
    </row>
    <row r="107" spans="1:6" s="801" customFormat="1" ht="24">
      <c r="A107" s="3226">
        <v>35</v>
      </c>
      <c r="B107" s="3552" t="s">
        <v>3098</v>
      </c>
      <c r="C107" s="3226" t="s">
        <v>3099</v>
      </c>
      <c r="D107" s="3206" t="s">
        <v>3100</v>
      </c>
      <c r="E107" s="3227">
        <v>0.15</v>
      </c>
      <c r="F107" s="3226">
        <v>20</v>
      </c>
    </row>
    <row r="108" spans="1:6" s="801" customFormat="1" ht="24">
      <c r="A108" s="3226">
        <v>36</v>
      </c>
      <c r="B108" s="3547"/>
      <c r="C108" s="3226" t="s">
        <v>3101</v>
      </c>
      <c r="D108" s="3206" t="s">
        <v>3102</v>
      </c>
      <c r="E108" s="3227">
        <v>0.15</v>
      </c>
      <c r="F108" s="3226">
        <v>20</v>
      </c>
    </row>
    <row r="109" spans="1:6" s="801" customFormat="1" ht="24">
      <c r="A109" s="3226">
        <v>37</v>
      </c>
      <c r="B109" s="3547"/>
      <c r="C109" s="3226" t="s">
        <v>3103</v>
      </c>
      <c r="D109" s="3206" t="s">
        <v>3104</v>
      </c>
      <c r="E109" s="3227">
        <v>0.15</v>
      </c>
      <c r="F109" s="3226">
        <v>20</v>
      </c>
    </row>
    <row r="110" spans="1:6" s="801" customFormat="1" ht="13.5">
      <c r="A110" s="3226">
        <v>38</v>
      </c>
      <c r="B110" s="3547"/>
      <c r="C110" s="3226" t="s">
        <v>3105</v>
      </c>
      <c r="D110" s="3206" t="s">
        <v>3106</v>
      </c>
      <c r="E110" s="3227">
        <v>0.1</v>
      </c>
      <c r="F110" s="3226">
        <v>15</v>
      </c>
    </row>
    <row r="111" spans="1:6" s="801" customFormat="1" ht="24">
      <c r="A111" s="3226">
        <v>39</v>
      </c>
      <c r="B111" s="3547"/>
      <c r="C111" s="3226" t="s">
        <v>3107</v>
      </c>
      <c r="D111" s="3206" t="s">
        <v>3108</v>
      </c>
      <c r="E111" s="3227">
        <v>0.1</v>
      </c>
      <c r="F111" s="3226">
        <v>15</v>
      </c>
    </row>
    <row r="112" spans="1:6" s="801" customFormat="1" ht="24">
      <c r="A112" s="3226">
        <v>40</v>
      </c>
      <c r="B112" s="3556"/>
      <c r="C112" s="3226" t="s">
        <v>3109</v>
      </c>
      <c r="D112" s="3206" t="s">
        <v>3110</v>
      </c>
      <c r="E112" s="3227">
        <v>0.1</v>
      </c>
      <c r="F112" s="3226">
        <v>15</v>
      </c>
    </row>
    <row r="113" spans="1:6" s="801" customFormat="1" ht="24">
      <c r="A113" s="3226">
        <v>41</v>
      </c>
      <c r="B113" s="3557" t="s">
        <v>3111</v>
      </c>
      <c r="C113" s="3226" t="s">
        <v>3112</v>
      </c>
      <c r="D113" s="3206" t="s">
        <v>3113</v>
      </c>
      <c r="E113" s="3227">
        <v>0.1</v>
      </c>
      <c r="F113" s="3226">
        <v>15</v>
      </c>
    </row>
    <row r="114" spans="1:6" s="801" customFormat="1" ht="13.5">
      <c r="A114" s="3226">
        <v>42</v>
      </c>
      <c r="B114" s="3557"/>
      <c r="C114" s="3226" t="s">
        <v>3114</v>
      </c>
      <c r="D114" s="3206" t="s">
        <v>3115</v>
      </c>
      <c r="E114" s="3227">
        <v>0.1</v>
      </c>
      <c r="F114" s="3226">
        <v>15</v>
      </c>
    </row>
    <row r="115" spans="1:6" s="801" customFormat="1" ht="24">
      <c r="A115" s="3226">
        <v>43</v>
      </c>
      <c r="B115" s="3557"/>
      <c r="C115" s="3226" t="s">
        <v>3116</v>
      </c>
      <c r="D115" s="3206" t="s">
        <v>3117</v>
      </c>
      <c r="E115" s="3227">
        <v>0.1</v>
      </c>
      <c r="F115" s="3226">
        <v>15</v>
      </c>
    </row>
    <row r="116" spans="1:6" s="801" customFormat="1" ht="24">
      <c r="A116" s="3226">
        <v>44</v>
      </c>
      <c r="B116" s="3552" t="s">
        <v>3118</v>
      </c>
      <c r="C116" s="3226" t="s">
        <v>3119</v>
      </c>
      <c r="D116" s="3206" t="s">
        <v>3120</v>
      </c>
      <c r="E116" s="3227">
        <v>0.1</v>
      </c>
      <c r="F116" s="3226">
        <v>15</v>
      </c>
    </row>
    <row r="117" spans="1:6" s="801" customFormat="1" ht="24">
      <c r="A117" s="3226">
        <v>45</v>
      </c>
      <c r="B117" s="3556"/>
      <c r="C117" s="3206" t="s">
        <v>3121</v>
      </c>
      <c r="D117" s="3206" t="s">
        <v>3122</v>
      </c>
      <c r="E117" s="3227">
        <v>0.1</v>
      </c>
      <c r="F117" s="3226">
        <v>15</v>
      </c>
    </row>
    <row r="118" spans="1:6" s="801" customFormat="1" ht="24">
      <c r="A118" s="3226">
        <v>46</v>
      </c>
      <c r="B118" s="3552" t="s">
        <v>3123</v>
      </c>
      <c r="C118" s="3226" t="s">
        <v>3124</v>
      </c>
      <c r="D118" s="3206" t="s">
        <v>3125</v>
      </c>
      <c r="E118" s="3227">
        <v>0.1</v>
      </c>
      <c r="F118" s="3226">
        <v>15</v>
      </c>
    </row>
    <row r="119" spans="1:6" s="801" customFormat="1" ht="24">
      <c r="A119" s="3226">
        <v>47</v>
      </c>
      <c r="B119" s="3556"/>
      <c r="C119" s="3226" t="s">
        <v>3126</v>
      </c>
      <c r="D119" s="3206" t="s">
        <v>3127</v>
      </c>
      <c r="E119" s="3227">
        <v>0.1</v>
      </c>
      <c r="F119" s="3226">
        <v>15</v>
      </c>
    </row>
    <row r="120" spans="1:6" s="801" customFormat="1" ht="24">
      <c r="A120" s="3226">
        <v>48</v>
      </c>
      <c r="B120" s="3552" t="s">
        <v>3128</v>
      </c>
      <c r="C120" s="3226" t="s">
        <v>3129</v>
      </c>
      <c r="D120" s="3206" t="s">
        <v>3130</v>
      </c>
      <c r="E120" s="3227">
        <v>0.1</v>
      </c>
      <c r="F120" s="3226">
        <v>15</v>
      </c>
    </row>
    <row r="121" spans="1:6" s="801" customFormat="1" ht="13.5">
      <c r="A121" s="3226">
        <v>49</v>
      </c>
      <c r="B121" s="3556"/>
      <c r="C121" s="3226" t="s">
        <v>3131</v>
      </c>
      <c r="D121" s="3206" t="s">
        <v>3132</v>
      </c>
      <c r="E121" s="3227">
        <v>0.1</v>
      </c>
      <c r="F121" s="3226">
        <v>15</v>
      </c>
    </row>
    <row r="122" spans="1:6" s="801" customFormat="1" ht="24">
      <c r="A122" s="3226">
        <v>50</v>
      </c>
      <c r="B122" s="3557" t="s">
        <v>3133</v>
      </c>
      <c r="C122" s="3226" t="s">
        <v>3134</v>
      </c>
      <c r="D122" s="3206" t="s">
        <v>3135</v>
      </c>
      <c r="E122" s="3227">
        <v>0.1</v>
      </c>
      <c r="F122" s="3226">
        <v>15</v>
      </c>
    </row>
    <row r="123" spans="1:6" s="801" customFormat="1" ht="24">
      <c r="A123" s="3226">
        <v>51</v>
      </c>
      <c r="B123" s="3557"/>
      <c r="C123" s="3226" t="s">
        <v>3136</v>
      </c>
      <c r="D123" s="3206" t="s">
        <v>3137</v>
      </c>
      <c r="E123" s="3227">
        <v>0.1</v>
      </c>
      <c r="F123" s="3226">
        <v>15</v>
      </c>
    </row>
    <row r="124" spans="1:6" s="801" customFormat="1" ht="24">
      <c r="A124" s="3226">
        <v>52</v>
      </c>
      <c r="B124" s="3557" t="s">
        <v>3138</v>
      </c>
      <c r="C124" s="3226" t="s">
        <v>3139</v>
      </c>
      <c r="D124" s="3206" t="s">
        <v>3140</v>
      </c>
      <c r="E124" s="3227">
        <v>0.1</v>
      </c>
      <c r="F124" s="3226">
        <v>15</v>
      </c>
    </row>
    <row r="125" spans="1:6" s="801" customFormat="1" ht="24">
      <c r="A125" s="3226">
        <v>53</v>
      </c>
      <c r="B125" s="3557"/>
      <c r="C125" s="3226" t="s">
        <v>3141</v>
      </c>
      <c r="D125" s="3206" t="s">
        <v>3142</v>
      </c>
      <c r="E125" s="3227">
        <v>0.1</v>
      </c>
      <c r="F125" s="3226">
        <v>15</v>
      </c>
    </row>
    <row r="126" spans="1:6" ht="24">
      <c r="A126" s="3226">
        <v>54</v>
      </c>
      <c r="B126" s="3226" t="s">
        <v>3143</v>
      </c>
      <c r="C126" s="3226" t="s">
        <v>3144</v>
      </c>
      <c r="D126" s="3206" t="s">
        <v>3145</v>
      </c>
      <c r="E126" s="3227">
        <v>0.1</v>
      </c>
      <c r="F126" s="3226">
        <v>15</v>
      </c>
    </row>
    <row r="127" spans="1:6" ht="13.5">
      <c r="A127" s="3226">
        <v>55</v>
      </c>
      <c r="B127" s="3557" t="s">
        <v>3146</v>
      </c>
      <c r="C127" s="3226" t="s">
        <v>3147</v>
      </c>
      <c r="D127" s="3206" t="s">
        <v>3148</v>
      </c>
      <c r="E127" s="3227">
        <v>0.1</v>
      </c>
      <c r="F127" s="3226">
        <v>15</v>
      </c>
    </row>
    <row r="128" spans="1:6" ht="13.5">
      <c r="A128" s="3226">
        <v>56</v>
      </c>
      <c r="B128" s="3557"/>
      <c r="C128" s="3226" t="s">
        <v>3149</v>
      </c>
      <c r="D128" s="3206" t="s">
        <v>3150</v>
      </c>
      <c r="E128" s="3227">
        <v>0.1</v>
      </c>
      <c r="F128" s="3226">
        <v>15</v>
      </c>
    </row>
    <row r="129" spans="1:6" ht="24">
      <c r="A129" s="3226">
        <v>57</v>
      </c>
      <c r="B129" s="3557"/>
      <c r="C129" s="3226" t="s">
        <v>3151</v>
      </c>
      <c r="D129" s="3206" t="s">
        <v>3152</v>
      </c>
      <c r="E129" s="3227">
        <v>0.1</v>
      </c>
      <c r="F129" s="3226">
        <v>15</v>
      </c>
    </row>
    <row r="130" spans="1:6" ht="24">
      <c r="A130" s="3226">
        <v>58</v>
      </c>
      <c r="B130" s="3557" t="s">
        <v>3153</v>
      </c>
      <c r="C130" s="3226" t="s">
        <v>3154</v>
      </c>
      <c r="D130" s="3206" t="s">
        <v>3155</v>
      </c>
      <c r="E130" s="3227">
        <v>0.1</v>
      </c>
      <c r="F130" s="3226">
        <v>15</v>
      </c>
    </row>
    <row r="131" spans="1:6" ht="24">
      <c r="A131" s="3226">
        <v>59</v>
      </c>
      <c r="B131" s="3557"/>
      <c r="C131" s="3226" t="s">
        <v>3156</v>
      </c>
      <c r="D131" s="3206" t="s">
        <v>3157</v>
      </c>
      <c r="E131" s="3227">
        <v>0.1</v>
      </c>
      <c r="F131" s="3226">
        <v>15</v>
      </c>
    </row>
    <row r="132" spans="1:6" ht="24">
      <c r="A132" s="3226">
        <v>60</v>
      </c>
      <c r="B132" s="3552" t="s">
        <v>3158</v>
      </c>
      <c r="C132" s="3226" t="s">
        <v>3159</v>
      </c>
      <c r="D132" s="3206" t="s">
        <v>3160</v>
      </c>
      <c r="E132" s="3227">
        <v>0.1</v>
      </c>
      <c r="F132" s="3226">
        <v>15</v>
      </c>
    </row>
    <row r="133" spans="1:6" ht="24">
      <c r="A133" s="3226">
        <v>61</v>
      </c>
      <c r="B133" s="3556"/>
      <c r="C133" s="3226" t="s">
        <v>3161</v>
      </c>
      <c r="D133" s="3206" t="s">
        <v>3162</v>
      </c>
      <c r="E133" s="3227">
        <v>0.1</v>
      </c>
      <c r="F133" s="3226">
        <v>15</v>
      </c>
    </row>
    <row r="134" spans="1:6" ht="24">
      <c r="A134" s="3226">
        <v>62</v>
      </c>
      <c r="B134" s="3226" t="s">
        <v>3163</v>
      </c>
      <c r="C134" s="3226" t="s">
        <v>3164</v>
      </c>
      <c r="D134" s="3206" t="s">
        <v>3165</v>
      </c>
      <c r="E134" s="3227">
        <v>0.1</v>
      </c>
      <c r="F134" s="3226">
        <v>15</v>
      </c>
    </row>
    <row r="135" spans="1:6" ht="24">
      <c r="A135" s="3226">
        <v>63</v>
      </c>
      <c r="B135" s="3557" t="s">
        <v>3166</v>
      </c>
      <c r="C135" s="3226" t="s">
        <v>3167</v>
      </c>
      <c r="D135" s="3206" t="s">
        <v>3168</v>
      </c>
      <c r="E135" s="3227">
        <v>0.1</v>
      </c>
      <c r="F135" s="3226">
        <v>15</v>
      </c>
    </row>
    <row r="136" spans="1:6" ht="13.5">
      <c r="A136" s="3226">
        <v>64</v>
      </c>
      <c r="B136" s="3557"/>
      <c r="C136" s="3226" t="s">
        <v>3169</v>
      </c>
      <c r="D136" s="3206" t="s">
        <v>3170</v>
      </c>
      <c r="E136" s="3227">
        <v>0.1</v>
      </c>
      <c r="F136" s="3226">
        <v>15</v>
      </c>
    </row>
    <row r="137" spans="1:6" ht="24">
      <c r="A137" s="3226">
        <v>65</v>
      </c>
      <c r="B137" s="3226" t="s">
        <v>3171</v>
      </c>
      <c r="C137" s="3226" t="s">
        <v>3172</v>
      </c>
      <c r="D137" s="3206" t="s">
        <v>3173</v>
      </c>
      <c r="E137" s="3227">
        <v>0.1</v>
      </c>
      <c r="F137" s="3226">
        <v>15</v>
      </c>
    </row>
    <row r="138" spans="1:6" ht="13.5">
      <c r="A138" s="804"/>
      <c r="B138" s="804"/>
      <c r="C138" s="804"/>
      <c r="D138" s="804"/>
      <c r="E138" s="816"/>
      <c r="F138" s="804"/>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6"/>
    <col min="2" max="16384" width="9" style="819"/>
  </cols>
  <sheetData>
    <row r="1" spans="1:14" ht="14.25">
      <c r="A1" s="817" t="s">
        <v>568</v>
      </c>
      <c r="B1" s="818"/>
      <c r="C1" s="818"/>
      <c r="D1" s="818"/>
      <c r="E1" s="818"/>
      <c r="F1" s="818"/>
      <c r="G1" s="818"/>
      <c r="H1" s="818"/>
      <c r="I1" s="818"/>
      <c r="J1" s="818"/>
      <c r="K1" s="818"/>
      <c r="L1" s="818"/>
      <c r="M1" s="818"/>
      <c r="N1" s="818"/>
    </row>
    <row r="2" spans="1:14">
      <c r="A2" s="820" t="s">
        <v>567</v>
      </c>
      <c r="B2" s="821" t="s">
        <v>157</v>
      </c>
      <c r="C2" s="821" t="s">
        <v>158</v>
      </c>
      <c r="D2" s="821" t="s">
        <v>159</v>
      </c>
      <c r="E2" s="821" t="s">
        <v>160</v>
      </c>
      <c r="F2" s="821" t="s">
        <v>161</v>
      </c>
      <c r="G2" s="821" t="s">
        <v>162</v>
      </c>
      <c r="H2" s="822" t="s">
        <v>163</v>
      </c>
      <c r="I2" s="822" t="s">
        <v>164</v>
      </c>
      <c r="J2" s="823" t="s">
        <v>165</v>
      </c>
      <c r="K2" s="823" t="s">
        <v>166</v>
      </c>
      <c r="L2" s="823" t="s">
        <v>167</v>
      </c>
      <c r="M2" s="823" t="s">
        <v>168</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569</v>
      </c>
      <c r="B103" s="818"/>
      <c r="C103" s="818"/>
      <c r="D103" s="818"/>
      <c r="E103" s="818"/>
      <c r="F103" s="818"/>
      <c r="G103" s="818"/>
      <c r="H103" s="818"/>
      <c r="I103" s="818"/>
      <c r="J103" s="818"/>
      <c r="K103" s="818"/>
      <c r="L103" s="818"/>
      <c r="M103" s="818"/>
      <c r="N103" s="818"/>
    </row>
    <row r="104" spans="1:14" ht="14.25">
      <c r="A104" s="820" t="s">
        <v>567</v>
      </c>
      <c r="B104" s="821" t="s">
        <v>157</v>
      </c>
      <c r="C104" s="821" t="s">
        <v>158</v>
      </c>
      <c r="D104" s="821" t="s">
        <v>159</v>
      </c>
      <c r="E104" s="821" t="s">
        <v>160</v>
      </c>
      <c r="F104" s="821" t="s">
        <v>161</v>
      </c>
      <c r="G104" s="821" t="s">
        <v>162</v>
      </c>
      <c r="H104" s="822" t="s">
        <v>163</v>
      </c>
      <c r="I104" s="822" t="s">
        <v>164</v>
      </c>
      <c r="J104" s="823" t="s">
        <v>165</v>
      </c>
      <c r="K104" s="823" t="s">
        <v>166</v>
      </c>
      <c r="L104" s="823" t="s">
        <v>167</v>
      </c>
      <c r="M104" s="823" t="s">
        <v>168</v>
      </c>
      <c r="N104" s="818" t="e">
        <f>SUMPRODUCT((A105:A204=ROUNDDOWN(基准地价修正!G3,1))*(B104:M104=基准地价修正!G2)*(B105:M204))</f>
        <v>#DIV/0!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570</v>
      </c>
      <c r="B205" s="818"/>
      <c r="C205" s="818"/>
      <c r="D205" s="818"/>
      <c r="E205" s="818"/>
      <c r="F205" s="818"/>
      <c r="G205" s="818"/>
      <c r="H205" s="818"/>
      <c r="I205" s="818"/>
      <c r="J205" s="818"/>
      <c r="K205" s="818"/>
      <c r="L205" s="818"/>
      <c r="M205" s="818"/>
    </row>
    <row r="206" spans="1:13">
      <c r="A206" s="820" t="s">
        <v>567</v>
      </c>
      <c r="B206" s="821" t="s">
        <v>157</v>
      </c>
      <c r="C206" s="821" t="s">
        <v>158</v>
      </c>
      <c r="D206" s="821" t="s">
        <v>159</v>
      </c>
      <c r="E206" s="821" t="s">
        <v>160</v>
      </c>
      <c r="F206" s="821" t="s">
        <v>161</v>
      </c>
      <c r="G206" s="821" t="s">
        <v>162</v>
      </c>
      <c r="H206" s="822" t="s">
        <v>163</v>
      </c>
      <c r="I206" s="822" t="s">
        <v>164</v>
      </c>
      <c r="J206" s="823" t="s">
        <v>165</v>
      </c>
      <c r="K206" s="823" t="s">
        <v>166</v>
      </c>
      <c r="L206" s="823" t="s">
        <v>167</v>
      </c>
      <c r="M206" s="823" t="s">
        <v>168</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571</v>
      </c>
      <c r="B307" s="818"/>
      <c r="C307" s="818"/>
      <c r="D307" s="818"/>
      <c r="E307" s="818"/>
      <c r="F307" s="818"/>
      <c r="G307" s="818"/>
      <c r="H307" s="818"/>
      <c r="I307" s="818"/>
      <c r="J307" s="818"/>
      <c r="K307" s="818"/>
      <c r="L307" s="818"/>
      <c r="M307" s="818"/>
    </row>
    <row r="308" spans="1:13">
      <c r="A308" s="820" t="s">
        <v>567</v>
      </c>
      <c r="B308" s="821" t="s">
        <v>157</v>
      </c>
      <c r="C308" s="821" t="s">
        <v>158</v>
      </c>
      <c r="D308" s="821" t="s">
        <v>159</v>
      </c>
      <c r="E308" s="821" t="s">
        <v>160</v>
      </c>
      <c r="F308" s="821" t="s">
        <v>161</v>
      </c>
      <c r="G308" s="821" t="s">
        <v>162</v>
      </c>
      <c r="H308" s="822" t="s">
        <v>163</v>
      </c>
      <c r="I308" s="822" t="s">
        <v>164</v>
      </c>
      <c r="J308" s="823" t="s">
        <v>165</v>
      </c>
      <c r="K308" s="823" t="s">
        <v>166</v>
      </c>
      <c r="L308" s="823" t="s">
        <v>167</v>
      </c>
      <c r="M308" s="823" t="s">
        <v>168</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3" customWidth="1"/>
    <col min="2" max="2" width="12.5" style="1613" customWidth="1"/>
    <col min="3" max="3" width="12.125" style="1613" customWidth="1"/>
    <col min="4" max="4" width="14.125" style="1613" customWidth="1"/>
    <col min="5" max="5" width="12.5" style="1613" customWidth="1"/>
    <col min="6" max="16384" width="9" style="1613"/>
  </cols>
  <sheetData>
    <row r="1" spans="1:16" ht="21">
      <c r="A1" s="2004" t="s">
        <v>2580</v>
      </c>
      <c r="B1" s="2314"/>
      <c r="C1" s="2314"/>
      <c r="D1" s="2314"/>
      <c r="E1" s="2314"/>
      <c r="F1" s="2974"/>
      <c r="G1" s="2974"/>
      <c r="H1" s="2974"/>
      <c r="I1" s="2974"/>
      <c r="J1" s="2974"/>
      <c r="K1" s="2974"/>
      <c r="L1" s="2974"/>
      <c r="M1" s="2974"/>
      <c r="N1" s="2974"/>
      <c r="O1" s="2974"/>
      <c r="P1" s="2974"/>
    </row>
    <row r="2" spans="1:16" ht="15.75">
      <c r="A2" s="2312" t="s">
        <v>2572</v>
      </c>
      <c r="B2" s="2778" t="e">
        <f ca="1">SUMIF(B6:B13,"&lt;&gt;#ref!",B6:B13)</f>
        <v>#DIV/0!</v>
      </c>
      <c r="C2" s="2312" t="s">
        <v>2573</v>
      </c>
      <c r="D2" s="2312" t="s">
        <v>2574</v>
      </c>
      <c r="E2" s="2788">
        <f ca="1">SUMIF(E6:E13,"&lt;&gt;#ref!",E6:E13)</f>
        <v>0</v>
      </c>
      <c r="F2" s="2974"/>
      <c r="G2" s="2974"/>
      <c r="H2" s="2974"/>
      <c r="I2" s="2974"/>
      <c r="J2" s="2974"/>
      <c r="K2" s="2974"/>
      <c r="L2" s="2974"/>
      <c r="M2" s="2974"/>
      <c r="N2" s="2974"/>
      <c r="O2" s="2974"/>
      <c r="P2" s="2974"/>
    </row>
    <row r="3" spans="1:16" ht="15.75">
      <c r="A3" s="2312" t="s">
        <v>2575</v>
      </c>
      <c r="B3" s="2778" t="e">
        <f ca="1">ROUND(B2*10000/E2,0)</f>
        <v>#DIV/0!</v>
      </c>
      <c r="C3" s="2312" t="s">
        <v>2581</v>
      </c>
      <c r="D3" s="2974"/>
      <c r="E3" s="2974"/>
      <c r="F3" s="2974"/>
      <c r="G3" s="2974"/>
      <c r="H3" s="2974"/>
      <c r="I3" s="2974"/>
      <c r="J3" s="2974"/>
      <c r="K3" s="2974"/>
      <c r="L3" s="2974"/>
      <c r="M3" s="2974"/>
      <c r="N3" s="2974"/>
      <c r="O3" s="2974"/>
      <c r="P3" s="2974"/>
    </row>
    <row r="4" spans="1:16" ht="15.75">
      <c r="A4" s="2975"/>
      <c r="B4" s="2974"/>
      <c r="C4" s="2974"/>
      <c r="D4" s="2974"/>
      <c r="E4" s="2974"/>
      <c r="F4" s="2974"/>
      <c r="G4" s="2974"/>
      <c r="H4" s="2974"/>
      <c r="I4" s="2974"/>
      <c r="J4" s="2974"/>
      <c r="K4" s="2974"/>
      <c r="L4" s="2974"/>
      <c r="M4" s="2974"/>
      <c r="N4" s="2974"/>
      <c r="O4" s="2974"/>
      <c r="P4" s="2974"/>
    </row>
    <row r="5" spans="1:16" ht="28.5">
      <c r="A5" s="2784" t="s">
        <v>2576</v>
      </c>
      <c r="B5" s="2786" t="s">
        <v>2577</v>
      </c>
      <c r="C5" s="2313"/>
      <c r="D5" s="2974"/>
      <c r="E5" s="2787" t="s">
        <v>2578</v>
      </c>
      <c r="F5" s="2974"/>
      <c r="G5" s="2974"/>
      <c r="H5" s="2974"/>
      <c r="I5" s="2974"/>
      <c r="J5" s="2974"/>
      <c r="K5" s="2974"/>
      <c r="L5" s="2974"/>
      <c r="M5" s="2974"/>
      <c r="N5" s="2974"/>
      <c r="O5" s="2974"/>
      <c r="P5" s="2974"/>
    </row>
    <row r="6" spans="1:16" ht="15.75">
      <c r="A6" s="2785" t="s">
        <v>2579</v>
      </c>
      <c r="B6" s="2778" t="e">
        <f ca="1">SUMIF(INDIRECT("'"&amp;A6&amp;"'"&amp;"!A:A"),"总价",INDIRECT("'"&amp;A6&amp;"'"&amp;"!B:B"))</f>
        <v>#DIV/0!</v>
      </c>
      <c r="C6" s="2312" t="s">
        <v>2573</v>
      </c>
      <c r="D6" s="2974"/>
      <c r="E6" s="2788">
        <f ca="1">SUMIF(INDIRECT("'"&amp;A6&amp;"'"&amp;"!C:C"),"建筑面积",INDIRECT("'"&amp;A6&amp;"'"&amp;"!D:D"))</f>
        <v>0</v>
      </c>
      <c r="F6" s="2974"/>
      <c r="G6" s="2974"/>
      <c r="H6" s="2974"/>
      <c r="I6" s="2974"/>
      <c r="J6" s="2974"/>
      <c r="K6" s="2974"/>
      <c r="L6" s="2974"/>
      <c r="M6" s="2974"/>
      <c r="N6" s="2974"/>
      <c r="O6" s="2974"/>
      <c r="P6" s="2974"/>
    </row>
    <row r="7" spans="1:16" ht="15.75">
      <c r="A7" s="2785"/>
      <c r="B7" s="2778" t="e">
        <f ca="1">SUMIF(INDIRECT("'"&amp;A7&amp;"'"&amp;"!A:A"),"总价",INDIRECT("'"&amp;A7&amp;"'"&amp;"!B:B"))</f>
        <v>#REF!</v>
      </c>
      <c r="C7" s="2312" t="s">
        <v>2573</v>
      </c>
      <c r="D7" s="2974"/>
      <c r="E7" s="2788" t="e">
        <f t="shared" ref="E7:E13" ca="1" si="0">SUMIF(INDIRECT("'"&amp;A7&amp;"'"&amp;"!C:C"),"建筑面积",INDIRECT("'"&amp;A7&amp;"'"&amp;"!D:D"))</f>
        <v>#REF!</v>
      </c>
      <c r="F7" s="2974"/>
      <c r="G7" s="2974"/>
      <c r="H7" s="2974"/>
      <c r="I7" s="2974"/>
      <c r="J7" s="2974"/>
      <c r="K7" s="2974"/>
      <c r="L7" s="2974"/>
      <c r="M7" s="2974"/>
      <c r="N7" s="2974"/>
      <c r="O7" s="2974"/>
      <c r="P7" s="2974"/>
    </row>
    <row r="8" spans="1:16" ht="15.75">
      <c r="A8" s="2785"/>
      <c r="B8" s="2778" t="e">
        <f t="shared" ref="B8:B13" ca="1" si="1">SUMIF(INDIRECT("'"&amp;A8&amp;"'"&amp;"!A:A"),"总价",INDIRECT("'"&amp;A8&amp;"'"&amp;"!B:B"))</f>
        <v>#REF!</v>
      </c>
      <c r="C8" s="2312" t="s">
        <v>2573</v>
      </c>
      <c r="D8" s="2974"/>
      <c r="E8" s="2788" t="e">
        <f t="shared" ca="1" si="0"/>
        <v>#REF!</v>
      </c>
      <c r="F8" s="2974"/>
      <c r="G8" s="2974"/>
      <c r="H8" s="2974"/>
      <c r="I8" s="2974"/>
      <c r="J8" s="2974"/>
      <c r="K8" s="2974"/>
      <c r="L8" s="2974"/>
      <c r="M8" s="2974"/>
      <c r="N8" s="2974"/>
      <c r="O8" s="2974"/>
      <c r="P8" s="2974"/>
    </row>
    <row r="9" spans="1:16" ht="15.75">
      <c r="A9" s="2785"/>
      <c r="B9" s="2778" t="e">
        <f t="shared" ca="1" si="1"/>
        <v>#REF!</v>
      </c>
      <c r="C9" s="2312" t="s">
        <v>2573</v>
      </c>
      <c r="D9" s="2974"/>
      <c r="E9" s="2788" t="e">
        <f t="shared" ca="1" si="0"/>
        <v>#REF!</v>
      </c>
      <c r="F9" s="2974"/>
      <c r="G9" s="2974"/>
      <c r="H9" s="2974"/>
      <c r="I9" s="2974"/>
      <c r="J9" s="2974"/>
      <c r="K9" s="2974"/>
      <c r="L9" s="2974"/>
      <c r="M9" s="2974"/>
      <c r="N9" s="2974"/>
      <c r="O9" s="2974"/>
      <c r="P9" s="2974"/>
    </row>
    <row r="10" spans="1:16" ht="15.75">
      <c r="A10" s="2785"/>
      <c r="B10" s="2778" t="e">
        <f t="shared" ca="1" si="1"/>
        <v>#REF!</v>
      </c>
      <c r="C10" s="2312" t="s">
        <v>2573</v>
      </c>
      <c r="D10" s="2974"/>
      <c r="E10" s="2788" t="e">
        <f t="shared" ca="1" si="0"/>
        <v>#REF!</v>
      </c>
      <c r="F10" s="2974"/>
      <c r="G10" s="2974"/>
      <c r="H10" s="2974"/>
      <c r="I10" s="2974"/>
      <c r="J10" s="2974"/>
      <c r="K10" s="2974"/>
      <c r="L10" s="2974"/>
      <c r="M10" s="2974"/>
      <c r="N10" s="2974"/>
      <c r="O10" s="2974"/>
      <c r="P10" s="2974"/>
    </row>
    <row r="11" spans="1:16" ht="15.75">
      <c r="A11" s="2785"/>
      <c r="B11" s="2778" t="e">
        <f t="shared" ca="1" si="1"/>
        <v>#REF!</v>
      </c>
      <c r="C11" s="2312" t="s">
        <v>2573</v>
      </c>
      <c r="D11" s="2974"/>
      <c r="E11" s="2788" t="e">
        <f t="shared" ca="1" si="0"/>
        <v>#REF!</v>
      </c>
      <c r="F11" s="2974"/>
      <c r="G11" s="2974"/>
      <c r="H11" s="2974"/>
      <c r="I11" s="2974"/>
      <c r="J11" s="2974"/>
      <c r="K11" s="2974"/>
      <c r="L11" s="2974"/>
      <c r="M11" s="2974"/>
      <c r="N11" s="2974"/>
      <c r="O11" s="2974"/>
      <c r="P11" s="2974"/>
    </row>
    <row r="12" spans="1:16" ht="15.75">
      <c r="A12" s="2785"/>
      <c r="B12" s="2778" t="e">
        <f t="shared" ca="1" si="1"/>
        <v>#REF!</v>
      </c>
      <c r="C12" s="2312" t="s">
        <v>2573</v>
      </c>
      <c r="D12" s="2974"/>
      <c r="E12" s="2788" t="e">
        <f t="shared" ca="1" si="0"/>
        <v>#REF!</v>
      </c>
      <c r="F12" s="2974"/>
      <c r="G12" s="2974"/>
      <c r="H12" s="2974"/>
      <c r="I12" s="2974"/>
      <c r="J12" s="2974"/>
      <c r="K12" s="2974"/>
      <c r="L12" s="2974"/>
      <c r="M12" s="2974"/>
      <c r="N12" s="2974"/>
      <c r="O12" s="2974"/>
      <c r="P12" s="2974"/>
    </row>
    <row r="13" spans="1:16" ht="15.75">
      <c r="A13" s="2785"/>
      <c r="B13" s="2778" t="e">
        <f t="shared" ca="1" si="1"/>
        <v>#REF!</v>
      </c>
      <c r="C13" s="2312" t="s">
        <v>2573</v>
      </c>
      <c r="D13" s="2974"/>
      <c r="E13" s="2788" t="e">
        <f t="shared" ca="1" si="0"/>
        <v>#REF!</v>
      </c>
      <c r="F13" s="2974"/>
      <c r="G13" s="2974"/>
      <c r="H13" s="2974"/>
      <c r="I13" s="2974"/>
      <c r="J13" s="2974"/>
      <c r="K13" s="2974"/>
      <c r="L13" s="2974"/>
      <c r="M13" s="2974"/>
      <c r="N13" s="2974"/>
      <c r="O13" s="2974"/>
      <c r="P13" s="2974"/>
    </row>
    <row r="14" spans="1:16">
      <c r="A14" s="2974"/>
      <c r="B14" s="2974"/>
      <c r="C14" s="2974"/>
      <c r="D14" s="2974"/>
      <c r="E14" s="2974"/>
      <c r="F14" s="2974"/>
      <c r="G14" s="2974"/>
      <c r="H14" s="2974"/>
      <c r="I14" s="2974"/>
      <c r="J14" s="2974"/>
      <c r="K14" s="2974"/>
      <c r="L14" s="2974"/>
      <c r="M14" s="2974"/>
      <c r="N14" s="2974"/>
      <c r="O14" s="2974"/>
      <c r="P14" s="2974"/>
    </row>
    <row r="15" spans="1:16">
      <c r="A15" s="2974"/>
      <c r="B15" s="2974"/>
      <c r="C15" s="2974"/>
      <c r="D15" s="2974"/>
      <c r="E15" s="2974"/>
      <c r="F15" s="2974"/>
      <c r="G15" s="2974"/>
      <c r="H15" s="2974"/>
      <c r="I15" s="2974"/>
      <c r="J15" s="2974"/>
      <c r="K15" s="2974"/>
      <c r="L15" s="2974"/>
      <c r="M15" s="2974"/>
      <c r="N15" s="2974"/>
      <c r="O15" s="2974"/>
      <c r="P15" s="2974"/>
    </row>
    <row r="16" spans="1:16">
      <c r="A16" s="2974"/>
      <c r="B16" s="2974"/>
      <c r="C16" s="2974"/>
      <c r="D16" s="2974"/>
      <c r="E16" s="2974"/>
      <c r="F16" s="2974"/>
      <c r="G16" s="2974"/>
      <c r="H16" s="2974"/>
      <c r="I16" s="2974"/>
      <c r="J16" s="2974"/>
      <c r="K16" s="2974"/>
      <c r="L16" s="2974"/>
      <c r="M16" s="2974"/>
      <c r="N16" s="2974"/>
      <c r="O16" s="2974"/>
      <c r="P16" s="2974"/>
    </row>
    <row r="17" spans="1:16">
      <c r="A17" s="2974"/>
      <c r="B17" s="2974"/>
      <c r="C17" s="2974"/>
      <c r="D17" s="2974"/>
      <c r="E17" s="2974"/>
      <c r="F17" s="2974"/>
      <c r="G17" s="2974"/>
      <c r="H17" s="2974"/>
      <c r="I17" s="2974"/>
      <c r="J17" s="2974"/>
      <c r="K17" s="2974"/>
      <c r="L17" s="2974"/>
      <c r="M17" s="2974"/>
      <c r="N17" s="2974"/>
      <c r="O17" s="2974"/>
      <c r="P17" s="2974"/>
    </row>
    <row r="18" spans="1:16">
      <c r="A18" s="2974"/>
      <c r="B18" s="2974"/>
      <c r="C18" s="2974"/>
      <c r="D18" s="2974"/>
      <c r="E18" s="2974"/>
      <c r="F18" s="2974"/>
      <c r="G18" s="2974"/>
      <c r="H18" s="2974"/>
      <c r="I18" s="2974"/>
      <c r="J18" s="2974"/>
      <c r="K18" s="2974"/>
      <c r="L18" s="2974"/>
      <c r="M18" s="2974"/>
      <c r="N18" s="2974"/>
      <c r="O18" s="2974"/>
      <c r="P18" s="2974"/>
    </row>
    <row r="19" spans="1:16">
      <c r="A19" s="2974"/>
      <c r="B19" s="2974"/>
      <c r="C19" s="2974"/>
      <c r="D19" s="2974"/>
      <c r="E19" s="2974"/>
      <c r="F19" s="2974"/>
      <c r="G19" s="2974"/>
      <c r="H19" s="2974"/>
      <c r="I19" s="2974"/>
      <c r="J19" s="2974"/>
      <c r="K19" s="2974"/>
      <c r="L19" s="2974"/>
      <c r="M19" s="2974"/>
      <c r="N19" s="2974"/>
      <c r="O19" s="2974"/>
      <c r="P19" s="2974"/>
    </row>
    <row r="20" spans="1:16">
      <c r="A20" s="2974"/>
      <c r="B20" s="2974"/>
      <c r="C20" s="2974"/>
      <c r="D20" s="2974"/>
      <c r="E20" s="2974"/>
      <c r="F20" s="2974"/>
      <c r="G20" s="2974"/>
      <c r="H20" s="2974"/>
      <c r="I20" s="2974"/>
      <c r="J20" s="2974"/>
      <c r="K20" s="2974"/>
      <c r="L20" s="2974"/>
      <c r="M20" s="2974"/>
      <c r="N20" s="2974"/>
      <c r="O20" s="2974"/>
      <c r="P20" s="2974"/>
    </row>
    <row r="21" spans="1:16">
      <c r="A21" s="2974"/>
      <c r="B21" s="2974"/>
      <c r="C21" s="2974"/>
      <c r="D21" s="2974"/>
      <c r="E21" s="2974"/>
      <c r="F21" s="2974"/>
      <c r="G21" s="2974"/>
      <c r="H21" s="2974"/>
      <c r="I21" s="2974"/>
      <c r="J21" s="2974"/>
      <c r="K21" s="2974"/>
      <c r="L21" s="2974"/>
      <c r="M21" s="2974"/>
      <c r="N21" s="2974"/>
      <c r="O21" s="2974"/>
      <c r="P21" s="297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Q80" sqref="Q80"/>
    </sheetView>
  </sheetViews>
  <sheetFormatPr defaultColWidth="9" defaultRowHeight="12.75"/>
  <cols>
    <col min="1" max="1" width="9" style="2361"/>
    <col min="2" max="6" width="9" style="2361" customWidth="1"/>
    <col min="7" max="7" width="9" style="2399"/>
    <col min="8" max="8" width="9" style="2361"/>
    <col min="9" max="12" width="9" style="2361" customWidth="1"/>
    <col min="13" max="13" width="2.25" style="2361" customWidth="1"/>
    <col min="14" max="14" width="9" style="2399" customWidth="1"/>
    <col min="15" max="17" width="9" style="2361" customWidth="1"/>
    <col min="18" max="18" width="2.375" style="2361" customWidth="1"/>
    <col min="19" max="19" width="7.125" style="2399" customWidth="1"/>
    <col min="20" max="22" width="7.125" style="2361" customWidth="1"/>
    <col min="23" max="23" width="24.25" style="2361" customWidth="1"/>
    <col min="24" max="25" width="9" style="2361"/>
    <col min="26" max="27" width="11.625" style="2361" customWidth="1"/>
    <col min="28" max="28" width="9" style="2361"/>
    <col min="29" max="29" width="2" style="2361" customWidth="1"/>
    <col min="30" max="16384" width="9" style="2361"/>
  </cols>
  <sheetData>
    <row r="1" spans="1:34" s="2340" customFormat="1">
      <c r="B1" s="3563" t="s">
        <v>877</v>
      </c>
      <c r="C1" s="3563"/>
      <c r="D1" s="3563"/>
      <c r="E1" s="3563"/>
      <c r="F1" s="3563"/>
      <c r="G1" s="3559" t="s">
        <v>878</v>
      </c>
      <c r="H1" s="3559"/>
      <c r="I1" s="3559"/>
      <c r="J1" s="3559"/>
      <c r="K1" s="3559"/>
      <c r="L1" s="3559"/>
      <c r="N1" s="3559" t="s">
        <v>879</v>
      </c>
      <c r="O1" s="3559"/>
      <c r="P1" s="3559"/>
      <c r="Q1" s="3559"/>
      <c r="S1" s="3559" t="s">
        <v>880</v>
      </c>
      <c r="T1" s="3559"/>
      <c r="U1" s="3559"/>
      <c r="V1" s="3559"/>
      <c r="X1" s="3558" t="s">
        <v>881</v>
      </c>
      <c r="Y1" s="3559"/>
      <c r="Z1" s="3559"/>
      <c r="AA1" s="3559"/>
      <c r="AB1" s="3559"/>
      <c r="AD1" s="3558" t="s">
        <v>882</v>
      </c>
      <c r="AE1" s="3559"/>
      <c r="AF1" s="3559"/>
      <c r="AG1" s="3559"/>
      <c r="AH1" s="3559"/>
    </row>
    <row r="2" spans="1:34" s="2341" customFormat="1" ht="14.25" thickBot="1">
      <c r="B2" s="2342" t="s">
        <v>883</v>
      </c>
      <c r="C2" s="2342" t="s">
        <v>884</v>
      </c>
      <c r="D2" s="2343" t="s">
        <v>885</v>
      </c>
      <c r="E2" s="2343" t="s">
        <v>886</v>
      </c>
      <c r="F2" s="2342" t="s">
        <v>887</v>
      </c>
      <c r="G2" s="2344"/>
      <c r="I2" s="2342" t="s">
        <v>883</v>
      </c>
      <c r="J2" s="2343" t="s">
        <v>1109</v>
      </c>
      <c r="K2" s="2343" t="s">
        <v>572</v>
      </c>
      <c r="L2" s="2342" t="s">
        <v>887</v>
      </c>
      <c r="N2" s="2342" t="s">
        <v>883</v>
      </c>
      <c r="O2" s="2343" t="s">
        <v>1109</v>
      </c>
      <c r="P2" s="2343" t="s">
        <v>572</v>
      </c>
      <c r="Q2" s="2342" t="s">
        <v>887</v>
      </c>
      <c r="S2" s="2342" t="s">
        <v>883</v>
      </c>
      <c r="T2" s="2343" t="s">
        <v>1109</v>
      </c>
      <c r="U2" s="2343" t="s">
        <v>572</v>
      </c>
      <c r="V2" s="2342" t="s">
        <v>887</v>
      </c>
      <c r="X2" s="2342" t="s">
        <v>883</v>
      </c>
      <c r="Y2" s="2342" t="s">
        <v>884</v>
      </c>
      <c r="Z2" s="2343" t="s">
        <v>885</v>
      </c>
      <c r="AA2" s="2343" t="s">
        <v>886</v>
      </c>
      <c r="AB2" s="2342" t="s">
        <v>887</v>
      </c>
      <c r="AD2" s="2342" t="s">
        <v>883</v>
      </c>
      <c r="AE2" s="2342" t="s">
        <v>884</v>
      </c>
      <c r="AF2" s="2343" t="s">
        <v>885</v>
      </c>
      <c r="AG2" s="2343" t="s">
        <v>886</v>
      </c>
      <c r="AH2" s="2342" t="s">
        <v>887</v>
      </c>
    </row>
    <row r="3" spans="1:34" s="2351" customFormat="1" ht="14.25">
      <c r="A3" s="2345" t="s">
        <v>2613</v>
      </c>
      <c r="B3" s="2346"/>
      <c r="C3" s="2346"/>
      <c r="D3" s="2347"/>
      <c r="E3" s="2347"/>
      <c r="F3" s="2346"/>
      <c r="G3" s="2348"/>
      <c r="H3" s="2349"/>
      <c r="I3" s="2350">
        <f>ROUND(AVERAGE($I4:$I37),2)</f>
        <v>1.64</v>
      </c>
      <c r="J3" s="2350">
        <f>ROUND(AVERAGE($J4:$J37),2)</f>
        <v>1.03</v>
      </c>
      <c r="K3" s="2350">
        <f>ROUND(AVERAGE($K4:$K37),2)</f>
        <v>1.81</v>
      </c>
      <c r="L3" s="2350">
        <f>ROUND(AVERAGE($L4:$L37),2)</f>
        <v>1.2</v>
      </c>
      <c r="N3" s="2348"/>
      <c r="S3" s="2348"/>
      <c r="W3" s="2352"/>
      <c r="X3" s="2353">
        <f>ROUND(SUMPRODUCT(PRODUCT(1+N3:N$36)),4)</f>
        <v>1.6585000000000001</v>
      </c>
      <c r="Y3" s="2353">
        <f>ROUND(SUMPRODUCT(PRODUCT(1+O3:O$36)),4)</f>
        <v>1.3676999999999999</v>
      </c>
      <c r="Z3" s="2353">
        <f t="shared" ref="Z3:Z34" si="0">Y3</f>
        <v>1.3676999999999999</v>
      </c>
      <c r="AA3" s="2353">
        <f>ROUND(SUMPRODUCT(PRODUCT(1+P3:P$36)),4)</f>
        <v>1.7434000000000001</v>
      </c>
      <c r="AB3" s="2353">
        <f>ROUND(SUMPRODUCT(PRODUCT(1+Q3:Q$36)),4)</f>
        <v>1.4609000000000001</v>
      </c>
      <c r="AD3" s="2354">
        <f>ROUND(AVERAGE(I3:I$37)/100,4)</f>
        <v>1.6400000000000001E-2</v>
      </c>
      <c r="AE3" s="2354">
        <f>ROUND(AVERAGE(J3:J$37)/100,4)</f>
        <v>1.03E-2</v>
      </c>
      <c r="AF3" s="2354">
        <f t="shared" ref="AF3:AF35" si="1">AE3</f>
        <v>1.03E-2</v>
      </c>
      <c r="AG3" s="2354">
        <f>ROUND(AVERAGE(K3:K$37)/100,4)</f>
        <v>1.8100000000000002E-2</v>
      </c>
      <c r="AH3" s="2354">
        <f>ROUND(AVERAGE(L3:L$37)/100,4)</f>
        <v>1.2E-2</v>
      </c>
    </row>
    <row r="4" spans="1:34" s="2355" customFormat="1" ht="14.25">
      <c r="B4" s="2356"/>
      <c r="C4" s="2356"/>
      <c r="D4" s="2357"/>
      <c r="E4" s="2357"/>
      <c r="F4" s="2356"/>
      <c r="G4" s="2358"/>
      <c r="H4" s="2359"/>
      <c r="I4" s="2360"/>
      <c r="J4" s="2360"/>
      <c r="K4" s="2360"/>
      <c r="L4" s="2360"/>
      <c r="N4" s="2358"/>
      <c r="S4" s="2358"/>
      <c r="X4" s="2361"/>
      <c r="Y4" s="2361"/>
      <c r="Z4" s="2361"/>
      <c r="AA4" s="2361"/>
      <c r="AB4" s="2361"/>
      <c r="AD4" s="2362"/>
      <c r="AE4" s="2362"/>
      <c r="AF4" s="2362"/>
      <c r="AG4" s="2362"/>
      <c r="AH4" s="2362"/>
    </row>
    <row r="5" spans="1:34" s="2368" customFormat="1">
      <c r="A5" s="2363" t="s">
        <v>2941</v>
      </c>
      <c r="B5" s="2364">
        <f t="shared" ref="B5" si="2">B6*(1+N5)</f>
        <v>510.07089659554606</v>
      </c>
      <c r="C5" s="2364">
        <f t="shared" ref="C5" si="3">C6*(1+O5)</f>
        <v>352.55593185737411</v>
      </c>
      <c r="D5" s="2364">
        <f t="shared" ref="D5" si="4">C5</f>
        <v>352.55593185737411</v>
      </c>
      <c r="E5" s="2364">
        <f t="shared" ref="E5" si="5">E6*(1+P5)</f>
        <v>737.27992463403655</v>
      </c>
      <c r="F5" s="2364">
        <f t="shared" ref="F5" si="6">F6*(1+Q5)</f>
        <v>335.88319198297864</v>
      </c>
      <c r="G5" s="3186">
        <v>2022</v>
      </c>
      <c r="H5" s="2366">
        <v>1</v>
      </c>
      <c r="I5" s="2367">
        <v>0</v>
      </c>
      <c r="J5" s="2367">
        <v>0</v>
      </c>
      <c r="K5" s="2367">
        <v>0</v>
      </c>
      <c r="L5" s="2367">
        <v>0</v>
      </c>
      <c r="N5" s="2369">
        <f t="shared" ref="N5" si="7">I5/100</f>
        <v>0</v>
      </c>
      <c r="O5" s="2369">
        <f t="shared" ref="O5" si="8">J5/100</f>
        <v>0</v>
      </c>
      <c r="P5" s="2369">
        <f t="shared" ref="P5" si="9">K5/100</f>
        <v>0</v>
      </c>
      <c r="Q5" s="2369">
        <f t="shared" ref="Q5" si="10">L5/100</f>
        <v>0</v>
      </c>
      <c r="S5" s="2370"/>
      <c r="W5" s="2371" t="s">
        <v>2614</v>
      </c>
      <c r="X5" s="2372">
        <f>ROUND(IF(项目基本情况!B1="出让",SUMPRODUCT(PRODUCT(1+N5:N$37)),SUMPRODUCT(PRODUCT(1+N5:N$36))),4)</f>
        <v>1.6585000000000001</v>
      </c>
      <c r="Y5" s="2372">
        <f>ROUND(IF(项目基本情况!B1="出让",SUMPRODUCT(PRODUCT(1+O5:O$37)),SUMPRODUCT(PRODUCT(1+O5:O$36))),4)</f>
        <v>1.3676999999999999</v>
      </c>
      <c r="Z5" s="2372">
        <f t="shared" ref="Z5" si="11">Y5</f>
        <v>1.3676999999999999</v>
      </c>
      <c r="AA5" s="2372">
        <f>ROUND(IF(项目基本情况!B1="出让",SUMPRODUCT(PRODUCT(1+P5:P$37)),SUMPRODUCT(PRODUCT(1+P5:P$36))),4)</f>
        <v>1.7434000000000001</v>
      </c>
      <c r="AB5" s="2372">
        <f>ROUND(IF(项目基本情况!B1="出让",SUMPRODUCT(PRODUCT(1+Q5:Q$37)),SUMPRODUCT(PRODUCT(1+Q5:Q$36))),4)</f>
        <v>1.4609000000000001</v>
      </c>
      <c r="AD5" s="2373">
        <f>ROUND(AVERAGE(I5:I$37)/100,4)</f>
        <v>1.6400000000000001E-2</v>
      </c>
      <c r="AE5" s="2373">
        <f>ROUND(AVERAGE(J5:J$37)/100,4)</f>
        <v>1.03E-2</v>
      </c>
      <c r="AF5" s="2373">
        <f t="shared" ref="AF5" si="12">AE5</f>
        <v>1.03E-2</v>
      </c>
      <c r="AG5" s="2373">
        <f>ROUND(AVERAGE(K5:K$37)/100,4)</f>
        <v>1.8100000000000002E-2</v>
      </c>
      <c r="AH5" s="2373">
        <f>ROUND(AVERAGE(L5:L$37)/100,4)</f>
        <v>1.2E-2</v>
      </c>
    </row>
    <row r="6" spans="1:34" s="2381" customFormat="1">
      <c r="A6" s="2374" t="s">
        <v>2940</v>
      </c>
      <c r="B6" s="2375">
        <f t="shared" ref="B6" si="13">B7*(1+N6)</f>
        <v>510.07089659554606</v>
      </c>
      <c r="C6" s="2375">
        <f t="shared" ref="C6" si="14">C7*(1+O6)</f>
        <v>352.55593185737411</v>
      </c>
      <c r="D6" s="2375">
        <f t="shared" ref="D6" si="15">C6</f>
        <v>352.55593185737411</v>
      </c>
      <c r="E6" s="2375">
        <f t="shared" ref="E6" si="16">E7*(1+P6)</f>
        <v>737.27992463403655</v>
      </c>
      <c r="F6" s="2375">
        <f t="shared" ref="F6" si="17">F7*(1+Q6)</f>
        <v>335.88319198297864</v>
      </c>
      <c r="G6" s="3186">
        <v>2021</v>
      </c>
      <c r="H6" s="2376">
        <v>4</v>
      </c>
      <c r="I6" s="2338">
        <v>1.03</v>
      </c>
      <c r="J6" s="2338">
        <v>0.24</v>
      </c>
      <c r="K6" s="2338">
        <v>1.17</v>
      </c>
      <c r="L6" s="2339">
        <v>0.55000000000000004</v>
      </c>
      <c r="M6" s="2361"/>
      <c r="N6" s="2377">
        <f t="shared" ref="N6" si="18">I6/100</f>
        <v>1.03E-2</v>
      </c>
      <c r="O6" s="2362">
        <f t="shared" ref="O6" si="19">J6/100</f>
        <v>2.3999999999999998E-3</v>
      </c>
      <c r="P6" s="2362">
        <f t="shared" ref="P6" si="20">K6/100</f>
        <v>1.1699999999999999E-2</v>
      </c>
      <c r="Q6" s="2362">
        <f t="shared" ref="Q6" si="21">L6/100</f>
        <v>5.5000000000000005E-3</v>
      </c>
      <c r="R6" s="2378"/>
      <c r="S6" s="2377"/>
      <c r="T6" s="2362"/>
      <c r="U6" s="2362"/>
      <c r="V6" s="2362"/>
      <c r="W6" s="2379"/>
      <c r="X6" s="2379">
        <f>ROUND(IF(项目基本情况!B2="出让",SUMPRODUCT(PRODUCT(1+N6:N$37)),SUMPRODUCT(PRODUCT(1+N6:N$36))),4)</f>
        <v>1.6585000000000001</v>
      </c>
      <c r="Y6" s="2379">
        <f>ROUND(IF(项目基本情况!B2="出让",SUMPRODUCT(PRODUCT(1+O6:O$37)),SUMPRODUCT(PRODUCT(1+O6:O$36))),4)</f>
        <v>1.3676999999999999</v>
      </c>
      <c r="Z6" s="2379">
        <f t="shared" ref="Z6" si="22">Y6</f>
        <v>1.3676999999999999</v>
      </c>
      <c r="AA6" s="2379">
        <f>ROUND(IF(项目基本情况!B2="出让",SUMPRODUCT(PRODUCT(1+P6:P$37)),SUMPRODUCT(PRODUCT(1+P6:P$36))),4)</f>
        <v>1.7434000000000001</v>
      </c>
      <c r="AB6" s="2379">
        <f>ROUND(IF(项目基本情况!B2="出让",SUMPRODUCT(PRODUCT(1+Q6:Q$37)),SUMPRODUCT(PRODUCT(1+Q6:Q$36))),4)</f>
        <v>1.4609000000000001</v>
      </c>
      <c r="AC6" s="2379"/>
      <c r="AD6" s="2380">
        <f>ROUND(AVERAGE(I6:I$37)/100,4)</f>
        <v>1.6899999999999998E-2</v>
      </c>
      <c r="AE6" s="2380">
        <f>ROUND(AVERAGE(J6:J$37)/100,4)</f>
        <v>1.06E-2</v>
      </c>
      <c r="AF6" s="2380">
        <f t="shared" ref="AF6" si="23">AE6</f>
        <v>1.06E-2</v>
      </c>
      <c r="AG6" s="2380">
        <f>ROUND(AVERAGE(K6:K$37)/100,4)</f>
        <v>1.8700000000000001E-2</v>
      </c>
      <c r="AH6" s="2380">
        <f>ROUND(AVERAGE(L6:L$37)/100,4)</f>
        <v>1.24E-2</v>
      </c>
    </row>
    <row r="7" spans="1:34" s="2381" customFormat="1">
      <c r="A7" s="2374" t="s">
        <v>2817</v>
      </c>
      <c r="B7" s="2375">
        <f t="shared" ref="B7" si="24">B8*(1+N7)</f>
        <v>504.87072809615569</v>
      </c>
      <c r="C7" s="2375">
        <f t="shared" ref="C7" si="25">C8*(1+O7)</f>
        <v>351.71182348101968</v>
      </c>
      <c r="D7" s="2375">
        <f t="shared" ref="D7" si="26">C7</f>
        <v>351.71182348101968</v>
      </c>
      <c r="E7" s="2375">
        <f t="shared" ref="E7" si="27">E8*(1+P7)</f>
        <v>728.75350858360832</v>
      </c>
      <c r="F7" s="2375">
        <f t="shared" ref="F7" si="28">F8*(1+Q7)</f>
        <v>334.04593931673656</v>
      </c>
      <c r="G7" s="3011">
        <v>2021</v>
      </c>
      <c r="H7" s="2376">
        <v>3</v>
      </c>
      <c r="I7" s="2338">
        <v>0.47</v>
      </c>
      <c r="J7" s="2338">
        <v>0.41</v>
      </c>
      <c r="K7" s="2338">
        <v>0.48</v>
      </c>
      <c r="L7" s="2339">
        <v>0.48</v>
      </c>
      <c r="M7" s="2361"/>
      <c r="N7" s="2377">
        <f t="shared" ref="N7" si="29">I7/100</f>
        <v>4.6999999999999993E-3</v>
      </c>
      <c r="O7" s="2362">
        <f t="shared" ref="O7" si="30">J7/100</f>
        <v>4.0999999999999995E-3</v>
      </c>
      <c r="P7" s="2362">
        <f t="shared" ref="P7" si="31">K7/100</f>
        <v>4.7999999999999996E-3</v>
      </c>
      <c r="Q7" s="2362">
        <f t="shared" ref="Q7" si="32">L7/100</f>
        <v>4.7999999999999996E-3</v>
      </c>
      <c r="R7" s="2378"/>
      <c r="S7" s="2377"/>
      <c r="T7" s="2362"/>
      <c r="U7" s="2362"/>
      <c r="V7" s="2362"/>
      <c r="W7" s="2379"/>
      <c r="X7" s="2379">
        <f>ROUND(IF(项目基本情况!B3="出让",SUMPRODUCT(PRODUCT(1+N7:N$37)),SUMPRODUCT(PRODUCT(1+N7:N$36))),4)</f>
        <v>1.6415999999999999</v>
      </c>
      <c r="Y7" s="2379">
        <f>ROUND(IF(项目基本情况!B3="出让",SUMPRODUCT(PRODUCT(1+O7:O$37)),SUMPRODUCT(PRODUCT(1+O7:O$36))),4)</f>
        <v>1.3644000000000001</v>
      </c>
      <c r="Z7" s="2379">
        <f t="shared" ref="Z7" si="33">Y7</f>
        <v>1.3644000000000001</v>
      </c>
      <c r="AA7" s="2379">
        <f>ROUND(IF(项目基本情况!B3="出让",SUMPRODUCT(PRODUCT(1+P7:P$37)),SUMPRODUCT(PRODUCT(1+P7:P$36))),4)</f>
        <v>1.7232000000000001</v>
      </c>
      <c r="AB7" s="2379">
        <f>ROUND(IF(项目基本情况!B3="出让",SUMPRODUCT(PRODUCT(1+Q7:Q$37)),SUMPRODUCT(PRODUCT(1+Q7:Q$36))),4)</f>
        <v>1.4529000000000001</v>
      </c>
      <c r="AC7" s="2379"/>
      <c r="AD7" s="2380">
        <f>ROUND(AVERAGE(I7:I$37)/100,4)</f>
        <v>1.72E-2</v>
      </c>
      <c r="AE7" s="2380">
        <f>ROUND(AVERAGE(J7:J$37)/100,4)</f>
        <v>1.09E-2</v>
      </c>
      <c r="AF7" s="2380">
        <f t="shared" ref="AF7" si="34">AE7</f>
        <v>1.09E-2</v>
      </c>
      <c r="AG7" s="2380">
        <f>ROUND(AVERAGE(K7:K$37)/100,4)</f>
        <v>1.89E-2</v>
      </c>
      <c r="AH7" s="2380">
        <f>ROUND(AVERAGE(L7:L$37)/100,4)</f>
        <v>1.26E-2</v>
      </c>
    </row>
    <row r="8" spans="1:34" s="2381" customFormat="1">
      <c r="A8" s="2374" t="s">
        <v>2816</v>
      </c>
      <c r="B8" s="2375">
        <f t="shared" ref="B8" si="35">B9*(1+N8)</f>
        <v>502.50893609650217</v>
      </c>
      <c r="C8" s="2375">
        <f t="shared" ref="C8" si="36">C9*(1+O8)</f>
        <v>350.27569313914915</v>
      </c>
      <c r="D8" s="2375">
        <f t="shared" ref="D8" si="37">C8</f>
        <v>350.27569313914915</v>
      </c>
      <c r="E8" s="2375">
        <f t="shared" ref="E8" si="38">E9*(1+P8)</f>
        <v>725.27220201394141</v>
      </c>
      <c r="F8" s="2375">
        <f t="shared" ref="F8" si="39">F9*(1+Q8)</f>
        <v>332.45017846012797</v>
      </c>
      <c r="G8" s="3010">
        <v>2021</v>
      </c>
      <c r="H8" s="2376">
        <v>2</v>
      </c>
      <c r="I8" s="2338">
        <v>0.92</v>
      </c>
      <c r="J8" s="2338">
        <v>0.72</v>
      </c>
      <c r="K8" s="2338">
        <v>0.95</v>
      </c>
      <c r="L8" s="2339">
        <v>1.01</v>
      </c>
      <c r="M8" s="2361"/>
      <c r="N8" s="2377">
        <f t="shared" ref="N8" si="40">I8/100</f>
        <v>9.1999999999999998E-3</v>
      </c>
      <c r="O8" s="2362">
        <f t="shared" ref="O8" si="41">J8/100</f>
        <v>7.1999999999999998E-3</v>
      </c>
      <c r="P8" s="2362">
        <f t="shared" ref="P8" si="42">K8/100</f>
        <v>9.4999999999999998E-3</v>
      </c>
      <c r="Q8" s="2362">
        <f t="shared" ref="Q8" si="43">L8/100</f>
        <v>1.01E-2</v>
      </c>
      <c r="R8" s="2378"/>
      <c r="S8" s="2377"/>
      <c r="T8" s="2362"/>
      <c r="U8" s="2362"/>
      <c r="V8" s="2362"/>
      <c r="W8" s="2379"/>
      <c r="X8" s="2379">
        <f>ROUND(IF(项目基本情况!B4="出让",SUMPRODUCT(PRODUCT(1+N8:N$37)),SUMPRODUCT(PRODUCT(1+N8:N$36))),4)</f>
        <v>1.6338999999999999</v>
      </c>
      <c r="Y8" s="2379">
        <f>ROUND(IF(项目基本情况!B4="出让",SUMPRODUCT(PRODUCT(1+O8:O$37)),SUMPRODUCT(PRODUCT(1+O8:O$36))),4)</f>
        <v>1.3588</v>
      </c>
      <c r="Z8" s="2379">
        <f t="shared" ref="Z8" si="44">Y8</f>
        <v>1.3588</v>
      </c>
      <c r="AA8" s="2379">
        <f>ROUND(IF(项目基本情况!B4="出让",SUMPRODUCT(PRODUCT(1+P8:P$37)),SUMPRODUCT(PRODUCT(1+P8:P$36))),4)</f>
        <v>1.7150000000000001</v>
      </c>
      <c r="AB8" s="2379">
        <f>ROUND(IF(项目基本情况!B4="出让",SUMPRODUCT(PRODUCT(1+Q8:Q$37)),SUMPRODUCT(PRODUCT(1+Q8:Q$36))),4)</f>
        <v>1.446</v>
      </c>
      <c r="AC8" s="2379"/>
      <c r="AD8" s="2380">
        <f>ROUND(AVERAGE(I8:I$37)/100,4)</f>
        <v>1.7600000000000001E-2</v>
      </c>
      <c r="AE8" s="2380">
        <f>ROUND(AVERAGE(J8:J$37)/100,4)</f>
        <v>1.11E-2</v>
      </c>
      <c r="AF8" s="2380">
        <f t="shared" ref="AF8" si="45">AE8</f>
        <v>1.11E-2</v>
      </c>
      <c r="AG8" s="2380">
        <f>ROUND(AVERAGE(K8:K$37)/100,4)</f>
        <v>1.9400000000000001E-2</v>
      </c>
      <c r="AH8" s="2380">
        <f>ROUND(AVERAGE(L8:L$37)/100,4)</f>
        <v>1.2800000000000001E-2</v>
      </c>
    </row>
    <row r="9" spans="1:34" s="2381" customFormat="1">
      <c r="A9" s="2374" t="s">
        <v>2815</v>
      </c>
      <c r="B9" s="2375">
        <f t="shared" ref="B9" si="46">B10*(1+N9)</f>
        <v>497.92799851020823</v>
      </c>
      <c r="C9" s="2375">
        <f t="shared" ref="C9" si="47">C10*(1+O9)</f>
        <v>347.77173663537445</v>
      </c>
      <c r="D9" s="2375">
        <f t="shared" ref="D9" si="48">C9</f>
        <v>347.77173663537445</v>
      </c>
      <c r="E9" s="2375">
        <f t="shared" ref="E9" si="49">E10*(1+P9)</f>
        <v>718.44695593258189</v>
      </c>
      <c r="F9" s="2375">
        <f t="shared" ref="F9" si="50">F10*(1+Q9)</f>
        <v>329.12600580153247</v>
      </c>
      <c r="G9" s="2994">
        <v>2021</v>
      </c>
      <c r="H9" s="2376">
        <v>1</v>
      </c>
      <c r="I9" s="2338">
        <v>0.97</v>
      </c>
      <c r="J9" s="2338">
        <v>0.16</v>
      </c>
      <c r="K9" s="2338">
        <v>1.1100000000000001</v>
      </c>
      <c r="L9" s="2339">
        <v>0.36</v>
      </c>
      <c r="M9" s="2361"/>
      <c r="N9" s="2377">
        <f t="shared" ref="N9" si="51">I9/100</f>
        <v>9.7000000000000003E-3</v>
      </c>
      <c r="O9" s="2362">
        <f t="shared" ref="O9" si="52">J9/100</f>
        <v>1.6000000000000001E-3</v>
      </c>
      <c r="P9" s="2362">
        <f t="shared" ref="P9" si="53">K9/100</f>
        <v>1.11E-2</v>
      </c>
      <c r="Q9" s="2362">
        <f t="shared" ref="Q9" si="54">L9/100</f>
        <v>3.5999999999999999E-3</v>
      </c>
      <c r="R9" s="2378"/>
      <c r="S9" s="2377">
        <f>B9/B10-1</f>
        <v>9.7000000000000419E-3</v>
      </c>
      <c r="T9" s="2362">
        <f t="shared" ref="T9" si="55">C9/C10-1</f>
        <v>1.6000000000000458E-3</v>
      </c>
      <c r="U9" s="2362">
        <f t="shared" ref="U9" si="56">D9/D10-1</f>
        <v>1.6000000000000458E-3</v>
      </c>
      <c r="V9" s="2362">
        <f t="shared" ref="V9" si="57">E9/E10-1</f>
        <v>1.110000000000011E-2</v>
      </c>
      <c r="W9" s="2379"/>
      <c r="X9" s="2379">
        <f>ROUND(IF(项目基本情况!B5="出让",SUMPRODUCT(PRODUCT(1+N9:N$37)),SUMPRODUCT(PRODUCT(1+N9:N$36))),4)</f>
        <v>1.619</v>
      </c>
      <c r="Y9" s="2379">
        <f>ROUND(IF(项目基本情况!B5="出让",SUMPRODUCT(PRODUCT(1+O9:O$37)),SUMPRODUCT(PRODUCT(1+O9:O$36))),4)</f>
        <v>1.3491</v>
      </c>
      <c r="Z9" s="2379">
        <f t="shared" ref="Z9" si="58">Y9</f>
        <v>1.3491</v>
      </c>
      <c r="AA9" s="2379">
        <f>ROUND(IF(项目基本情况!B5="出让",SUMPRODUCT(PRODUCT(1+P9:P$37)),SUMPRODUCT(PRODUCT(1+P9:P$36))),4)</f>
        <v>1.6988000000000001</v>
      </c>
      <c r="AB9" s="2379">
        <f>ROUND(IF(项目基本情况!B5="出让",SUMPRODUCT(PRODUCT(1+Q9:Q$37)),SUMPRODUCT(PRODUCT(1+Q9:Q$36))),4)</f>
        <v>1.4315</v>
      </c>
      <c r="AC9" s="2379"/>
      <c r="AD9" s="2380">
        <f>ROUND(AVERAGE(I9:I$37)/100,4)</f>
        <v>1.7899999999999999E-2</v>
      </c>
      <c r="AE9" s="2380">
        <f>ROUND(AVERAGE(J9:J$37)/100,4)</f>
        <v>1.12E-2</v>
      </c>
      <c r="AF9" s="2380">
        <f t="shared" ref="AF9" si="59">AE9</f>
        <v>1.12E-2</v>
      </c>
      <c r="AG9" s="2380">
        <f>ROUND(AVERAGE(K9:K$37)/100,4)</f>
        <v>1.9699999999999999E-2</v>
      </c>
      <c r="AH9" s="2380">
        <f>ROUND(AVERAGE(L9:L$37)/100,4)</f>
        <v>1.29E-2</v>
      </c>
    </row>
    <row r="10" spans="1:34" s="2381" customFormat="1">
      <c r="A10" s="2374" t="s">
        <v>2813</v>
      </c>
      <c r="B10" s="2375">
        <f t="shared" ref="B10" si="60">B11*(1+N10)</f>
        <v>493.14449689037161</v>
      </c>
      <c r="C10" s="2375">
        <f t="shared" ref="C10" si="61">C11*(1+O10)</f>
        <v>347.21619073020611</v>
      </c>
      <c r="D10" s="2375">
        <f t="shared" ref="D10" si="62">C10</f>
        <v>347.21619073020611</v>
      </c>
      <c r="E10" s="2375">
        <f t="shared" ref="E10" si="63">E11*(1+P10)</f>
        <v>710.55974278763904</v>
      </c>
      <c r="F10" s="2375">
        <f t="shared" ref="F10" si="64">F11*(1+Q10)</f>
        <v>327.94540235306141</v>
      </c>
      <c r="G10" s="2993">
        <v>2020</v>
      </c>
      <c r="H10" s="2376">
        <v>4</v>
      </c>
      <c r="I10" s="2338">
        <v>2.0699999999999998</v>
      </c>
      <c r="J10" s="2338">
        <v>0.37</v>
      </c>
      <c r="K10" s="2338">
        <v>2.35</v>
      </c>
      <c r="L10" s="2339">
        <v>2.69</v>
      </c>
      <c r="M10" s="2361"/>
      <c r="N10" s="2377">
        <f t="shared" ref="N10" si="65">I10/100</f>
        <v>2.07E-2</v>
      </c>
      <c r="O10" s="2362">
        <f t="shared" ref="O10" si="66">J10/100</f>
        <v>3.7000000000000002E-3</v>
      </c>
      <c r="P10" s="2362">
        <f t="shared" ref="P10" si="67">K10/100</f>
        <v>2.35E-2</v>
      </c>
      <c r="Q10" s="2362">
        <f t="shared" ref="Q10" si="68">L10/100</f>
        <v>2.69E-2</v>
      </c>
      <c r="R10" s="2378"/>
      <c r="S10" s="2377"/>
      <c r="T10" s="2362"/>
      <c r="U10" s="2362"/>
      <c r="V10" s="2362"/>
      <c r="W10" s="2379"/>
      <c r="X10" s="2379">
        <f>ROUND(IF(项目基本情况!B6="出让",SUMPRODUCT(PRODUCT(1+N10:N$37)),SUMPRODUCT(PRODUCT(1+N10:N$36))),4)</f>
        <v>1.6034999999999999</v>
      </c>
      <c r="Y10" s="2379">
        <f>ROUND(IF(项目基本情况!B6="出让",SUMPRODUCT(PRODUCT(1+O10:O$37)),SUMPRODUCT(PRODUCT(1+O10:O$36))),4)</f>
        <v>1.3469</v>
      </c>
      <c r="Z10" s="2379">
        <f t="shared" ref="Z10" si="69">Y10</f>
        <v>1.3469</v>
      </c>
      <c r="AA10" s="2379">
        <f>ROUND(IF(项目基本情况!B6="出让",SUMPRODUCT(PRODUCT(1+P10:P$37)),SUMPRODUCT(PRODUCT(1+P10:P$36))),4)</f>
        <v>1.6801999999999999</v>
      </c>
      <c r="AB10" s="2379">
        <f>ROUND(IF(项目基本情况!B6="出让",SUMPRODUCT(PRODUCT(1+Q10:Q$37)),SUMPRODUCT(PRODUCT(1+Q10:Q$36))),4)</f>
        <v>1.4263999999999999</v>
      </c>
      <c r="AC10" s="2379"/>
      <c r="AD10" s="2380">
        <f>ROUND(AVERAGE(I10:I$37)/100,4)</f>
        <v>1.8200000000000001E-2</v>
      </c>
      <c r="AE10" s="2380">
        <f>ROUND(AVERAGE(J10:J$37)/100,4)</f>
        <v>1.1599999999999999E-2</v>
      </c>
      <c r="AF10" s="2380">
        <f t="shared" ref="AF10" si="70">AE10</f>
        <v>1.1599999999999999E-2</v>
      </c>
      <c r="AG10" s="2380">
        <f>ROUND(AVERAGE(K10:K$37)/100,4)</f>
        <v>0.02</v>
      </c>
      <c r="AH10" s="2380">
        <f>ROUND(AVERAGE(L10:L$37)/100,4)</f>
        <v>1.3299999999999999E-2</v>
      </c>
    </row>
    <row r="11" spans="1:34" s="2381" customFormat="1">
      <c r="A11" s="2374" t="s">
        <v>2812</v>
      </c>
      <c r="B11" s="2375">
        <f t="shared" ref="B11" si="71">B12*(1+N11)</f>
        <v>483.1434279321756</v>
      </c>
      <c r="C11" s="2375">
        <f t="shared" ref="C11" si="72">C12*(1+O11)</f>
        <v>345.93622669144776</v>
      </c>
      <c r="D11" s="2375">
        <f t="shared" ref="D11" si="73">C11</f>
        <v>345.93622669144776</v>
      </c>
      <c r="E11" s="2375">
        <f t="shared" ref="E11" si="74">E12*(1+P11)</f>
        <v>694.24498562544113</v>
      </c>
      <c r="F11" s="2375">
        <f t="shared" ref="F11" si="75">F12*(1+Q11)</f>
        <v>319.35475932716082</v>
      </c>
      <c r="G11" s="2990">
        <v>2020</v>
      </c>
      <c r="H11" s="2376">
        <v>3</v>
      </c>
      <c r="I11" s="2338">
        <v>0.36</v>
      </c>
      <c r="J11" s="2338">
        <v>-0.39</v>
      </c>
      <c r="K11" s="2338">
        <v>0.49</v>
      </c>
      <c r="L11" s="2339">
        <v>7.0000000000000007E-2</v>
      </c>
      <c r="M11" s="2361"/>
      <c r="N11" s="2377">
        <f t="shared" ref="N11" si="76">I11/100</f>
        <v>3.5999999999999999E-3</v>
      </c>
      <c r="O11" s="2362">
        <f t="shared" ref="O11" si="77">J11/100</f>
        <v>-3.9000000000000003E-3</v>
      </c>
      <c r="P11" s="2362">
        <f t="shared" ref="P11" si="78">K11/100</f>
        <v>4.8999999999999998E-3</v>
      </c>
      <c r="Q11" s="2362">
        <f t="shared" ref="Q11" si="79">L11/100</f>
        <v>7.000000000000001E-4</v>
      </c>
      <c r="R11" s="2378"/>
      <c r="S11" s="2377"/>
      <c r="T11" s="2362"/>
      <c r="U11" s="2362"/>
      <c r="V11" s="2362"/>
      <c r="W11" s="2379"/>
      <c r="X11" s="2379">
        <f>ROUND(IF(项目基本情况!B7="出让",SUMPRODUCT(PRODUCT(1+N11:N$37)),SUMPRODUCT(PRODUCT(1+N11:N$36))),4)</f>
        <v>1.571</v>
      </c>
      <c r="Y11" s="2379">
        <f>ROUND(IF(项目基本情况!B7="出让",SUMPRODUCT(PRODUCT(1+O11:O$37)),SUMPRODUCT(PRODUCT(1+O11:O$36))),4)</f>
        <v>1.3420000000000001</v>
      </c>
      <c r="Z11" s="2379">
        <f t="shared" ref="Z11" si="80">Y11</f>
        <v>1.3420000000000001</v>
      </c>
      <c r="AA11" s="2379">
        <f>ROUND(IF(项目基本情况!B7="出让",SUMPRODUCT(PRODUCT(1+P11:P$37)),SUMPRODUCT(PRODUCT(1+P11:P$36))),4)</f>
        <v>1.6415999999999999</v>
      </c>
      <c r="AB11" s="2379">
        <f>ROUND(IF(项目基本情况!B7="出让",SUMPRODUCT(PRODUCT(1+Q11:Q$37)),SUMPRODUCT(PRODUCT(1+Q11:Q$36))),4)</f>
        <v>1.389</v>
      </c>
      <c r="AC11" s="2379"/>
      <c r="AD11" s="2380">
        <f>ROUND(AVERAGE(I11:I$37)/100,4)</f>
        <v>1.8100000000000002E-2</v>
      </c>
      <c r="AE11" s="2380">
        <f>ROUND(AVERAGE(J11:J$37)/100,4)</f>
        <v>1.1900000000000001E-2</v>
      </c>
      <c r="AF11" s="2380">
        <f t="shared" ref="AF11" si="81">AE11</f>
        <v>1.1900000000000001E-2</v>
      </c>
      <c r="AG11" s="2380">
        <f>ROUND(AVERAGE(K11:K$37)/100,4)</f>
        <v>1.9900000000000001E-2</v>
      </c>
      <c r="AH11" s="2380">
        <f>ROUND(AVERAGE(L11:L$37)/100,4)</f>
        <v>1.2800000000000001E-2</v>
      </c>
    </row>
    <row r="12" spans="1:34" s="2381" customFormat="1">
      <c r="A12" s="2374" t="s">
        <v>2630</v>
      </c>
      <c r="B12" s="2375">
        <f t="shared" ref="B12" si="82">B13*(1+N12)</f>
        <v>481.4103506697644</v>
      </c>
      <c r="C12" s="2375">
        <f t="shared" ref="C12" si="83">C13*(1+O12)</f>
        <v>347.29066026648707</v>
      </c>
      <c r="D12" s="2375">
        <f t="shared" ref="D12" si="84">C12</f>
        <v>347.29066026648707</v>
      </c>
      <c r="E12" s="2375">
        <f t="shared" ref="E12" si="85">E13*(1+P12)</f>
        <v>690.85977273901995</v>
      </c>
      <c r="F12" s="2375">
        <f t="shared" ref="F12" si="86">F13*(1+Q12)</f>
        <v>319.13136737000184</v>
      </c>
      <c r="G12" s="2365">
        <v>2020</v>
      </c>
      <c r="H12" s="2376">
        <v>2</v>
      </c>
      <c r="I12" s="2338">
        <v>0.31</v>
      </c>
      <c r="J12" s="2338">
        <v>-0.78</v>
      </c>
      <c r="K12" s="2338">
        <v>0.5</v>
      </c>
      <c r="L12" s="2339">
        <v>0.47</v>
      </c>
      <c r="M12" s="2361"/>
      <c r="N12" s="2377">
        <f t="shared" ref="N12" si="87">I12/100</f>
        <v>3.0999999999999999E-3</v>
      </c>
      <c r="O12" s="2362">
        <f t="shared" ref="O12" si="88">J12/100</f>
        <v>-7.8000000000000005E-3</v>
      </c>
      <c r="P12" s="2362">
        <f t="shared" ref="P12" si="89">K12/100</f>
        <v>5.0000000000000001E-3</v>
      </c>
      <c r="Q12" s="2362">
        <f t="shared" ref="Q12" si="90">L12/100</f>
        <v>4.6999999999999993E-3</v>
      </c>
      <c r="R12" s="2378"/>
      <c r="S12" s="2377"/>
      <c r="T12" s="2362"/>
      <c r="U12" s="2362"/>
      <c r="V12" s="2362"/>
      <c r="W12" s="2379"/>
      <c r="X12" s="2379">
        <f>ROUND(IF(项目基本情况!B8="出让",SUMPRODUCT(PRODUCT(1+N12:N$37)),SUMPRODUCT(PRODUCT(1+N12:N$36))),4)</f>
        <v>1.5652999999999999</v>
      </c>
      <c r="Y12" s="2379">
        <f>ROUND(IF(项目基本情况!B8="出让",SUMPRODUCT(PRODUCT(1+O12:O$37)),SUMPRODUCT(PRODUCT(1+O12:O$36))),4)</f>
        <v>1.3472</v>
      </c>
      <c r="Z12" s="2379">
        <f t="shared" ref="Z12" si="91">Y12</f>
        <v>1.3472</v>
      </c>
      <c r="AA12" s="2379">
        <f>ROUND(IF(项目基本情况!B8="出让",SUMPRODUCT(PRODUCT(1+P12:P$37)),SUMPRODUCT(PRODUCT(1+P12:P$36))),4)</f>
        <v>1.6335999999999999</v>
      </c>
      <c r="AB12" s="2379">
        <f>ROUND(IF(项目基本情况!B8="出让",SUMPRODUCT(PRODUCT(1+Q12:Q$37)),SUMPRODUCT(PRODUCT(1+Q12:Q$36))),4)</f>
        <v>1.3880999999999999</v>
      </c>
      <c r="AC12" s="2379"/>
      <c r="AD12" s="2380">
        <f>ROUND(AVERAGE(I12:I$37)/100,4)</f>
        <v>1.8599999999999998E-2</v>
      </c>
      <c r="AE12" s="2380">
        <f>ROUND(AVERAGE(J12:J$37)/100,4)</f>
        <v>1.2500000000000001E-2</v>
      </c>
      <c r="AF12" s="2380">
        <f t="shared" ref="AF12" si="92">AE12</f>
        <v>1.2500000000000001E-2</v>
      </c>
      <c r="AG12" s="2380">
        <f>ROUND(AVERAGE(K12:K$37)/100,4)</f>
        <v>2.0400000000000001E-2</v>
      </c>
      <c r="AH12" s="2380">
        <f>ROUND(AVERAGE(L12:L$37)/100,4)</f>
        <v>1.32E-2</v>
      </c>
    </row>
    <row r="13" spans="1:34" s="2381" customFormat="1">
      <c r="A13" s="2374" t="s">
        <v>2628</v>
      </c>
      <c r="B13" s="2375">
        <f t="shared" ref="B13" si="93">B14*(1+N13)</f>
        <v>479.92259063878413</v>
      </c>
      <c r="C13" s="2375">
        <f t="shared" ref="C13" si="94">C14*(1+O13)</f>
        <v>350.02082268341775</v>
      </c>
      <c r="D13" s="2375">
        <f t="shared" ref="D13" si="95">C13</f>
        <v>350.02082268341775</v>
      </c>
      <c r="E13" s="2375">
        <f t="shared" ref="E13" si="96">E14*(1+P13)</f>
        <v>687.42265944181099</v>
      </c>
      <c r="F13" s="2375">
        <f t="shared" ref="F13" si="97">F14*(1+Q13)</f>
        <v>317.63846657708956</v>
      </c>
      <c r="G13" s="2365">
        <v>2020</v>
      </c>
      <c r="H13" s="2376">
        <v>1</v>
      </c>
      <c r="I13" s="2338">
        <v>0.12</v>
      </c>
      <c r="J13" s="2338">
        <v>-0.4</v>
      </c>
      <c r="K13" s="2338">
        <v>0.21</v>
      </c>
      <c r="L13" s="2339">
        <v>0.27</v>
      </c>
      <c r="M13" s="2361"/>
      <c r="N13" s="2377">
        <f t="shared" ref="N13" si="98">I13/100</f>
        <v>1.1999999999999999E-3</v>
      </c>
      <c r="O13" s="2362">
        <f t="shared" ref="O13" si="99">J13/100</f>
        <v>-4.0000000000000001E-3</v>
      </c>
      <c r="P13" s="2362">
        <f t="shared" ref="P13" si="100">K13/100</f>
        <v>2.0999999999999999E-3</v>
      </c>
      <c r="Q13" s="2362">
        <f t="shared" ref="Q13" si="101">L13/100</f>
        <v>2.7000000000000001E-3</v>
      </c>
      <c r="R13" s="2378"/>
      <c r="S13" s="2377">
        <f>B13/B14-1</f>
        <v>1.2000000000000899E-3</v>
      </c>
      <c r="T13" s="2362">
        <f t="shared" ref="T13" si="102">C13/C14-1</f>
        <v>-4.0000000000000036E-3</v>
      </c>
      <c r="U13" s="2362">
        <f t="shared" ref="U13" si="103">D13/D14-1</f>
        <v>-4.0000000000000036E-3</v>
      </c>
      <c r="V13" s="2362">
        <f t="shared" ref="V13" si="104">E13/E14-1</f>
        <v>2.0999999999999908E-3</v>
      </c>
      <c r="W13" s="2379"/>
      <c r="X13" s="2379">
        <f>ROUND(IF(项目基本情况!B8="出让",SUMPRODUCT(PRODUCT(1+N13:N$37)),SUMPRODUCT(PRODUCT(1+N13:N$36))),4)</f>
        <v>1.5605</v>
      </c>
      <c r="Y13" s="2379">
        <f>ROUND(IF(项目基本情况!B8="出让",SUMPRODUCT(PRODUCT(1+O13:O$37)),SUMPRODUCT(PRODUCT(1+O13:O$36))),4)</f>
        <v>1.3577999999999999</v>
      </c>
      <c r="Z13" s="2379">
        <f t="shared" ref="Z13" si="105">Y13</f>
        <v>1.3577999999999999</v>
      </c>
      <c r="AA13" s="2379">
        <f>ROUND(IF(项目基本情况!B8="出让",SUMPRODUCT(PRODUCT(1+P13:P$37)),SUMPRODUCT(PRODUCT(1+P13:P$36))),4)</f>
        <v>1.6254999999999999</v>
      </c>
      <c r="AB13" s="2379">
        <f>ROUND(IF(项目基本情况!B8="出让",SUMPRODUCT(PRODUCT(1+Q13:Q$37)),SUMPRODUCT(PRODUCT(1+Q13:Q$36))),4)</f>
        <v>1.3815999999999999</v>
      </c>
      <c r="AC13" s="2379"/>
      <c r="AD13" s="2380">
        <f>ROUND(AVERAGE(I13:I$37)/100,4)</f>
        <v>1.9199999999999998E-2</v>
      </c>
      <c r="AE13" s="2380">
        <f>ROUND(AVERAGE(J13:J$37)/100,4)</f>
        <v>1.3299999999999999E-2</v>
      </c>
      <c r="AF13" s="2380">
        <f t="shared" ref="AF13" si="106">AE13</f>
        <v>1.3299999999999999E-2</v>
      </c>
      <c r="AG13" s="2380">
        <f>ROUND(AVERAGE(K13:K$37)/100,4)</f>
        <v>2.1100000000000001E-2</v>
      </c>
      <c r="AH13" s="2380">
        <f>ROUND(AVERAGE(L13:L$37)/100,4)</f>
        <v>1.3599999999999999E-2</v>
      </c>
    </row>
    <row r="14" spans="1:34" s="2381" customFormat="1">
      <c r="A14" s="2374" t="s">
        <v>2627</v>
      </c>
      <c r="B14" s="2375">
        <f t="shared" ref="B14" si="107">B15*(1+N14)</f>
        <v>479.34737379023579</v>
      </c>
      <c r="C14" s="2375">
        <f t="shared" ref="C14" si="108">C15*(1+O14)</f>
        <v>351.4265287986122</v>
      </c>
      <c r="D14" s="2375">
        <f t="shared" ref="D14" si="109">C14</f>
        <v>351.4265287986122</v>
      </c>
      <c r="E14" s="2375">
        <f t="shared" ref="E14" si="110">E15*(1+P14)</f>
        <v>685.98209703803116</v>
      </c>
      <c r="F14" s="2375">
        <f t="shared" ref="F14" si="111">F15*(1+Q14)</f>
        <v>316.78315206651001</v>
      </c>
      <c r="G14" s="2365">
        <v>2019</v>
      </c>
      <c r="H14" s="2376">
        <v>4</v>
      </c>
      <c r="I14" s="2376">
        <v>0.45</v>
      </c>
      <c r="J14" s="2376">
        <v>-0.12</v>
      </c>
      <c r="K14" s="2376">
        <v>0.54</v>
      </c>
      <c r="L14" s="2382">
        <v>0.48</v>
      </c>
      <c r="M14" s="2361"/>
      <c r="N14" s="2377">
        <f t="shared" ref="N14:N19" si="112">I14/100</f>
        <v>4.5000000000000005E-3</v>
      </c>
      <c r="O14" s="2362">
        <f t="shared" ref="O14" si="113">J14/100</f>
        <v>-1.1999999999999999E-3</v>
      </c>
      <c r="P14" s="2362">
        <f t="shared" ref="P14" si="114">K14/100</f>
        <v>5.4000000000000003E-3</v>
      </c>
      <c r="Q14" s="2362">
        <f t="shared" ref="Q14" si="115">L14/100</f>
        <v>4.7999999999999996E-3</v>
      </c>
      <c r="R14" s="2378"/>
      <c r="S14" s="2377"/>
      <c r="T14" s="2362"/>
      <c r="U14" s="2362"/>
      <c r="V14" s="2362"/>
      <c r="W14" s="2379"/>
      <c r="X14" s="2379">
        <f>ROUND(IF(项目基本情况!B8="出让",SUMPRODUCT(PRODUCT(1+N14:N$37)),SUMPRODUCT(PRODUCT(1+N14:N$36))),4)</f>
        <v>1.5586</v>
      </c>
      <c r="Y14" s="2379">
        <f>ROUND(IF(项目基本情况!B8="出让",SUMPRODUCT(PRODUCT(1+O14:O$37)),SUMPRODUCT(PRODUCT(1+O14:O$36))),4)</f>
        <v>1.3633</v>
      </c>
      <c r="Z14" s="2379">
        <f t="shared" ref="Z14" si="116">Y14</f>
        <v>1.3633</v>
      </c>
      <c r="AA14" s="2379">
        <f>ROUND(IF(项目基本情况!B8="出让",SUMPRODUCT(PRODUCT(1+P14:P$37)),SUMPRODUCT(PRODUCT(1+P14:P$36))),4)</f>
        <v>1.6221000000000001</v>
      </c>
      <c r="AB14" s="2379">
        <f>ROUND(IF(项目基本情况!B8="出让",SUMPRODUCT(PRODUCT(1+Q14:Q$37)),SUMPRODUCT(PRODUCT(1+Q14:Q$36))),4)</f>
        <v>1.3777999999999999</v>
      </c>
      <c r="AC14" s="2379"/>
      <c r="AD14" s="2380">
        <f>ROUND(AVERAGE(I14:I$37)/100,4)</f>
        <v>0.02</v>
      </c>
      <c r="AE14" s="2380">
        <f>ROUND(AVERAGE(J14:J$37)/100,4)</f>
        <v>1.4E-2</v>
      </c>
      <c r="AF14" s="2380">
        <f t="shared" ref="AF14" si="117">AE14</f>
        <v>1.4E-2</v>
      </c>
      <c r="AG14" s="2380">
        <f>ROUND(AVERAGE(K14:K$37)/100,4)</f>
        <v>2.1899999999999999E-2</v>
      </c>
      <c r="AH14" s="2380">
        <f>ROUND(AVERAGE(L14:L$37)/100,4)</f>
        <v>1.4E-2</v>
      </c>
    </row>
    <row r="15" spans="1:34" s="2381" customFormat="1" ht="13.5" thickBot="1">
      <c r="A15" s="2374" t="s">
        <v>2626</v>
      </c>
      <c r="B15" s="2375">
        <f t="shared" ref="B15" si="118">B16*(1+N15)</f>
        <v>477.19997390765138</v>
      </c>
      <c r="C15" s="2375">
        <f t="shared" ref="C15" si="119">C16*(1+O15)</f>
        <v>351.84874729536665</v>
      </c>
      <c r="D15" s="2375">
        <f t="shared" ref="D15" si="120">C15</f>
        <v>351.84874729536665</v>
      </c>
      <c r="E15" s="2375">
        <f t="shared" ref="E15" si="121">E16*(1+P15)</f>
        <v>682.29768951465201</v>
      </c>
      <c r="F15" s="2375">
        <f t="shared" ref="F15" si="122">F16*(1+Q15)</f>
        <v>315.26985675409043</v>
      </c>
      <c r="G15" s="2365">
        <v>2019</v>
      </c>
      <c r="H15" s="2376">
        <v>3</v>
      </c>
      <c r="I15" s="2376">
        <v>0.61</v>
      </c>
      <c r="J15" s="2376">
        <v>0.67</v>
      </c>
      <c r="K15" s="2376">
        <v>0.6</v>
      </c>
      <c r="L15" s="2382">
        <v>1.03</v>
      </c>
      <c r="M15" s="2361"/>
      <c r="N15" s="2377">
        <f t="shared" si="112"/>
        <v>6.0999999999999995E-3</v>
      </c>
      <c r="O15" s="2362">
        <f t="shared" ref="O15" si="123">J15/100</f>
        <v>6.7000000000000002E-3</v>
      </c>
      <c r="P15" s="2362">
        <f t="shared" ref="P15" si="124">K15/100</f>
        <v>6.0000000000000001E-3</v>
      </c>
      <c r="Q15" s="2362">
        <f t="shared" ref="Q15" si="125">L15/100</f>
        <v>1.03E-2</v>
      </c>
      <c r="R15" s="2378"/>
      <c r="S15" s="2377"/>
      <c r="T15" s="2362"/>
      <c r="U15" s="2362"/>
      <c r="V15" s="2362"/>
      <c r="W15" s="2379"/>
      <c r="X15" s="2379">
        <f>ROUND(IF(项目基本情况!B8="出让",SUMPRODUCT(PRODUCT(1+N15:N$37)),SUMPRODUCT(PRODUCT(1+N15:N$36))),4)</f>
        <v>1.5516000000000001</v>
      </c>
      <c r="Y15" s="2379">
        <f>ROUND(IF(项目基本情况!B8="出让",SUMPRODUCT(PRODUCT(1+O15:O$37)),SUMPRODUCT(PRODUCT(1+O15:O$36))),4)</f>
        <v>1.3649</v>
      </c>
      <c r="Z15" s="2379">
        <f t="shared" ref="Z15" si="126">Y15</f>
        <v>1.3649</v>
      </c>
      <c r="AA15" s="2379">
        <f>ROUND(IF(项目基本情况!B8="出让",SUMPRODUCT(PRODUCT(1+P15:P$37)),SUMPRODUCT(PRODUCT(1+P15:P$36))),4)</f>
        <v>1.6133999999999999</v>
      </c>
      <c r="AB15" s="2379">
        <f>ROUND(IF(项目基本情况!B8="出让",SUMPRODUCT(PRODUCT(1+Q15:Q$37)),SUMPRODUCT(PRODUCT(1+Q15:Q$36))),4)</f>
        <v>1.3713</v>
      </c>
      <c r="AC15" s="2379"/>
      <c r="AD15" s="2380">
        <f>ROUND(AVERAGE(I15:I$37)/100,4)</f>
        <v>2.07E-2</v>
      </c>
      <c r="AE15" s="2380">
        <f>ROUND(AVERAGE(J15:J$37)/100,4)</f>
        <v>1.47E-2</v>
      </c>
      <c r="AF15" s="2380">
        <f t="shared" ref="AF15" si="127">AE15</f>
        <v>1.47E-2</v>
      </c>
      <c r="AG15" s="2380">
        <f>ROUND(AVERAGE(K15:K$37)/100,4)</f>
        <v>2.2599999999999999E-2</v>
      </c>
      <c r="AH15" s="2380">
        <f>ROUND(AVERAGE(L15:L$37)/100,4)</f>
        <v>1.44E-2</v>
      </c>
    </row>
    <row r="16" spans="1:34" s="2381" customFormat="1">
      <c r="A16" s="2374" t="s">
        <v>2624</v>
      </c>
      <c r="B16" s="2375">
        <f t="shared" ref="B16" si="128">B17*(1+N16)</f>
        <v>474.30670301923408</v>
      </c>
      <c r="C16" s="2375">
        <f t="shared" ref="C16" si="129">C17*(1+O16)</f>
        <v>349.50705005996491</v>
      </c>
      <c r="D16" s="2375">
        <f t="shared" ref="D16" si="130">C16</f>
        <v>349.50705005996491</v>
      </c>
      <c r="E16" s="2375">
        <f t="shared" ref="E16" si="131">E17*(1+P16)</f>
        <v>678.22831959706957</v>
      </c>
      <c r="F16" s="2375">
        <f t="shared" ref="F16" si="132">F17*(1+Q16)</f>
        <v>312.0556832169558</v>
      </c>
      <c r="G16" s="2365">
        <v>2019</v>
      </c>
      <c r="H16" s="2383">
        <v>2</v>
      </c>
      <c r="I16" s="2383">
        <v>1.53</v>
      </c>
      <c r="J16" s="2383">
        <v>1.01</v>
      </c>
      <c r="K16" s="2383">
        <v>1.62</v>
      </c>
      <c r="L16" s="2384">
        <v>1.25</v>
      </c>
      <c r="M16" s="2361"/>
      <c r="N16" s="2377">
        <f t="shared" si="112"/>
        <v>1.5300000000000001E-2</v>
      </c>
      <c r="O16" s="2362">
        <f t="shared" ref="O16" si="133">J16/100</f>
        <v>1.01E-2</v>
      </c>
      <c r="P16" s="2362">
        <f t="shared" ref="P16" si="134">K16/100</f>
        <v>1.6200000000000003E-2</v>
      </c>
      <c r="Q16" s="2362">
        <f t="shared" ref="Q16" si="135">L16/100</f>
        <v>1.2500000000000001E-2</v>
      </c>
      <c r="R16" s="2378"/>
      <c r="S16" s="2377"/>
      <c r="T16" s="2362"/>
      <c r="U16" s="2362"/>
      <c r="V16" s="2362"/>
      <c r="W16" s="2379"/>
      <c r="X16" s="2379">
        <f>ROUND(IF(项目基本情况!B8="出让",SUMPRODUCT(PRODUCT(1+N16:N$37)),SUMPRODUCT(PRODUCT(1+N16:N$36))),4)</f>
        <v>1.5422</v>
      </c>
      <c r="Y16" s="2379">
        <f>ROUND(IF(项目基本情况!B8="出让",SUMPRODUCT(PRODUCT(1+O16:O$37)),SUMPRODUCT(PRODUCT(1+O16:O$36))),4)</f>
        <v>1.3557999999999999</v>
      </c>
      <c r="Z16" s="2379">
        <f t="shared" ref="Z16" si="136">Y16</f>
        <v>1.3557999999999999</v>
      </c>
      <c r="AA16" s="2379">
        <f>ROUND(IF(项目基本情况!B8="出让",SUMPRODUCT(PRODUCT(1+P16:P$37)),SUMPRODUCT(PRODUCT(1+P16:P$36))),4)</f>
        <v>1.6036999999999999</v>
      </c>
      <c r="AB16" s="2379">
        <f>ROUND(IF(项目基本情况!B8="出让",SUMPRODUCT(PRODUCT(1+Q16:Q$37)),SUMPRODUCT(PRODUCT(1+Q16:Q$36))),4)</f>
        <v>1.3573</v>
      </c>
      <c r="AC16" s="2379"/>
      <c r="AD16" s="2380">
        <f>ROUND(AVERAGE(I16:I$37)/100,4)</f>
        <v>2.1299999999999999E-2</v>
      </c>
      <c r="AE16" s="2380">
        <f>ROUND(AVERAGE(J16:J$37)/100,4)</f>
        <v>1.4999999999999999E-2</v>
      </c>
      <c r="AF16" s="2380">
        <f t="shared" ref="AF16" si="137">AE16</f>
        <v>1.4999999999999999E-2</v>
      </c>
      <c r="AG16" s="2380">
        <f>ROUND(AVERAGE(K16:K$37)/100,4)</f>
        <v>2.3300000000000001E-2</v>
      </c>
      <c r="AH16" s="2380">
        <f>ROUND(AVERAGE(L16:L$37)/100,4)</f>
        <v>1.46E-2</v>
      </c>
    </row>
    <row r="17" spans="1:34" s="2381" customFormat="1" ht="13.5" thickBot="1">
      <c r="A17" s="2374" t="s">
        <v>2622</v>
      </c>
      <c r="B17" s="2375">
        <f t="shared" ref="B17" si="138">B18*(1+N17)</f>
        <v>467.15916775261894</v>
      </c>
      <c r="C17" s="2375">
        <f t="shared" ref="C17" si="139">C18*(1+O17)</f>
        <v>346.01232557169084</v>
      </c>
      <c r="D17" s="2375">
        <f t="shared" ref="D17" si="140">C17</f>
        <v>346.01232557169084</v>
      </c>
      <c r="E17" s="2375">
        <f t="shared" ref="E17" si="141">E18*(1+P17)</f>
        <v>667.41617752122568</v>
      </c>
      <c r="F17" s="2375">
        <f t="shared" ref="F17" si="142">F18*(1+Q17)</f>
        <v>308.20314391798104</v>
      </c>
      <c r="G17" s="2365">
        <v>2019</v>
      </c>
      <c r="H17" s="2376">
        <v>1</v>
      </c>
      <c r="I17" s="2376">
        <v>0.6</v>
      </c>
      <c r="J17" s="2376">
        <v>0.37</v>
      </c>
      <c r="K17" s="2376">
        <v>0.63</v>
      </c>
      <c r="L17" s="2382">
        <v>1.1299999999999999</v>
      </c>
      <c r="M17" s="2361"/>
      <c r="N17" s="2377">
        <f t="shared" si="112"/>
        <v>6.0000000000000001E-3</v>
      </c>
      <c r="O17" s="2362">
        <f t="shared" ref="O17" si="143">J17/100</f>
        <v>3.7000000000000002E-3</v>
      </c>
      <c r="P17" s="2362">
        <f t="shared" ref="P17" si="144">K17/100</f>
        <v>6.3E-3</v>
      </c>
      <c r="Q17" s="2362">
        <f t="shared" ref="Q17" si="145">L17/100</f>
        <v>1.1299999999999999E-2</v>
      </c>
      <c r="R17" s="2378"/>
      <c r="S17" s="2377">
        <f>B17/B18-1</f>
        <v>6.0000000000000053E-3</v>
      </c>
      <c r="T17" s="2362">
        <f t="shared" ref="T17" si="146">C17/C18-1</f>
        <v>3.7000000000000366E-3</v>
      </c>
      <c r="U17" s="2362">
        <f t="shared" ref="U17" si="147">D17/D18-1</f>
        <v>3.7000000000000366E-3</v>
      </c>
      <c r="V17" s="2362">
        <f t="shared" ref="V17" si="148">E17/E18-1</f>
        <v>6.2999999999999723E-3</v>
      </c>
      <c r="W17" s="2379"/>
      <c r="X17" s="2379">
        <f>ROUND(IF(项目基本情况!B8="出让",SUMPRODUCT(PRODUCT(1+N17:N$37)),SUMPRODUCT(PRODUCT(1+N17:N$36))),4)</f>
        <v>1.5189999999999999</v>
      </c>
      <c r="Y17" s="2379">
        <f>ROUND(IF(项目基本情况!B8="出让",SUMPRODUCT(PRODUCT(1+O17:O$37)),SUMPRODUCT(PRODUCT(1+O17:O$36))),4)</f>
        <v>1.3423</v>
      </c>
      <c r="Z17" s="2379">
        <f t="shared" ref="Z17" si="149">Y17</f>
        <v>1.3423</v>
      </c>
      <c r="AA17" s="2379">
        <f>ROUND(IF(项目基本情况!B8="出让",SUMPRODUCT(PRODUCT(1+P17:P$37)),SUMPRODUCT(PRODUCT(1+P17:P$36))),4)</f>
        <v>1.5782</v>
      </c>
      <c r="AB17" s="2379">
        <f>ROUND(IF(项目基本情况!B8="出让",SUMPRODUCT(PRODUCT(1+Q17:Q$37)),SUMPRODUCT(PRODUCT(1+Q17:Q$36))),4)</f>
        <v>1.3405</v>
      </c>
      <c r="AC17" s="2379"/>
      <c r="AD17" s="2380">
        <f>ROUND(AVERAGE(I17:I$37)/100,4)</f>
        <v>2.1600000000000001E-2</v>
      </c>
      <c r="AE17" s="2380">
        <f>ROUND(AVERAGE(J17:J$37)/100,4)</f>
        <v>1.5299999999999999E-2</v>
      </c>
      <c r="AF17" s="2380">
        <f t="shared" ref="AF17" si="150">AE17</f>
        <v>1.5299999999999999E-2</v>
      </c>
      <c r="AG17" s="2380">
        <f>ROUND(AVERAGE(K17:K$37)/100,4)</f>
        <v>2.3699999999999999E-2</v>
      </c>
      <c r="AH17" s="2380">
        <f>ROUND(AVERAGE(L17:L$37)/100,4)</f>
        <v>1.47E-2</v>
      </c>
    </row>
    <row r="18" spans="1:34" s="2381" customFormat="1">
      <c r="A18" s="2374" t="s">
        <v>2625</v>
      </c>
      <c r="B18" s="2385">
        <f t="shared" ref="B18" si="151">B19*(1+N18)</f>
        <v>464.37293017158942</v>
      </c>
      <c r="C18" s="2385">
        <f t="shared" ref="C18" si="152">C19*(1+O18)</f>
        <v>344.73679941385956</v>
      </c>
      <c r="D18" s="2385">
        <f t="shared" ref="D18" si="153">C18</f>
        <v>344.73679941385956</v>
      </c>
      <c r="E18" s="2385">
        <f t="shared" ref="E18" si="154">E19*(1+P18)</f>
        <v>663.2377795103107</v>
      </c>
      <c r="F18" s="2386">
        <f t="shared" ref="F18" si="155">F19*(1+Q18)</f>
        <v>304.75936311478398</v>
      </c>
      <c r="G18" s="3561">
        <v>2018</v>
      </c>
      <c r="H18" s="2383">
        <v>4</v>
      </c>
      <c r="I18" s="2383">
        <v>0.96</v>
      </c>
      <c r="J18" s="2383">
        <v>1.03</v>
      </c>
      <c r="K18" s="2383">
        <v>0.92</v>
      </c>
      <c r="L18" s="2384">
        <v>1.29</v>
      </c>
      <c r="M18" s="2361"/>
      <c r="N18" s="2377">
        <f t="shared" si="112"/>
        <v>9.5999999999999992E-3</v>
      </c>
      <c r="O18" s="2362">
        <f t="shared" ref="O18" si="156">J18/100</f>
        <v>1.03E-2</v>
      </c>
      <c r="P18" s="2362">
        <f t="shared" ref="P18" si="157">K18/100</f>
        <v>9.1999999999999998E-3</v>
      </c>
      <c r="Q18" s="2362">
        <f t="shared" ref="Q18" si="158">L18/100</f>
        <v>1.29E-2</v>
      </c>
      <c r="R18" s="2378"/>
      <c r="S18" s="2377"/>
      <c r="T18" s="2362"/>
      <c r="U18" s="2362"/>
      <c r="V18" s="2362"/>
      <c r="W18" s="2379"/>
      <c r="X18" s="2379">
        <f>ROUND(SUMPRODUCT(PRODUCT(1+N18:N$36)),4)</f>
        <v>1.5099</v>
      </c>
      <c r="Y18" s="2379">
        <f>ROUND(SUMPRODUCT(PRODUCT(1+O18:O$36)),4)</f>
        <v>1.3372999999999999</v>
      </c>
      <c r="Z18" s="2379">
        <f t="shared" ref="Z18" si="159">Y18</f>
        <v>1.3372999999999999</v>
      </c>
      <c r="AA18" s="2379">
        <f>ROUND(SUMPRODUCT(PRODUCT(1+P18:P$36)),4)</f>
        <v>1.5683</v>
      </c>
      <c r="AB18" s="2379">
        <f>ROUND(SUMPRODUCT(PRODUCT(1+Q18:Q$36)),4)</f>
        <v>1.3255999999999999</v>
      </c>
      <c r="AC18" s="2379"/>
      <c r="AD18" s="2380">
        <f>ROUND(AVERAGE(I18:I$37)/100,4)</f>
        <v>2.24E-2</v>
      </c>
      <c r="AE18" s="2380">
        <f>ROUND(AVERAGE(J18:J$37)/100,4)</f>
        <v>1.5800000000000002E-2</v>
      </c>
      <c r="AF18" s="2380">
        <f t="shared" ref="AF18" si="160">AE18</f>
        <v>1.5800000000000002E-2</v>
      </c>
      <c r="AG18" s="2380">
        <f>ROUND(AVERAGE(K18:K$37)/100,4)</f>
        <v>2.4500000000000001E-2</v>
      </c>
      <c r="AH18" s="2380">
        <f>ROUND(AVERAGE(L18:L$37)/100,4)</f>
        <v>1.49E-2</v>
      </c>
    </row>
    <row r="19" spans="1:34" s="2381" customFormat="1" ht="14.45" customHeight="1">
      <c r="A19" s="2374" t="s">
        <v>2620</v>
      </c>
      <c r="B19" s="2375">
        <f t="shared" ref="B19" si="161">B20*(1+N19)</f>
        <v>459.95733971036987</v>
      </c>
      <c r="C19" s="2375">
        <f t="shared" ref="C19" si="162">C20*(1+O19)</f>
        <v>341.22221064422405</v>
      </c>
      <c r="D19" s="2375">
        <f t="shared" ref="D19" si="163">C19</f>
        <v>341.22221064422405</v>
      </c>
      <c r="E19" s="2375">
        <f t="shared" ref="E19" si="164">E20*(1+P19)</f>
        <v>657.19161663724799</v>
      </c>
      <c r="F19" s="2375">
        <f t="shared" ref="F19" si="165">F20*(1+Q19)</f>
        <v>300.87803644464805</v>
      </c>
      <c r="G19" s="3561"/>
      <c r="H19" s="2376">
        <v>3</v>
      </c>
      <c r="I19" s="2376">
        <v>1.51</v>
      </c>
      <c r="J19" s="2376">
        <v>1.41</v>
      </c>
      <c r="K19" s="2376">
        <v>1.52</v>
      </c>
      <c r="L19" s="2382">
        <v>1.74</v>
      </c>
      <c r="M19" s="2361"/>
      <c r="N19" s="2377">
        <f t="shared" si="112"/>
        <v>1.5100000000000001E-2</v>
      </c>
      <c r="O19" s="2362">
        <f t="shared" ref="O19" si="166">J19/100</f>
        <v>1.41E-2</v>
      </c>
      <c r="P19" s="2362">
        <f t="shared" ref="P19" si="167">K19/100</f>
        <v>1.52E-2</v>
      </c>
      <c r="Q19" s="2362">
        <f t="shared" ref="Q19" si="168">L19/100</f>
        <v>1.7399999999999999E-2</v>
      </c>
      <c r="R19" s="2378"/>
      <c r="S19" s="2377"/>
      <c r="T19" s="2362"/>
      <c r="U19" s="2362"/>
      <c r="V19" s="2362"/>
      <c r="W19" s="2379"/>
      <c r="X19" s="2379">
        <f>ROUND(SUMPRODUCT(PRODUCT(1+N19:N$36)),4)</f>
        <v>1.4956</v>
      </c>
      <c r="Y19" s="2379">
        <f>ROUND(SUMPRODUCT(PRODUCT(1+O19:O$36)),4)</f>
        <v>1.3237000000000001</v>
      </c>
      <c r="Z19" s="2379">
        <f t="shared" ref="Z19" si="169">Y19</f>
        <v>1.3237000000000001</v>
      </c>
      <c r="AA19" s="2379">
        <f>ROUND(SUMPRODUCT(PRODUCT(1+P19:P$36)),4)</f>
        <v>1.554</v>
      </c>
      <c r="AB19" s="2379">
        <f>ROUND(SUMPRODUCT(PRODUCT(1+Q19:Q$36)),4)</f>
        <v>1.3087</v>
      </c>
      <c r="AC19" s="2379"/>
      <c r="AD19" s="2380">
        <f>ROUND(AVERAGE(I19:I$37)/100,4)</f>
        <v>2.3099999999999999E-2</v>
      </c>
      <c r="AE19" s="2380">
        <f>ROUND(AVERAGE(J19:J$37)/100,4)</f>
        <v>1.61E-2</v>
      </c>
      <c r="AF19" s="2380">
        <f t="shared" ref="AF19" si="170">AE19</f>
        <v>1.61E-2</v>
      </c>
      <c r="AG19" s="2380">
        <f>ROUND(AVERAGE(K19:K$37)/100,4)</f>
        <v>2.53E-2</v>
      </c>
      <c r="AH19" s="2380">
        <f>ROUND(AVERAGE(L19:L$37)/100,4)</f>
        <v>1.4999999999999999E-2</v>
      </c>
    </row>
    <row r="20" spans="1:34" s="2381" customFormat="1" ht="14.45" customHeight="1">
      <c r="A20" s="2374" t="s">
        <v>2619</v>
      </c>
      <c r="B20" s="2375">
        <f t="shared" ref="B20" si="171">B21*(1+N20)</f>
        <v>453.11529869999993</v>
      </c>
      <c r="C20" s="2375">
        <f t="shared" ref="C20" si="172">C21*(1+O20)</f>
        <v>336.47787264000004</v>
      </c>
      <c r="D20" s="2375">
        <f t="shared" ref="D20" si="173">C20</f>
        <v>336.47787264000004</v>
      </c>
      <c r="E20" s="2375">
        <f t="shared" ref="E20" si="174">E21*(1+P20)</f>
        <v>647.35186823999993</v>
      </c>
      <c r="F20" s="2375">
        <f t="shared" ref="F20" si="175">F21*(1+Q20)</f>
        <v>295.73229452000004</v>
      </c>
      <c r="G20" s="3561"/>
      <c r="H20" s="2387">
        <v>2</v>
      </c>
      <c r="I20" s="2387">
        <v>1.49</v>
      </c>
      <c r="J20" s="2387">
        <v>0.96</v>
      </c>
      <c r="K20" s="2387">
        <v>1.58</v>
      </c>
      <c r="L20" s="2388">
        <v>2.44</v>
      </c>
      <c r="M20" s="2361"/>
      <c r="N20" s="2377">
        <f t="shared" ref="N20" si="176">I20/100</f>
        <v>1.49E-2</v>
      </c>
      <c r="O20" s="2362">
        <f t="shared" ref="O20" si="177">J20/100</f>
        <v>9.5999999999999992E-3</v>
      </c>
      <c r="P20" s="2362">
        <f t="shared" ref="P20" si="178">K20/100</f>
        <v>1.5800000000000002E-2</v>
      </c>
      <c r="Q20" s="2362">
        <f t="shared" ref="Q20" si="179">L20/100</f>
        <v>2.4399999999999998E-2</v>
      </c>
      <c r="R20" s="2378"/>
      <c r="S20" s="2377"/>
      <c r="T20" s="2362"/>
      <c r="U20" s="2362"/>
      <c r="V20" s="2362"/>
      <c r="W20" s="2379"/>
      <c r="X20" s="2379">
        <f>ROUND(SUMPRODUCT(PRODUCT(1+N20:N$36)),4)</f>
        <v>1.4733000000000001</v>
      </c>
      <c r="Y20" s="2379">
        <f>ROUND(SUMPRODUCT(PRODUCT(1+O20:O$36)),4)</f>
        <v>1.3052999999999999</v>
      </c>
      <c r="Z20" s="2379">
        <f t="shared" ref="Z20" si="180">Y20</f>
        <v>1.3052999999999999</v>
      </c>
      <c r="AA20" s="2379">
        <f>ROUND(SUMPRODUCT(PRODUCT(1+P20:P$36)),4)</f>
        <v>1.5306999999999999</v>
      </c>
      <c r="AB20" s="2379">
        <f>ROUND(SUMPRODUCT(PRODUCT(1+Q20:Q$36)),4)</f>
        <v>1.2863</v>
      </c>
      <c r="AC20" s="2379"/>
      <c r="AD20" s="2380">
        <f>ROUND(AVERAGE(I20:I$37)/100,4)</f>
        <v>2.35E-2</v>
      </c>
      <c r="AE20" s="2380">
        <f>ROUND(AVERAGE(J20:J$37)/100,4)</f>
        <v>1.6199999999999999E-2</v>
      </c>
      <c r="AF20" s="2380">
        <f t="shared" ref="AF20" si="181">AE20</f>
        <v>1.6199999999999999E-2</v>
      </c>
      <c r="AG20" s="2380">
        <f>ROUND(AVERAGE(K20:K$37)/100,4)</f>
        <v>2.5899999999999999E-2</v>
      </c>
      <c r="AH20" s="2380">
        <f>ROUND(AVERAGE(L20:L$37)/100,4)</f>
        <v>1.49E-2</v>
      </c>
    </row>
    <row r="21" spans="1:34" s="2381" customFormat="1" ht="15" customHeight="1" thickBot="1">
      <c r="A21" s="2374" t="s">
        <v>2612</v>
      </c>
      <c r="B21" s="2375">
        <f t="shared" ref="B21" si="182">B22*(1+N21)</f>
        <v>446.46299999999997</v>
      </c>
      <c r="C21" s="2375">
        <f t="shared" ref="C21" si="183">C22*(1+O21)</f>
        <v>333.27840000000003</v>
      </c>
      <c r="D21" s="2375">
        <f t="shared" ref="D21" si="184">C21</f>
        <v>333.27840000000003</v>
      </c>
      <c r="E21" s="2375">
        <f t="shared" ref="E21" si="185">E22*(1+P21)</f>
        <v>637.28279999999995</v>
      </c>
      <c r="F21" s="2375">
        <f t="shared" ref="F21" si="186">F22*(1+Q21)</f>
        <v>288.68830000000003</v>
      </c>
      <c r="G21" s="3568"/>
      <c r="H21" s="2376">
        <v>1</v>
      </c>
      <c r="I21" s="2376">
        <v>1.7</v>
      </c>
      <c r="J21" s="2376">
        <v>1.92</v>
      </c>
      <c r="K21" s="2376">
        <v>1.64</v>
      </c>
      <c r="L21" s="2382">
        <v>2.0099999999999998</v>
      </c>
      <c r="M21" s="2361"/>
      <c r="N21" s="2377">
        <f t="shared" ref="N21:N26" si="187">I21/100</f>
        <v>1.7000000000000001E-2</v>
      </c>
      <c r="O21" s="2362">
        <f t="shared" ref="O21" si="188">J21/100</f>
        <v>1.9199999999999998E-2</v>
      </c>
      <c r="P21" s="2362">
        <f t="shared" ref="P21" si="189">K21/100</f>
        <v>1.6399999999999998E-2</v>
      </c>
      <c r="Q21" s="2362">
        <f t="shared" ref="Q21" si="190">L21/100</f>
        <v>2.0099999999999996E-2</v>
      </c>
      <c r="R21" s="2378"/>
      <c r="S21" s="2377">
        <f>B21/B22-1</f>
        <v>1.6999999999999904E-2</v>
      </c>
      <c r="T21" s="2362">
        <f t="shared" ref="T21" si="191">C21/C22-1</f>
        <v>1.9200000000000106E-2</v>
      </c>
      <c r="U21" s="2362">
        <f t="shared" ref="U21" si="192">D21/D22-1</f>
        <v>1.9200000000000106E-2</v>
      </c>
      <c r="V21" s="2362">
        <f t="shared" ref="V21" si="193">E21/E22-1</f>
        <v>1.639999999999997E-2</v>
      </c>
      <c r="W21" s="2379"/>
      <c r="X21" s="2379">
        <f>ROUND(SUMPRODUCT(PRODUCT(1+N21:N$36)),4)</f>
        <v>1.4517</v>
      </c>
      <c r="Y21" s="2379">
        <f>ROUND(SUMPRODUCT(PRODUCT(1+O21:O$36)),4)</f>
        <v>1.2928999999999999</v>
      </c>
      <c r="Z21" s="2379">
        <f t="shared" ref="Z21" si="194">Y21</f>
        <v>1.2928999999999999</v>
      </c>
      <c r="AA21" s="2379">
        <f>ROUND(SUMPRODUCT(PRODUCT(1+P21:P$36)),4)</f>
        <v>1.5068999999999999</v>
      </c>
      <c r="AB21" s="2379">
        <f>ROUND(SUMPRODUCT(PRODUCT(1+Q21:Q$36)),4)</f>
        <v>1.2557</v>
      </c>
      <c r="AC21" s="2379"/>
      <c r="AD21" s="2380">
        <f>ROUND(AVERAGE(I21:I$37)/100,4)</f>
        <v>2.4E-2</v>
      </c>
      <c r="AE21" s="2380">
        <f>ROUND(AVERAGE(J21:J$37)/100,4)</f>
        <v>1.66E-2</v>
      </c>
      <c r="AF21" s="2380">
        <f t="shared" ref="AF21" si="195">AE21</f>
        <v>1.66E-2</v>
      </c>
      <c r="AG21" s="2380">
        <f>ROUND(AVERAGE(K21:K$37)/100,4)</f>
        <v>2.6499999999999999E-2</v>
      </c>
      <c r="AH21" s="2380">
        <f>ROUND(AVERAGE(L21:L$37)/100,4)</f>
        <v>1.43E-2</v>
      </c>
    </row>
    <row r="22" spans="1:34">
      <c r="A22" s="2374" t="s">
        <v>2610</v>
      </c>
      <c r="B22" s="2389">
        <v>439</v>
      </c>
      <c r="C22" s="2389">
        <v>327</v>
      </c>
      <c r="D22" s="2389">
        <f>C22</f>
        <v>327</v>
      </c>
      <c r="E22" s="2389">
        <v>627</v>
      </c>
      <c r="F22" s="2390">
        <v>283</v>
      </c>
      <c r="G22" s="3564">
        <v>2017</v>
      </c>
      <c r="H22" s="2383">
        <v>4</v>
      </c>
      <c r="I22" s="2383">
        <v>1.71</v>
      </c>
      <c r="J22" s="2383">
        <v>1.78</v>
      </c>
      <c r="K22" s="2383">
        <v>1.71</v>
      </c>
      <c r="L22" s="2384">
        <v>1.43</v>
      </c>
      <c r="N22" s="2377">
        <f t="shared" si="187"/>
        <v>1.7100000000000001E-2</v>
      </c>
      <c r="O22" s="2362">
        <f t="shared" ref="O22" si="196">J22/100</f>
        <v>1.78E-2</v>
      </c>
      <c r="P22" s="2362">
        <f t="shared" ref="P22" si="197">K22/100</f>
        <v>1.7100000000000001E-2</v>
      </c>
      <c r="Q22" s="2362">
        <f t="shared" ref="Q22" si="198">L22/100</f>
        <v>1.43E-2</v>
      </c>
      <c r="R22" s="2378"/>
      <c r="S22" s="2391"/>
      <c r="T22" s="2392"/>
      <c r="U22" s="2392"/>
      <c r="V22" s="2392"/>
      <c r="X22" s="2361">
        <f>ROUND(SUMPRODUCT(PRODUCT(1+N22:N$36)),4)</f>
        <v>1.4274</v>
      </c>
      <c r="Y22" s="2361">
        <f>ROUND(SUMPRODUCT(PRODUCT(1+O22:O$36)),4)</f>
        <v>1.2685</v>
      </c>
      <c r="Z22" s="2361">
        <f t="shared" si="0"/>
        <v>1.2685</v>
      </c>
      <c r="AA22" s="2361">
        <f>ROUND(SUMPRODUCT(PRODUCT(1+P22:P$36)),4)</f>
        <v>1.4825999999999999</v>
      </c>
      <c r="AB22" s="2361">
        <f>ROUND(SUMPRODUCT(PRODUCT(1+Q22:Q$36)),4)</f>
        <v>1.2309000000000001</v>
      </c>
      <c r="AD22" s="2362">
        <f>ROUND(AVERAGE(I22:I$37)/100,4)</f>
        <v>2.4500000000000001E-2</v>
      </c>
      <c r="AE22" s="2362">
        <f>ROUND(AVERAGE(J22:J$37)/100,4)</f>
        <v>1.6500000000000001E-2</v>
      </c>
      <c r="AF22" s="2362">
        <f t="shared" si="1"/>
        <v>1.6500000000000001E-2</v>
      </c>
      <c r="AG22" s="2362">
        <f>ROUND(AVERAGE(K22:K$37)/100,4)</f>
        <v>2.7099999999999999E-2</v>
      </c>
      <c r="AH22" s="2362">
        <f>ROUND(AVERAGE(L22:L$37)/100,4)</f>
        <v>1.3899999999999999E-2</v>
      </c>
    </row>
    <row r="23" spans="1:34" s="2381" customFormat="1" ht="14.45" customHeight="1">
      <c r="A23" s="2374" t="s">
        <v>2611</v>
      </c>
      <c r="B23" s="2375">
        <f t="shared" ref="B23:B24" si="199">B24*(1+N23)</f>
        <v>431.80730811680002</v>
      </c>
      <c r="C23" s="2375">
        <f t="shared" ref="C23:C24" si="200">C24*(1+O23)</f>
        <v>320.57880516480003</v>
      </c>
      <c r="D23" s="2375">
        <f t="shared" ref="D23:D24" si="201">C23</f>
        <v>320.57880516480003</v>
      </c>
      <c r="E23" s="2375">
        <f t="shared" ref="E23:E24" si="202">E24*(1+P23)</f>
        <v>615.96110553196797</v>
      </c>
      <c r="F23" s="2375">
        <f t="shared" ref="F23:F24" si="203">F24*(1+Q23)</f>
        <v>279.46777300108801</v>
      </c>
      <c r="G23" s="3561"/>
      <c r="H23" s="2376">
        <v>3</v>
      </c>
      <c r="I23" s="2376">
        <v>2.98</v>
      </c>
      <c r="J23" s="2376">
        <v>2.11</v>
      </c>
      <c r="K23" s="2376">
        <v>3.24</v>
      </c>
      <c r="L23" s="2382">
        <v>1.72</v>
      </c>
      <c r="M23" s="2361"/>
      <c r="N23" s="2377">
        <f t="shared" si="187"/>
        <v>2.98E-2</v>
      </c>
      <c r="O23" s="2362">
        <f t="shared" ref="O23" si="204">J23/100</f>
        <v>2.1099999999999997E-2</v>
      </c>
      <c r="P23" s="2362">
        <f t="shared" ref="P23" si="205">K23/100</f>
        <v>3.2400000000000005E-2</v>
      </c>
      <c r="Q23" s="2362">
        <f t="shared" ref="Q23" si="206">L23/100</f>
        <v>1.72E-2</v>
      </c>
      <c r="R23" s="2378"/>
      <c r="S23" s="2377"/>
      <c r="T23" s="2362"/>
      <c r="U23" s="2362"/>
      <c r="V23" s="2362"/>
      <c r="W23" s="2379"/>
      <c r="X23" s="2379">
        <f>ROUND(SUMPRODUCT(PRODUCT(1+N23:N$36)),4)</f>
        <v>1.4034</v>
      </c>
      <c r="Y23" s="2379">
        <f>ROUND(SUMPRODUCT(PRODUCT(1+O23:O$36)),4)</f>
        <v>1.2463</v>
      </c>
      <c r="Z23" s="2379">
        <f t="shared" si="0"/>
        <v>1.2463</v>
      </c>
      <c r="AA23" s="2379">
        <f>ROUND(SUMPRODUCT(PRODUCT(1+P23:P$36)),4)</f>
        <v>1.4577</v>
      </c>
      <c r="AB23" s="2379">
        <f>ROUND(SUMPRODUCT(PRODUCT(1+Q23:Q$36)),4)</f>
        <v>1.2136</v>
      </c>
      <c r="AC23" s="2379"/>
      <c r="AD23" s="2380">
        <f>ROUND(AVERAGE(I23:I$37)/100,4)</f>
        <v>2.4899999999999999E-2</v>
      </c>
      <c r="AE23" s="2380">
        <f>ROUND(AVERAGE(J23:J$37)/100,4)</f>
        <v>1.6400000000000001E-2</v>
      </c>
      <c r="AF23" s="2380">
        <f t="shared" si="1"/>
        <v>1.6400000000000001E-2</v>
      </c>
      <c r="AG23" s="2380">
        <f>ROUND(AVERAGE(K23:K$37)/100,4)</f>
        <v>2.7799999999999998E-2</v>
      </c>
      <c r="AH23" s="2380">
        <f>ROUND(AVERAGE(L23:L$37)/100,4)</f>
        <v>1.3899999999999999E-2</v>
      </c>
    </row>
    <row r="24" spans="1:34" s="2368" customFormat="1" ht="14.45" customHeight="1">
      <c r="A24" s="2374" t="s">
        <v>1110</v>
      </c>
      <c r="B24" s="2375">
        <f t="shared" si="199"/>
        <v>419.31181600000002</v>
      </c>
      <c r="C24" s="2375">
        <f t="shared" si="200"/>
        <v>313.95436800000004</v>
      </c>
      <c r="D24" s="2375">
        <f t="shared" si="201"/>
        <v>313.95436800000004</v>
      </c>
      <c r="E24" s="2375">
        <f t="shared" si="202"/>
        <v>596.63028431999999</v>
      </c>
      <c r="F24" s="2375">
        <f t="shared" si="203"/>
        <v>274.74220703999998</v>
      </c>
      <c r="G24" s="3561"/>
      <c r="H24" s="2387">
        <v>2</v>
      </c>
      <c r="I24" s="2387">
        <v>3.4</v>
      </c>
      <c r="J24" s="2387">
        <v>2</v>
      </c>
      <c r="K24" s="2387">
        <v>3.82</v>
      </c>
      <c r="L24" s="2388">
        <v>1.68</v>
      </c>
      <c r="M24" s="2361"/>
      <c r="N24" s="2377">
        <f t="shared" si="187"/>
        <v>3.4000000000000002E-2</v>
      </c>
      <c r="O24" s="2362">
        <f t="shared" ref="O24" si="207">J24/100</f>
        <v>0.02</v>
      </c>
      <c r="P24" s="2362">
        <f t="shared" ref="P24" si="208">K24/100</f>
        <v>3.8199999999999998E-2</v>
      </c>
      <c r="Q24" s="2362">
        <f t="shared" ref="Q24" si="209">L24/100</f>
        <v>1.6799999999999999E-2</v>
      </c>
      <c r="R24" s="2378"/>
      <c r="S24" s="2391"/>
      <c r="T24" s="2392"/>
      <c r="U24" s="2392"/>
      <c r="V24" s="2392"/>
      <c r="W24" s="2355"/>
      <c r="X24" s="2379">
        <f>ROUND(SUMPRODUCT(PRODUCT(1+N24:N$36)),4)</f>
        <v>1.3628</v>
      </c>
      <c r="Y24" s="2379">
        <f>ROUND(SUMPRODUCT(PRODUCT(1+O24:O$36)),4)</f>
        <v>1.2205999999999999</v>
      </c>
      <c r="Z24" s="2379">
        <f t="shared" si="0"/>
        <v>1.2205999999999999</v>
      </c>
      <c r="AA24" s="2379">
        <f>ROUND(SUMPRODUCT(PRODUCT(1+P24:P$36)),4)</f>
        <v>1.4118999999999999</v>
      </c>
      <c r="AB24" s="2379">
        <f>ROUND(SUMPRODUCT(PRODUCT(1+Q24:Q$36)),4)</f>
        <v>1.1930000000000001</v>
      </c>
      <c r="AC24" s="2355"/>
      <c r="AD24" s="2380">
        <f>ROUND(AVERAGE(I24:I$37)/100,4)</f>
        <v>2.46E-2</v>
      </c>
      <c r="AE24" s="2380">
        <f>ROUND(AVERAGE(J24:J$37)/100,4)</f>
        <v>1.6E-2</v>
      </c>
      <c r="AF24" s="2380">
        <f t="shared" si="1"/>
        <v>1.6E-2</v>
      </c>
      <c r="AG24" s="2380">
        <f>ROUND(AVERAGE(K24:K$37)/100,4)</f>
        <v>2.75E-2</v>
      </c>
      <c r="AH24" s="2380">
        <f>ROUND(AVERAGE(L24:L$37)/100,4)</f>
        <v>1.37E-2</v>
      </c>
    </row>
    <row r="25" spans="1:34" s="2381" customFormat="1" ht="15" customHeight="1" thickBot="1">
      <c r="A25" s="2374" t="s">
        <v>888</v>
      </c>
      <c r="B25" s="2375">
        <f>B26*(1+N25)</f>
        <v>405.524</v>
      </c>
      <c r="C25" s="2375">
        <f>C26*(1+O25)</f>
        <v>307.79840000000002</v>
      </c>
      <c r="D25" s="2375">
        <f>C25</f>
        <v>307.79840000000002</v>
      </c>
      <c r="E25" s="2375">
        <f>E26*(1+P25)</f>
        <v>574.67759999999998</v>
      </c>
      <c r="F25" s="2375">
        <f>F26*(1+Q25)</f>
        <v>270.20280000000002</v>
      </c>
      <c r="G25" s="3568"/>
      <c r="H25" s="2376">
        <v>1</v>
      </c>
      <c r="I25" s="2376">
        <v>3.45</v>
      </c>
      <c r="J25" s="2376">
        <v>1.92</v>
      </c>
      <c r="K25" s="2376">
        <v>3.92</v>
      </c>
      <c r="L25" s="2382">
        <v>1.58</v>
      </c>
      <c r="M25" s="2361"/>
      <c r="N25" s="2377">
        <f t="shared" si="187"/>
        <v>3.4500000000000003E-2</v>
      </c>
      <c r="O25" s="2362">
        <f t="shared" ref="O25:Q40" si="210">J25/100</f>
        <v>1.9199999999999998E-2</v>
      </c>
      <c r="P25" s="2362">
        <f t="shared" si="210"/>
        <v>3.9199999999999999E-2</v>
      </c>
      <c r="Q25" s="2362">
        <f t="shared" si="210"/>
        <v>1.5800000000000002E-2</v>
      </c>
      <c r="R25" s="2378"/>
      <c r="S25" s="2377">
        <f>B25/B26-1</f>
        <v>3.4499999999999975E-2</v>
      </c>
      <c r="T25" s="2362">
        <f t="shared" ref="T25:V25" si="211">C25/C26-1</f>
        <v>1.9200000000000106E-2</v>
      </c>
      <c r="U25" s="2362">
        <f t="shared" si="211"/>
        <v>1.9200000000000106E-2</v>
      </c>
      <c r="V25" s="2362">
        <f t="shared" si="211"/>
        <v>3.9199999999999902E-2</v>
      </c>
      <c r="W25" s="2379"/>
      <c r="X25" s="2379">
        <f>ROUND(SUMPRODUCT(PRODUCT(1+N25:N$36)),4)</f>
        <v>1.3180000000000001</v>
      </c>
      <c r="Y25" s="2379">
        <f>ROUND(SUMPRODUCT(PRODUCT(1+O25:O$36)),4)</f>
        <v>1.1966000000000001</v>
      </c>
      <c r="Z25" s="2379">
        <f t="shared" si="0"/>
        <v>1.1966000000000001</v>
      </c>
      <c r="AA25" s="2379">
        <f>ROUND(SUMPRODUCT(PRODUCT(1+P25:P$36)),4)</f>
        <v>1.36</v>
      </c>
      <c r="AB25" s="2379">
        <f>ROUND(SUMPRODUCT(PRODUCT(1+Q25:Q$36)),4)</f>
        <v>1.1733</v>
      </c>
      <c r="AC25" s="2379"/>
      <c r="AD25" s="2380">
        <f>ROUND(AVERAGE(I25:I$37)/100,4)</f>
        <v>2.3900000000000001E-2</v>
      </c>
      <c r="AE25" s="2380">
        <f>ROUND(AVERAGE(J25:J$37)/100,4)</f>
        <v>1.5699999999999999E-2</v>
      </c>
      <c r="AF25" s="2380">
        <f t="shared" si="1"/>
        <v>1.5699999999999999E-2</v>
      </c>
      <c r="AG25" s="2380">
        <f>ROUND(AVERAGE(K25:K$37)/100,4)</f>
        <v>2.6599999999999999E-2</v>
      </c>
      <c r="AH25" s="2380">
        <f>ROUND(AVERAGE(L25:L$37)/100,4)</f>
        <v>1.34E-2</v>
      </c>
    </row>
    <row r="26" spans="1:34">
      <c r="A26" s="2374" t="s">
        <v>154</v>
      </c>
      <c r="B26" s="2389">
        <v>392</v>
      </c>
      <c r="C26" s="2389">
        <v>302</v>
      </c>
      <c r="D26" s="2389">
        <f>C26</f>
        <v>302</v>
      </c>
      <c r="E26" s="2389">
        <v>553</v>
      </c>
      <c r="F26" s="2390">
        <v>266</v>
      </c>
      <c r="G26" s="3564">
        <v>2016</v>
      </c>
      <c r="H26" s="2383">
        <v>4</v>
      </c>
      <c r="I26" s="2383">
        <v>4.5599999999999996</v>
      </c>
      <c r="J26" s="2383">
        <v>2.15</v>
      </c>
      <c r="K26" s="2383">
        <v>5.32</v>
      </c>
      <c r="L26" s="2384">
        <v>1.57</v>
      </c>
      <c r="N26" s="2377">
        <f t="shared" si="187"/>
        <v>4.5599999999999995E-2</v>
      </c>
      <c r="O26" s="2362">
        <f t="shared" si="210"/>
        <v>2.1499999999999998E-2</v>
      </c>
      <c r="P26" s="2362">
        <f t="shared" si="210"/>
        <v>5.3200000000000004E-2</v>
      </c>
      <c r="Q26" s="2362">
        <f t="shared" si="210"/>
        <v>1.5700000000000002E-2</v>
      </c>
      <c r="R26" s="2378"/>
      <c r="S26" s="2391"/>
      <c r="T26" s="2392"/>
      <c r="U26" s="2392"/>
      <c r="V26" s="2392"/>
      <c r="X26" s="2361">
        <f>ROUND(SUMPRODUCT(PRODUCT(1+N26:N$36)),4)</f>
        <v>1.274</v>
      </c>
      <c r="Y26" s="2361">
        <f>ROUND(SUMPRODUCT(PRODUCT(1+O26:O$36)),4)</f>
        <v>1.1740999999999999</v>
      </c>
      <c r="Z26" s="2361">
        <f t="shared" si="0"/>
        <v>1.1740999999999999</v>
      </c>
      <c r="AA26" s="2361">
        <f>ROUND(SUMPRODUCT(PRODUCT(1+P26:P$36)),4)</f>
        <v>1.3087</v>
      </c>
      <c r="AB26" s="2361">
        <f>ROUND(SUMPRODUCT(PRODUCT(1+Q26:Q$36)),4)</f>
        <v>1.1551</v>
      </c>
      <c r="AD26" s="2362">
        <f>ROUND(AVERAGE(I26:I$37)/100,4)</f>
        <v>2.3E-2</v>
      </c>
      <c r="AE26" s="2362">
        <f>ROUND(AVERAGE(J26:J$37)/100,4)</f>
        <v>1.55E-2</v>
      </c>
      <c r="AF26" s="2362">
        <f t="shared" si="1"/>
        <v>1.55E-2</v>
      </c>
      <c r="AG26" s="2362">
        <f>ROUND(AVERAGE(K26:K$37)/100,4)</f>
        <v>2.5600000000000001E-2</v>
      </c>
      <c r="AH26" s="2362">
        <f>ROUND(AVERAGE(L26:L$37)/100,4)</f>
        <v>1.32E-2</v>
      </c>
    </row>
    <row r="27" spans="1:34">
      <c r="A27" s="2374" t="s">
        <v>153</v>
      </c>
      <c r="B27" s="2375">
        <f t="shared" ref="B27:C29" si="212">B26/(1+N26)</f>
        <v>374.90436113236416</v>
      </c>
      <c r="C27" s="2375">
        <f t="shared" si="212"/>
        <v>295.64366128242779</v>
      </c>
      <c r="D27" s="2375">
        <f t="shared" ref="D27:D86" si="213">C27</f>
        <v>295.64366128242779</v>
      </c>
      <c r="E27" s="2375">
        <f t="shared" ref="E27:F29" si="214">E26/(1+P26)</f>
        <v>525.06646410938095</v>
      </c>
      <c r="F27" s="2375">
        <f t="shared" si="214"/>
        <v>261.88835286009646</v>
      </c>
      <c r="G27" s="3561"/>
      <c r="H27" s="2376">
        <v>3</v>
      </c>
      <c r="I27" s="2376">
        <v>4.12</v>
      </c>
      <c r="J27" s="2376">
        <v>2</v>
      </c>
      <c r="K27" s="2376">
        <v>4.79</v>
      </c>
      <c r="L27" s="2382">
        <v>1.97</v>
      </c>
      <c r="N27" s="2377">
        <f t="shared" ref="N27:Q61" si="215">I27/100</f>
        <v>4.1200000000000001E-2</v>
      </c>
      <c r="O27" s="2362">
        <f t="shared" si="210"/>
        <v>0.02</v>
      </c>
      <c r="P27" s="2362">
        <f t="shared" si="210"/>
        <v>4.7899999999999998E-2</v>
      </c>
      <c r="Q27" s="2362">
        <f t="shared" si="210"/>
        <v>1.9699999999999999E-2</v>
      </c>
      <c r="R27" s="2378"/>
      <c r="S27" s="2377"/>
      <c r="T27" s="2362"/>
      <c r="U27" s="2362"/>
      <c r="V27" s="2362"/>
      <c r="X27" s="2361">
        <f>ROUND(SUMPRODUCT(PRODUCT(1+N27:N$36)),4)</f>
        <v>1.2184999999999999</v>
      </c>
      <c r="Y27" s="2361">
        <f>ROUND(SUMPRODUCT(PRODUCT(1+O27:O$36)),4)</f>
        <v>1.1494</v>
      </c>
      <c r="Z27" s="2361">
        <f t="shared" si="0"/>
        <v>1.1494</v>
      </c>
      <c r="AA27" s="2361">
        <f>ROUND(SUMPRODUCT(PRODUCT(1+P27:P$36)),4)</f>
        <v>1.2425999999999999</v>
      </c>
      <c r="AB27" s="2361">
        <f>ROUND(SUMPRODUCT(PRODUCT(1+Q27:Q$36)),4)</f>
        <v>1.1372</v>
      </c>
      <c r="AD27" s="2362">
        <f>ROUND(AVERAGE(I27:I$37)/100,4)</f>
        <v>2.0899999999999998E-2</v>
      </c>
      <c r="AE27" s="2362">
        <f>ROUND(AVERAGE(J27:J$37)/100,4)</f>
        <v>1.49E-2</v>
      </c>
      <c r="AF27" s="2362">
        <f t="shared" si="1"/>
        <v>1.49E-2</v>
      </c>
      <c r="AG27" s="2362">
        <f>ROUND(AVERAGE(K27:K$37)/100,4)</f>
        <v>2.3099999999999999E-2</v>
      </c>
      <c r="AH27" s="2362">
        <f>ROUND(AVERAGE(L27:L$37)/100,4)</f>
        <v>1.2999999999999999E-2</v>
      </c>
    </row>
    <row r="28" spans="1:34">
      <c r="A28" s="2374" t="s">
        <v>143</v>
      </c>
      <c r="B28" s="2375">
        <f t="shared" si="212"/>
        <v>360.06949782209392</v>
      </c>
      <c r="C28" s="2375">
        <f t="shared" si="212"/>
        <v>289.84672674747821</v>
      </c>
      <c r="D28" s="2375">
        <f t="shared" si="213"/>
        <v>289.84672674747821</v>
      </c>
      <c r="E28" s="2375">
        <f t="shared" si="214"/>
        <v>501.06543001181495</v>
      </c>
      <c r="F28" s="2375">
        <f t="shared" si="214"/>
        <v>256.82882500744967</v>
      </c>
      <c r="G28" s="3561"/>
      <c r="H28" s="2387">
        <v>2</v>
      </c>
      <c r="I28" s="2387">
        <v>3.85</v>
      </c>
      <c r="J28" s="2387">
        <v>1.95</v>
      </c>
      <c r="K28" s="2387">
        <v>4.4800000000000004</v>
      </c>
      <c r="L28" s="2388">
        <v>1.41</v>
      </c>
      <c r="N28" s="2377">
        <f t="shared" si="215"/>
        <v>3.85E-2</v>
      </c>
      <c r="O28" s="2362">
        <f t="shared" si="210"/>
        <v>1.95E-2</v>
      </c>
      <c r="P28" s="2362">
        <f t="shared" si="210"/>
        <v>4.4800000000000006E-2</v>
      </c>
      <c r="Q28" s="2362">
        <f t="shared" si="210"/>
        <v>1.41E-2</v>
      </c>
      <c r="R28" s="2378"/>
      <c r="S28" s="2377"/>
      <c r="T28" s="2362"/>
      <c r="U28" s="2362"/>
      <c r="V28" s="2362"/>
      <c r="X28" s="2361">
        <f>ROUND(SUMPRODUCT(PRODUCT(1+N28:N$36)),4)</f>
        <v>1.1702999999999999</v>
      </c>
      <c r="Y28" s="2361">
        <f>ROUND(SUMPRODUCT(PRODUCT(1+O28:O$36)),4)</f>
        <v>1.1269</v>
      </c>
      <c r="Z28" s="2361">
        <f t="shared" si="0"/>
        <v>1.1269</v>
      </c>
      <c r="AA28" s="2361">
        <f>ROUND(SUMPRODUCT(PRODUCT(1+P28:P$36)),4)</f>
        <v>1.1858</v>
      </c>
      <c r="AB28" s="2361">
        <f>ROUND(SUMPRODUCT(PRODUCT(1+Q28:Q$36)),4)</f>
        <v>1.1152</v>
      </c>
      <c r="AD28" s="2362">
        <f>ROUND(AVERAGE(I28:I$37)/100,4)</f>
        <v>1.89E-2</v>
      </c>
      <c r="AE28" s="2362">
        <f>ROUND(AVERAGE(J28:J$37)/100,4)</f>
        <v>1.44E-2</v>
      </c>
      <c r="AF28" s="2362">
        <f t="shared" si="1"/>
        <v>1.44E-2</v>
      </c>
      <c r="AG28" s="2362">
        <f>ROUND(AVERAGE(K28:K$37)/100,4)</f>
        <v>2.06E-2</v>
      </c>
      <c r="AH28" s="2362">
        <f>ROUND(AVERAGE(L28:L$37)/100,4)</f>
        <v>1.23E-2</v>
      </c>
    </row>
    <row r="29" spans="1:34" ht="13.5" thickBot="1">
      <c r="A29" s="2374" t="s">
        <v>152</v>
      </c>
      <c r="B29" s="2375">
        <f t="shared" si="212"/>
        <v>346.720748986128</v>
      </c>
      <c r="C29" s="2375">
        <f t="shared" si="212"/>
        <v>284.30282172386285</v>
      </c>
      <c r="D29" s="2375">
        <f t="shared" si="213"/>
        <v>284.30282172386285</v>
      </c>
      <c r="E29" s="2375">
        <f t="shared" si="214"/>
        <v>479.58023546306947</v>
      </c>
      <c r="F29" s="2375">
        <f t="shared" si="214"/>
        <v>253.25788877571213</v>
      </c>
      <c r="G29" s="3562"/>
      <c r="H29" s="2376">
        <v>1</v>
      </c>
      <c r="I29" s="2376">
        <v>4.09</v>
      </c>
      <c r="J29" s="2376">
        <v>2.93</v>
      </c>
      <c r="K29" s="2376">
        <v>4.54</v>
      </c>
      <c r="L29" s="2382">
        <v>1.48</v>
      </c>
      <c r="N29" s="2377">
        <f t="shared" si="215"/>
        <v>4.0899999999999999E-2</v>
      </c>
      <c r="O29" s="2362">
        <f t="shared" si="210"/>
        <v>2.9300000000000003E-2</v>
      </c>
      <c r="P29" s="2362">
        <f t="shared" si="210"/>
        <v>4.5400000000000003E-2</v>
      </c>
      <c r="Q29" s="2362">
        <f t="shared" si="210"/>
        <v>1.4800000000000001E-2</v>
      </c>
      <c r="R29" s="2378"/>
      <c r="S29" s="2393">
        <f>B29/B30-1</f>
        <v>4.1203450408792808E-2</v>
      </c>
      <c r="T29" s="2394">
        <f>C29/C30-1</f>
        <v>2.6363977342465095E-2</v>
      </c>
      <c r="U29" s="2394">
        <f>E29/E30-1</f>
        <v>4.4837114298626357E-2</v>
      </c>
      <c r="V29" s="2394">
        <f>F29/F30-1</f>
        <v>1.7099954922538574E-2</v>
      </c>
      <c r="X29" s="2361">
        <f>ROUND(SUMPRODUCT(PRODUCT(1+N29:N$36)),4)</f>
        <v>1.1269</v>
      </c>
      <c r="Y29" s="2361">
        <f>ROUND(SUMPRODUCT(PRODUCT(1+O29:O$36)),4)</f>
        <v>1.1052999999999999</v>
      </c>
      <c r="Z29" s="2361">
        <f t="shared" si="0"/>
        <v>1.1052999999999999</v>
      </c>
      <c r="AA29" s="2361">
        <f>ROUND(SUMPRODUCT(PRODUCT(1+P29:P$36)),4)</f>
        <v>1.1349</v>
      </c>
      <c r="AB29" s="2361">
        <f>ROUND(SUMPRODUCT(PRODUCT(1+Q29:Q$36)),4)</f>
        <v>1.0996999999999999</v>
      </c>
      <c r="AD29" s="2362">
        <f>ROUND(AVERAGE(I29:I$37)/100,4)</f>
        <v>1.67E-2</v>
      </c>
      <c r="AE29" s="2362">
        <f>ROUND(AVERAGE(J29:J$37)/100,4)</f>
        <v>1.38E-2</v>
      </c>
      <c r="AF29" s="2362">
        <f t="shared" si="1"/>
        <v>1.38E-2</v>
      </c>
      <c r="AG29" s="2362">
        <f>ROUND(AVERAGE(K29:K$37)/100,4)</f>
        <v>1.7899999999999999E-2</v>
      </c>
      <c r="AH29" s="2362">
        <f>ROUND(AVERAGE(L29:L$37)/100,4)</f>
        <v>1.21E-2</v>
      </c>
    </row>
    <row r="30" spans="1:34" ht="13.5" thickBot="1">
      <c r="A30" s="2374" t="s">
        <v>151</v>
      </c>
      <c r="B30" s="2389">
        <v>333</v>
      </c>
      <c r="C30" s="2389">
        <v>277</v>
      </c>
      <c r="D30" s="2389">
        <f t="shared" si="213"/>
        <v>277</v>
      </c>
      <c r="E30" s="2389">
        <v>459</v>
      </c>
      <c r="F30" s="2390">
        <v>249</v>
      </c>
      <c r="G30" s="3560">
        <v>2015</v>
      </c>
      <c r="H30" s="2395">
        <v>4</v>
      </c>
      <c r="I30" s="2395">
        <v>1.63</v>
      </c>
      <c r="J30" s="2395">
        <v>1.1100000000000001</v>
      </c>
      <c r="K30" s="2395">
        <v>1.77</v>
      </c>
      <c r="L30" s="2396">
        <v>1.89</v>
      </c>
      <c r="N30" s="2397">
        <f t="shared" si="215"/>
        <v>1.6299999999999999E-2</v>
      </c>
      <c r="O30" s="2398">
        <f t="shared" si="210"/>
        <v>1.11E-2</v>
      </c>
      <c r="P30" s="2398">
        <f t="shared" si="210"/>
        <v>1.77E-2</v>
      </c>
      <c r="Q30" s="2398">
        <f t="shared" si="210"/>
        <v>1.89E-2</v>
      </c>
      <c r="R30" s="2378"/>
      <c r="X30" s="2361">
        <f>ROUND(SUMPRODUCT(PRODUCT(1+N30:N$36)),4)</f>
        <v>1.0826</v>
      </c>
      <c r="Y30" s="2361">
        <f>ROUND(SUMPRODUCT(PRODUCT(1+O30:O$36)),4)</f>
        <v>1.0738000000000001</v>
      </c>
      <c r="Z30" s="2361">
        <f t="shared" si="0"/>
        <v>1.0738000000000001</v>
      </c>
      <c r="AA30" s="2361">
        <f>ROUND(SUMPRODUCT(PRODUCT(1+P30:P$36)),4)</f>
        <v>1.0855999999999999</v>
      </c>
      <c r="AB30" s="2361">
        <f>ROUND(SUMPRODUCT(PRODUCT(1+Q30:Q$36)),4)</f>
        <v>1.0837000000000001</v>
      </c>
      <c r="AD30" s="2362">
        <f>ROUND(AVERAGE(I30:I$37)/100,4)</f>
        <v>1.37E-2</v>
      </c>
      <c r="AE30" s="2362">
        <f>ROUND(AVERAGE(J30:J$37)/100,4)</f>
        <v>1.1900000000000001E-2</v>
      </c>
      <c r="AF30" s="2362">
        <f t="shared" si="1"/>
        <v>1.1900000000000001E-2</v>
      </c>
      <c r="AG30" s="2362">
        <f>ROUND(AVERAGE(K30:K$37)/100,4)</f>
        <v>1.4500000000000001E-2</v>
      </c>
      <c r="AH30" s="2362">
        <f>ROUND(AVERAGE(L30:L$37)/100,4)</f>
        <v>1.18E-2</v>
      </c>
    </row>
    <row r="31" spans="1:34">
      <c r="A31" s="2374" t="s">
        <v>150</v>
      </c>
      <c r="B31" s="2375">
        <f t="shared" ref="B31:C33" si="216">B30/(1+N30)</f>
        <v>327.65915576109415</v>
      </c>
      <c r="C31" s="2375">
        <f t="shared" si="216"/>
        <v>273.95905449510434</v>
      </c>
      <c r="D31" s="2375">
        <f t="shared" si="213"/>
        <v>273.95905449510434</v>
      </c>
      <c r="E31" s="2375">
        <f t="shared" ref="E31:F33" si="217">E30/(1+P30)</f>
        <v>451.01699911565294</v>
      </c>
      <c r="F31" s="2375">
        <f t="shared" si="217"/>
        <v>244.38119540681129</v>
      </c>
      <c r="G31" s="3561"/>
      <c r="H31" s="2400">
        <v>3</v>
      </c>
      <c r="I31" s="2400">
        <v>1.65</v>
      </c>
      <c r="J31" s="2400">
        <v>0.92</v>
      </c>
      <c r="K31" s="2400">
        <v>1.88</v>
      </c>
      <c r="L31" s="2401">
        <v>1.26</v>
      </c>
      <c r="N31" s="2377">
        <f t="shared" si="215"/>
        <v>1.6500000000000001E-2</v>
      </c>
      <c r="O31" s="2402">
        <f t="shared" si="210"/>
        <v>9.1999999999999998E-3</v>
      </c>
      <c r="P31" s="2402">
        <f t="shared" si="210"/>
        <v>1.8799999999999997E-2</v>
      </c>
      <c r="Q31" s="2402">
        <f t="shared" si="210"/>
        <v>1.26E-2</v>
      </c>
      <c r="R31" s="2378"/>
      <c r="S31" s="2377"/>
      <c r="T31" s="2362"/>
      <c r="U31" s="2362"/>
      <c r="V31" s="2362"/>
      <c r="X31" s="2361">
        <f>ROUND(SUMPRODUCT(PRODUCT(1+N31:N$36)),4)</f>
        <v>1.0651999999999999</v>
      </c>
      <c r="Y31" s="2361">
        <f>ROUND(SUMPRODUCT(PRODUCT(1+O31:O$36)),4)</f>
        <v>1.0621</v>
      </c>
      <c r="Z31" s="2361">
        <f t="shared" si="0"/>
        <v>1.0621</v>
      </c>
      <c r="AA31" s="2361">
        <f>ROUND(SUMPRODUCT(PRODUCT(1+P31:P$36)),4)</f>
        <v>1.0668</v>
      </c>
      <c r="AB31" s="2361">
        <f>ROUND(SUMPRODUCT(PRODUCT(1+Q31:Q$36)),4)</f>
        <v>1.0636000000000001</v>
      </c>
      <c r="AD31" s="2362">
        <f>ROUND(AVERAGE(I31:I$37)/100,4)</f>
        <v>1.3299999999999999E-2</v>
      </c>
      <c r="AE31" s="2362">
        <f>ROUND(AVERAGE(J31:J$37)/100,4)</f>
        <v>1.2E-2</v>
      </c>
      <c r="AF31" s="2362">
        <f t="shared" si="1"/>
        <v>1.2E-2</v>
      </c>
      <c r="AG31" s="2362">
        <f>ROUND(AVERAGE(K31:K$37)/100,4)</f>
        <v>1.4E-2</v>
      </c>
      <c r="AH31" s="2362">
        <f>ROUND(AVERAGE(L31:L$37)/100,4)</f>
        <v>1.0800000000000001E-2</v>
      </c>
    </row>
    <row r="32" spans="1:34">
      <c r="A32" s="2374" t="s">
        <v>149</v>
      </c>
      <c r="B32" s="2375">
        <f t="shared" si="216"/>
        <v>322.34053690220776</v>
      </c>
      <c r="C32" s="2375">
        <f t="shared" si="216"/>
        <v>271.46160770422546</v>
      </c>
      <c r="D32" s="2375">
        <f t="shared" si="213"/>
        <v>271.46160770422546</v>
      </c>
      <c r="E32" s="2375">
        <f t="shared" si="217"/>
        <v>442.69434542172456</v>
      </c>
      <c r="F32" s="2375">
        <f t="shared" si="217"/>
        <v>241.34030753190925</v>
      </c>
      <c r="G32" s="3561"/>
      <c r="H32" s="2387">
        <v>2</v>
      </c>
      <c r="I32" s="2387">
        <v>0.77</v>
      </c>
      <c r="J32" s="2387">
        <v>0.69</v>
      </c>
      <c r="K32" s="2387">
        <v>0.8</v>
      </c>
      <c r="L32" s="2388">
        <v>0.88</v>
      </c>
      <c r="N32" s="2377">
        <f t="shared" si="215"/>
        <v>7.7000000000000002E-3</v>
      </c>
      <c r="O32" s="2402">
        <f t="shared" si="210"/>
        <v>6.8999999999999999E-3</v>
      </c>
      <c r="P32" s="2402">
        <f t="shared" si="210"/>
        <v>8.0000000000000002E-3</v>
      </c>
      <c r="Q32" s="2402">
        <f t="shared" si="210"/>
        <v>8.8000000000000005E-3</v>
      </c>
      <c r="R32" s="2378"/>
      <c r="S32" s="2377"/>
      <c r="T32" s="2362"/>
      <c r="U32" s="2362"/>
      <c r="V32" s="2362"/>
      <c r="X32" s="2361">
        <f>ROUND(SUMPRODUCT(PRODUCT(1+N32:N$36)),4)</f>
        <v>1.048</v>
      </c>
      <c r="Y32" s="2361">
        <f>ROUND(SUMPRODUCT(PRODUCT(1+O32:O$36)),4)</f>
        <v>1.0524</v>
      </c>
      <c r="Z32" s="2361">
        <f t="shared" si="0"/>
        <v>1.0524</v>
      </c>
      <c r="AA32" s="2361">
        <f>ROUND(SUMPRODUCT(PRODUCT(1+P32:P$36)),4)</f>
        <v>1.0470999999999999</v>
      </c>
      <c r="AB32" s="2361">
        <f>ROUND(SUMPRODUCT(PRODUCT(1+Q32:Q$36)),4)</f>
        <v>1.0504</v>
      </c>
      <c r="AD32" s="2362">
        <f>ROUND(AVERAGE(I32:I$37)/100,4)</f>
        <v>1.2800000000000001E-2</v>
      </c>
      <c r="AE32" s="2362">
        <f>ROUND(AVERAGE(J32:J$37)/100,4)</f>
        <v>1.2500000000000001E-2</v>
      </c>
      <c r="AF32" s="2362">
        <f t="shared" si="1"/>
        <v>1.2500000000000001E-2</v>
      </c>
      <c r="AG32" s="2362">
        <f>ROUND(AVERAGE(K32:K$37)/100,4)</f>
        <v>1.32E-2</v>
      </c>
      <c r="AH32" s="2362">
        <f>ROUND(AVERAGE(L32:L$37)/100,4)</f>
        <v>1.0500000000000001E-2</v>
      </c>
    </row>
    <row r="33" spans="1:34">
      <c r="A33" s="2374" t="s">
        <v>148</v>
      </c>
      <c r="B33" s="2375">
        <f t="shared" si="216"/>
        <v>319.87748030386797</v>
      </c>
      <c r="C33" s="2375">
        <f t="shared" si="216"/>
        <v>269.60135833173649</v>
      </c>
      <c r="D33" s="2375">
        <f t="shared" si="213"/>
        <v>269.60135833173649</v>
      </c>
      <c r="E33" s="2375">
        <f t="shared" si="217"/>
        <v>439.18089823583784</v>
      </c>
      <c r="F33" s="2375">
        <f t="shared" si="217"/>
        <v>239.23503918706311</v>
      </c>
      <c r="G33" s="3562"/>
      <c r="H33" s="2376">
        <v>1</v>
      </c>
      <c r="I33" s="2376">
        <v>0.51</v>
      </c>
      <c r="J33" s="2376">
        <v>0.54</v>
      </c>
      <c r="K33" s="2376">
        <v>0.48</v>
      </c>
      <c r="L33" s="2382">
        <v>0.93</v>
      </c>
      <c r="N33" s="2393">
        <f t="shared" si="215"/>
        <v>5.1000000000000004E-3</v>
      </c>
      <c r="O33" s="2394">
        <f t="shared" si="210"/>
        <v>5.4000000000000003E-3</v>
      </c>
      <c r="P33" s="2394">
        <f t="shared" si="210"/>
        <v>4.7999999999999996E-3</v>
      </c>
      <c r="Q33" s="2394">
        <f t="shared" si="210"/>
        <v>9.300000000000001E-3</v>
      </c>
      <c r="R33" s="2378"/>
      <c r="S33" s="2393">
        <f>B33/B34-1</f>
        <v>5.9040261127922822E-3</v>
      </c>
      <c r="T33" s="2394">
        <f>C33/C34-1</f>
        <v>5.9752176557332781E-3</v>
      </c>
      <c r="U33" s="2394">
        <f>E33/E34-1</f>
        <v>4.9906138119859556E-3</v>
      </c>
      <c r="V33" s="2394">
        <f>F33/F34-1</f>
        <v>9.4305450930933787E-3</v>
      </c>
      <c r="X33" s="2361">
        <f>ROUND(SUMPRODUCT(PRODUCT(1+N33:N$36)),4)</f>
        <v>1.0399</v>
      </c>
      <c r="Y33" s="2361">
        <f>ROUND(SUMPRODUCT(PRODUCT(1+O33:O$36)),4)</f>
        <v>1.0451999999999999</v>
      </c>
      <c r="Z33" s="2361">
        <f t="shared" si="0"/>
        <v>1.0451999999999999</v>
      </c>
      <c r="AA33" s="2361">
        <f>ROUND(SUMPRODUCT(PRODUCT(1+P33:P$36)),4)</f>
        <v>1.0387999999999999</v>
      </c>
      <c r="AB33" s="2361">
        <f>ROUND(SUMPRODUCT(PRODUCT(1+Q33:Q$36)),4)</f>
        <v>1.0411999999999999</v>
      </c>
      <c r="AD33" s="2362">
        <f>ROUND(AVERAGE(I33:I$37)/100,4)</f>
        <v>1.38E-2</v>
      </c>
      <c r="AE33" s="2362">
        <f>ROUND(AVERAGE(J33:J$37)/100,4)</f>
        <v>1.3599999999999999E-2</v>
      </c>
      <c r="AF33" s="2362">
        <f t="shared" si="1"/>
        <v>1.3599999999999999E-2</v>
      </c>
      <c r="AG33" s="2362">
        <f>ROUND(AVERAGE(K33:K$37)/100,4)</f>
        <v>1.4200000000000001E-2</v>
      </c>
      <c r="AH33" s="2362">
        <f>ROUND(AVERAGE(L33:L$37)/100,4)</f>
        <v>1.0800000000000001E-2</v>
      </c>
    </row>
    <row r="34" spans="1:34" ht="13.5" thickBot="1">
      <c r="A34" s="2374" t="s">
        <v>147</v>
      </c>
      <c r="B34" s="2403">
        <v>318</v>
      </c>
      <c r="C34" s="2403">
        <v>268</v>
      </c>
      <c r="D34" s="2403">
        <f t="shared" si="213"/>
        <v>268</v>
      </c>
      <c r="E34" s="2403">
        <v>437</v>
      </c>
      <c r="F34" s="2404">
        <v>237</v>
      </c>
      <c r="G34" s="3560">
        <v>2014</v>
      </c>
      <c r="H34" s="2395">
        <v>4</v>
      </c>
      <c r="I34" s="2395">
        <v>0.21</v>
      </c>
      <c r="J34" s="2395">
        <v>0.41</v>
      </c>
      <c r="K34" s="2395">
        <v>0.12</v>
      </c>
      <c r="L34" s="2396">
        <v>0.89</v>
      </c>
      <c r="N34" s="2377">
        <f t="shared" si="215"/>
        <v>2.0999999999999999E-3</v>
      </c>
      <c r="O34" s="2362">
        <f t="shared" si="210"/>
        <v>4.0999999999999995E-3</v>
      </c>
      <c r="P34" s="2362">
        <f t="shared" si="210"/>
        <v>1.1999999999999999E-3</v>
      </c>
      <c r="Q34" s="2362">
        <f t="shared" si="210"/>
        <v>8.8999999999999999E-3</v>
      </c>
      <c r="R34" s="2378"/>
      <c r="S34" s="2391"/>
      <c r="T34" s="2392"/>
      <c r="U34" s="2392"/>
      <c r="V34" s="2392"/>
      <c r="X34" s="2361">
        <f>ROUND(SUMPRODUCT(PRODUCT(1+N34:N$36)),4)</f>
        <v>1.0347</v>
      </c>
      <c r="Y34" s="2361">
        <f>ROUND(SUMPRODUCT(PRODUCT(1+O34:O$36)),4)</f>
        <v>1.0395000000000001</v>
      </c>
      <c r="Z34" s="2361">
        <f t="shared" si="0"/>
        <v>1.0395000000000001</v>
      </c>
      <c r="AA34" s="2361">
        <f>ROUND(SUMPRODUCT(PRODUCT(1+P34:P$36)),4)</f>
        <v>1.0338000000000001</v>
      </c>
      <c r="AB34" s="2361">
        <f>ROUND(SUMPRODUCT(PRODUCT(1+Q34:Q$36)),4)</f>
        <v>1.0316000000000001</v>
      </c>
      <c r="AD34" s="2362">
        <f>ROUND(AVERAGE(I34:I$37)/100,4)</f>
        <v>1.6E-2</v>
      </c>
      <c r="AE34" s="2362">
        <f>ROUND(AVERAGE(J34:J$37)/100,4)</f>
        <v>1.5599999999999999E-2</v>
      </c>
      <c r="AF34" s="2362">
        <f t="shared" si="1"/>
        <v>1.5599999999999999E-2</v>
      </c>
      <c r="AG34" s="2362">
        <f>ROUND(AVERAGE(K34:K$37)/100,4)</f>
        <v>1.66E-2</v>
      </c>
      <c r="AH34" s="2362">
        <f>ROUND(AVERAGE(L34:L$37)/100,4)</f>
        <v>1.12E-2</v>
      </c>
    </row>
    <row r="35" spans="1:34">
      <c r="A35" s="2374" t="s">
        <v>146</v>
      </c>
      <c r="B35" s="2375">
        <f t="shared" ref="B35:C37" si="218">B34/(1+N34)</f>
        <v>317.33359944117353</v>
      </c>
      <c r="C35" s="2375">
        <f t="shared" si="218"/>
        <v>266.90568668459315</v>
      </c>
      <c r="D35" s="2375">
        <f t="shared" si="213"/>
        <v>266.90568668459315</v>
      </c>
      <c r="E35" s="2375">
        <f t="shared" ref="E35:F37" si="219">E34/(1+P34)</f>
        <v>436.47622852576905</v>
      </c>
      <c r="F35" s="2375">
        <f t="shared" si="219"/>
        <v>234.90930716622066</v>
      </c>
      <c r="G35" s="3561"/>
      <c r="H35" s="2405">
        <v>3</v>
      </c>
      <c r="I35" s="2405">
        <v>0.83</v>
      </c>
      <c r="J35" s="2405">
        <v>1.47</v>
      </c>
      <c r="K35" s="2405">
        <v>0.65</v>
      </c>
      <c r="L35" s="2406">
        <v>0.72</v>
      </c>
      <c r="N35" s="2377">
        <f t="shared" si="215"/>
        <v>8.3000000000000001E-3</v>
      </c>
      <c r="O35" s="2362">
        <f t="shared" si="210"/>
        <v>1.47E-2</v>
      </c>
      <c r="P35" s="2362">
        <f t="shared" si="210"/>
        <v>6.5000000000000006E-3</v>
      </c>
      <c r="Q35" s="2362">
        <f t="shared" si="210"/>
        <v>7.1999999999999998E-3</v>
      </c>
      <c r="R35" s="2378"/>
      <c r="S35" s="2377"/>
      <c r="T35" s="2362"/>
      <c r="U35" s="2362"/>
      <c r="V35" s="2362"/>
      <c r="X35" s="2361">
        <f>ROUND(SUMPRODUCT(PRODUCT(1+N35:N$36)),4)</f>
        <v>1.0325</v>
      </c>
      <c r="Y35" s="2361">
        <f>ROUND(SUMPRODUCT(PRODUCT(1+O35:O$36)),4)</f>
        <v>1.0353000000000001</v>
      </c>
      <c r="Z35" s="2361">
        <f t="shared" ref="Z35:Z36" si="220">Y35</f>
        <v>1.0353000000000001</v>
      </c>
      <c r="AA35" s="2361">
        <f>ROUND(SUMPRODUCT(PRODUCT(1+P35:P$36)),4)</f>
        <v>1.0326</v>
      </c>
      <c r="AB35" s="2361">
        <f>ROUND(SUMPRODUCT(PRODUCT(1+Q35:Q$36)),4)</f>
        <v>1.0225</v>
      </c>
      <c r="AD35" s="2362">
        <f>ROUND(AVERAGE(I35:I$37)/100,4)</f>
        <v>2.07E-2</v>
      </c>
      <c r="AE35" s="2362">
        <f>ROUND(AVERAGE(J35:J$37)/100,4)</f>
        <v>1.95E-2</v>
      </c>
      <c r="AF35" s="2362">
        <f t="shared" si="1"/>
        <v>1.95E-2</v>
      </c>
      <c r="AG35" s="2362">
        <f>ROUND(AVERAGE(K35:K$37)/100,4)</f>
        <v>2.1700000000000001E-2</v>
      </c>
      <c r="AH35" s="2362">
        <f>ROUND(AVERAGE(L35:L$37)/100,4)</f>
        <v>1.2E-2</v>
      </c>
    </row>
    <row r="36" spans="1:34" ht="13.5" thickBot="1">
      <c r="A36" s="2374" t="s">
        <v>145</v>
      </c>
      <c r="B36" s="2375">
        <f t="shared" si="218"/>
        <v>314.72141172386546</v>
      </c>
      <c r="C36" s="2375">
        <f t="shared" si="218"/>
        <v>263.03901319069001</v>
      </c>
      <c r="D36" s="2375">
        <f t="shared" si="213"/>
        <v>263.03901319069001</v>
      </c>
      <c r="E36" s="2375">
        <f t="shared" si="219"/>
        <v>433.65745506782821</v>
      </c>
      <c r="F36" s="2375">
        <f t="shared" si="219"/>
        <v>233.23005080045735</v>
      </c>
      <c r="G36" s="3561"/>
      <c r="H36" s="2395">
        <v>2</v>
      </c>
      <c r="I36" s="2395">
        <v>2.4</v>
      </c>
      <c r="J36" s="2395">
        <v>2.0299999999999998</v>
      </c>
      <c r="K36" s="2395">
        <v>2.59</v>
      </c>
      <c r="L36" s="2396">
        <v>1.52</v>
      </c>
      <c r="N36" s="2377">
        <f t="shared" si="215"/>
        <v>2.4E-2</v>
      </c>
      <c r="O36" s="2362">
        <f t="shared" si="210"/>
        <v>2.0299999999999999E-2</v>
      </c>
      <c r="P36" s="2362">
        <f t="shared" si="210"/>
        <v>2.5899999999999999E-2</v>
      </c>
      <c r="Q36" s="2362">
        <f t="shared" si="210"/>
        <v>1.52E-2</v>
      </c>
      <c r="R36" s="2378"/>
      <c r="S36" s="2377"/>
      <c r="T36" s="2362"/>
      <c r="U36" s="2362"/>
      <c r="V36" s="2362"/>
      <c r="X36" s="2361">
        <f>1+N36</f>
        <v>1.024</v>
      </c>
      <c r="Y36" s="2361">
        <f>1+O36</f>
        <v>1.0203</v>
      </c>
      <c r="Z36" s="2361">
        <f t="shared" si="220"/>
        <v>1.0203</v>
      </c>
      <c r="AA36" s="2361">
        <f>1+P36</f>
        <v>1.0259</v>
      </c>
      <c r="AB36" s="2361">
        <f>1+Q36</f>
        <v>1.0152000000000001</v>
      </c>
      <c r="AD36" s="2362">
        <f>ROUND(AVERAGE(I36:I$37)/100,4)</f>
        <v>2.69E-2</v>
      </c>
      <c r="AE36" s="2362">
        <f>ROUND(AVERAGE(J36:J$37)/100,4)</f>
        <v>2.1899999999999999E-2</v>
      </c>
      <c r="AF36" s="2362">
        <f t="shared" ref="AF36" si="221">AE36</f>
        <v>2.1899999999999999E-2</v>
      </c>
      <c r="AG36" s="2362">
        <f>ROUND(AVERAGE(K36:K$37)/100,4)</f>
        <v>2.9399999999999999E-2</v>
      </c>
      <c r="AH36" s="2362">
        <f>ROUND(AVERAGE(L36:L$37)/100,4)</f>
        <v>1.44E-2</v>
      </c>
    </row>
    <row r="37" spans="1:34" s="2411" customFormat="1" ht="13.5" thickBot="1">
      <c r="A37" s="2407" t="s">
        <v>144</v>
      </c>
      <c r="B37" s="2408">
        <f t="shared" si="218"/>
        <v>307.34512863658733</v>
      </c>
      <c r="C37" s="2408">
        <f t="shared" si="218"/>
        <v>257.80556031626975</v>
      </c>
      <c r="D37" s="2408">
        <f t="shared" si="213"/>
        <v>257.80556031626975</v>
      </c>
      <c r="E37" s="2408">
        <f t="shared" si="219"/>
        <v>422.70928459677179</v>
      </c>
      <c r="F37" s="2408">
        <f t="shared" si="219"/>
        <v>229.73803270336617</v>
      </c>
      <c r="G37" s="3562"/>
      <c r="H37" s="2409">
        <v>1</v>
      </c>
      <c r="I37" s="2409">
        <v>2.97</v>
      </c>
      <c r="J37" s="2409">
        <v>2.34</v>
      </c>
      <c r="K37" s="2409">
        <v>3.28</v>
      </c>
      <c r="L37" s="2410">
        <v>1.36</v>
      </c>
      <c r="N37" s="2412">
        <f t="shared" si="215"/>
        <v>2.9700000000000001E-2</v>
      </c>
      <c r="O37" s="2413">
        <f t="shared" si="210"/>
        <v>2.3399999999999997E-2</v>
      </c>
      <c r="P37" s="2413">
        <f t="shared" si="210"/>
        <v>3.2799999999999996E-2</v>
      </c>
      <c r="Q37" s="2413">
        <f t="shared" si="210"/>
        <v>1.3600000000000001E-2</v>
      </c>
      <c r="R37" s="2414"/>
      <c r="S37" s="2415">
        <f>B37/B38-1</f>
        <v>2.7910129219355539E-2</v>
      </c>
      <c r="T37" s="2416">
        <f>C37/C38-1</f>
        <v>2.3037937762975247E-2</v>
      </c>
      <c r="U37" s="2416">
        <f>E37/E38-1</f>
        <v>3.3519033243940788E-2</v>
      </c>
      <c r="V37" s="2416">
        <f>F37/F38-1</f>
        <v>1.2061818076502862E-2</v>
      </c>
      <c r="W37" s="2417" t="s">
        <v>889</v>
      </c>
      <c r="X37" s="2418">
        <v>1</v>
      </c>
      <c r="Y37" s="2418">
        <v>1</v>
      </c>
      <c r="Z37" s="2418">
        <v>1</v>
      </c>
      <c r="AA37" s="2418">
        <v>1</v>
      </c>
      <c r="AB37" s="2418">
        <v>1</v>
      </c>
      <c r="AD37" s="2413">
        <f>I37/100</f>
        <v>2.9700000000000001E-2</v>
      </c>
      <c r="AE37" s="2413">
        <f>J37/100</f>
        <v>2.3399999999999997E-2</v>
      </c>
      <c r="AF37" s="2413">
        <f>AE37</f>
        <v>2.3399999999999997E-2</v>
      </c>
      <c r="AG37" s="2413">
        <f>K37/100</f>
        <v>3.2799999999999996E-2</v>
      </c>
      <c r="AH37" s="2413">
        <f>L37/100</f>
        <v>1.3600000000000001E-2</v>
      </c>
    </row>
    <row r="38" spans="1:34" ht="13.5" thickBot="1">
      <c r="A38" s="2374" t="s">
        <v>890</v>
      </c>
      <c r="B38" s="2389">
        <v>299</v>
      </c>
      <c r="C38" s="2389">
        <v>252</v>
      </c>
      <c r="D38" s="2389">
        <f t="shared" si="213"/>
        <v>252</v>
      </c>
      <c r="E38" s="2389">
        <v>409</v>
      </c>
      <c r="F38" s="2390">
        <v>227</v>
      </c>
      <c r="G38" s="3565">
        <v>2013</v>
      </c>
      <c r="H38" s="2419">
        <v>4</v>
      </c>
      <c r="I38" s="2419">
        <v>1.83</v>
      </c>
      <c r="J38" s="2419">
        <v>1.68</v>
      </c>
      <c r="K38" s="2419">
        <v>1.97</v>
      </c>
      <c r="L38" s="2420">
        <v>0.87</v>
      </c>
      <c r="N38" s="2397">
        <f t="shared" si="215"/>
        <v>1.83E-2</v>
      </c>
      <c r="O38" s="2398">
        <f t="shared" si="210"/>
        <v>1.6799999999999999E-2</v>
      </c>
      <c r="P38" s="2398">
        <f t="shared" si="210"/>
        <v>1.9699999999999999E-2</v>
      </c>
      <c r="Q38" s="2398">
        <f t="shared" si="210"/>
        <v>8.6999999999999994E-3</v>
      </c>
      <c r="R38" s="2378"/>
      <c r="S38" s="2391"/>
      <c r="T38" s="2392"/>
      <c r="U38" s="2392"/>
      <c r="V38" s="2392"/>
      <c r="X38" s="2392"/>
      <c r="Y38" s="2392"/>
      <c r="Z38" s="2392"/>
    </row>
    <row r="39" spans="1:34">
      <c r="A39" s="2374" t="s">
        <v>891</v>
      </c>
      <c r="B39" s="2375">
        <f t="shared" ref="B39:C41" si="222">B38/(1+N38)</f>
        <v>293.62663262299913</v>
      </c>
      <c r="C39" s="2375">
        <f t="shared" si="222"/>
        <v>247.83634933123525</v>
      </c>
      <c r="D39" s="2375">
        <f t="shared" si="213"/>
        <v>247.83634933123525</v>
      </c>
      <c r="E39" s="2375">
        <f t="shared" ref="E39:F41" si="223">E38/(1+P38)</f>
        <v>401.09836226341076</v>
      </c>
      <c r="F39" s="2375">
        <f t="shared" si="223"/>
        <v>225.04213343908003</v>
      </c>
      <c r="G39" s="3566"/>
      <c r="H39" s="2400">
        <v>3</v>
      </c>
      <c r="I39" s="2400">
        <v>1.86</v>
      </c>
      <c r="J39" s="2400">
        <v>1.72</v>
      </c>
      <c r="K39" s="2400">
        <v>1.98</v>
      </c>
      <c r="L39" s="2401">
        <v>0.88</v>
      </c>
      <c r="N39" s="2377">
        <f t="shared" si="215"/>
        <v>1.8600000000000002E-2</v>
      </c>
      <c r="O39" s="2402">
        <f t="shared" si="210"/>
        <v>1.72E-2</v>
      </c>
      <c r="P39" s="2402">
        <f t="shared" si="210"/>
        <v>1.9799999999999998E-2</v>
      </c>
      <c r="Q39" s="2402">
        <f t="shared" si="210"/>
        <v>8.8000000000000005E-3</v>
      </c>
      <c r="R39" s="2378"/>
      <c r="S39" s="2377"/>
      <c r="T39" s="2362"/>
      <c r="U39" s="2362"/>
      <c r="V39" s="2362"/>
    </row>
    <row r="40" spans="1:34">
      <c r="A40" s="2374" t="s">
        <v>892</v>
      </c>
      <c r="B40" s="2375">
        <f t="shared" si="222"/>
        <v>288.2649053828776</v>
      </c>
      <c r="C40" s="2375">
        <f t="shared" si="222"/>
        <v>243.64564425013293</v>
      </c>
      <c r="D40" s="2375">
        <f t="shared" si="213"/>
        <v>243.64564425013293</v>
      </c>
      <c r="E40" s="2375">
        <f t="shared" si="223"/>
        <v>393.31080825986544</v>
      </c>
      <c r="F40" s="2375">
        <f t="shared" si="223"/>
        <v>223.07903790551154</v>
      </c>
      <c r="G40" s="3566"/>
      <c r="H40" s="2387">
        <v>2</v>
      </c>
      <c r="I40" s="2387">
        <v>2.04</v>
      </c>
      <c r="J40" s="2387">
        <v>2.33</v>
      </c>
      <c r="K40" s="2387">
        <v>2.0699999999999998</v>
      </c>
      <c r="L40" s="2388">
        <v>0.69</v>
      </c>
      <c r="N40" s="2377">
        <f t="shared" si="215"/>
        <v>2.0400000000000001E-2</v>
      </c>
      <c r="O40" s="2402">
        <f t="shared" si="210"/>
        <v>2.3300000000000001E-2</v>
      </c>
      <c r="P40" s="2402">
        <f t="shared" si="210"/>
        <v>2.07E-2</v>
      </c>
      <c r="Q40" s="2402">
        <f t="shared" si="210"/>
        <v>6.8999999999999999E-3</v>
      </c>
      <c r="R40" s="2378"/>
      <c r="S40" s="2377"/>
      <c r="T40" s="2362"/>
      <c r="U40" s="2362"/>
      <c r="V40" s="2362"/>
      <c r="X40" s="2421"/>
      <c r="Y40" s="2422"/>
    </row>
    <row r="41" spans="1:34">
      <c r="A41" s="2374" t="s">
        <v>893</v>
      </c>
      <c r="B41" s="2375">
        <f t="shared" si="222"/>
        <v>282.50186729015837</v>
      </c>
      <c r="C41" s="2375">
        <f t="shared" si="222"/>
        <v>238.09796174155468</v>
      </c>
      <c r="D41" s="2375">
        <f t="shared" si="213"/>
        <v>238.09796174155468</v>
      </c>
      <c r="E41" s="2375">
        <f t="shared" si="223"/>
        <v>385.33438646014054</v>
      </c>
      <c r="F41" s="2375">
        <f t="shared" si="223"/>
        <v>221.55034055567739</v>
      </c>
      <c r="G41" s="3567"/>
      <c r="H41" s="2376">
        <v>1</v>
      </c>
      <c r="I41" s="2376">
        <v>1.67</v>
      </c>
      <c r="J41" s="2376">
        <v>1.31</v>
      </c>
      <c r="K41" s="2376">
        <v>1.85</v>
      </c>
      <c r="L41" s="2382">
        <v>0.96</v>
      </c>
      <c r="N41" s="2393">
        <f t="shared" si="215"/>
        <v>1.67E-2</v>
      </c>
      <c r="O41" s="2394">
        <f t="shared" si="215"/>
        <v>1.3100000000000001E-2</v>
      </c>
      <c r="P41" s="2394">
        <f t="shared" si="215"/>
        <v>1.8500000000000003E-2</v>
      </c>
      <c r="Q41" s="2394">
        <f t="shared" si="215"/>
        <v>9.5999999999999992E-3</v>
      </c>
      <c r="R41" s="2378"/>
      <c r="S41" s="2393">
        <f>B41/B42-1</f>
        <v>1.6193767230785472E-2</v>
      </c>
      <c r="T41" s="2394">
        <f>C41/C42-1</f>
        <v>1.7512657015190891E-2</v>
      </c>
      <c r="U41" s="2394">
        <f>E41/E42-1</f>
        <v>1.6713420739157048E-2</v>
      </c>
      <c r="V41" s="2394">
        <f>F41/F42-1</f>
        <v>7.0470025258062563E-3</v>
      </c>
      <c r="X41" s="2423"/>
      <c r="Y41" s="2362"/>
      <c r="Z41" s="2362"/>
    </row>
    <row r="42" spans="1:34" ht="13.5" thickBot="1">
      <c r="A42" s="2374" t="s">
        <v>894</v>
      </c>
      <c r="B42" s="2424">
        <v>278</v>
      </c>
      <c r="C42" s="2424">
        <v>234</v>
      </c>
      <c r="D42" s="2424">
        <f t="shared" si="213"/>
        <v>234</v>
      </c>
      <c r="E42" s="2424">
        <v>379</v>
      </c>
      <c r="F42" s="2425">
        <v>220</v>
      </c>
      <c r="G42" s="3560">
        <v>2012</v>
      </c>
      <c r="H42" s="2395">
        <v>4</v>
      </c>
      <c r="I42" s="2395">
        <v>0.91</v>
      </c>
      <c r="J42" s="2395">
        <v>0.68</v>
      </c>
      <c r="K42" s="2395">
        <v>0.98</v>
      </c>
      <c r="L42" s="2396">
        <v>0.9</v>
      </c>
      <c r="N42" s="2377">
        <f t="shared" si="215"/>
        <v>9.1000000000000004E-3</v>
      </c>
      <c r="O42" s="2362">
        <f t="shared" si="215"/>
        <v>6.8000000000000005E-3</v>
      </c>
      <c r="P42" s="2362">
        <f t="shared" si="215"/>
        <v>9.7999999999999997E-3</v>
      </c>
      <c r="Q42" s="2362">
        <f t="shared" si="215"/>
        <v>9.0000000000000011E-3</v>
      </c>
      <c r="R42" s="2378"/>
      <c r="S42" s="2391"/>
      <c r="T42" s="2392"/>
      <c r="U42" s="2392"/>
      <c r="V42" s="2392"/>
      <c r="X42" s="2392"/>
      <c r="Y42" s="2392"/>
      <c r="Z42" s="2392"/>
    </row>
    <row r="43" spans="1:34">
      <c r="A43" s="2374" t="s">
        <v>895</v>
      </c>
      <c r="B43" s="2375">
        <f>B42/(1+N42)</f>
        <v>275.49301357645425</v>
      </c>
      <c r="C43" s="2375">
        <f>C42/(1+O42)</f>
        <v>232.41954707985698</v>
      </c>
      <c r="D43" s="2375">
        <f t="shared" si="213"/>
        <v>232.41954707985698</v>
      </c>
      <c r="E43" s="2375">
        <f t="shared" ref="E43:F45" si="224">E42/(1+P42)</f>
        <v>375.32184591008121</v>
      </c>
      <c r="F43" s="2375">
        <f t="shared" si="224"/>
        <v>218.03766105054513</v>
      </c>
      <c r="G43" s="3561"/>
      <c r="H43" s="2400">
        <v>3</v>
      </c>
      <c r="I43" s="2400">
        <v>0.09</v>
      </c>
      <c r="J43" s="2400">
        <v>0.28999999999999998</v>
      </c>
      <c r="K43" s="2400">
        <v>-0.01</v>
      </c>
      <c r="L43" s="2401">
        <v>0.57999999999999996</v>
      </c>
      <c r="N43" s="2377">
        <f t="shared" si="215"/>
        <v>8.9999999999999998E-4</v>
      </c>
      <c r="O43" s="2362">
        <f t="shared" si="215"/>
        <v>2.8999999999999998E-3</v>
      </c>
      <c r="P43" s="2362">
        <f t="shared" si="215"/>
        <v>-1E-4</v>
      </c>
      <c r="Q43" s="2362">
        <f t="shared" si="215"/>
        <v>5.7999999999999996E-3</v>
      </c>
      <c r="R43" s="2378"/>
      <c r="S43" s="2377"/>
      <c r="T43" s="2362"/>
      <c r="U43" s="2362"/>
      <c r="V43" s="2362"/>
    </row>
    <row r="44" spans="1:34">
      <c r="A44" s="2374" t="s">
        <v>896</v>
      </c>
      <c r="B44" s="2375">
        <f>B43/(1+N43)</f>
        <v>275.24529281292263</v>
      </c>
      <c r="C44" s="2375">
        <f>C43/(1+O43)</f>
        <v>231.74747938962707</v>
      </c>
      <c r="D44" s="2375">
        <f t="shared" si="213"/>
        <v>231.74747938962707</v>
      </c>
      <c r="E44" s="2375">
        <f t="shared" si="224"/>
        <v>375.35938184826603</v>
      </c>
      <c r="F44" s="2375">
        <f t="shared" si="224"/>
        <v>216.78033510692495</v>
      </c>
      <c r="G44" s="3561"/>
      <c r="H44" s="2387">
        <v>2</v>
      </c>
      <c r="I44" s="2387">
        <v>0.02</v>
      </c>
      <c r="J44" s="2387">
        <v>0.12</v>
      </c>
      <c r="K44" s="2387">
        <v>-0.08</v>
      </c>
      <c r="L44" s="2388">
        <v>1.24</v>
      </c>
      <c r="N44" s="2377">
        <f t="shared" si="215"/>
        <v>2.0000000000000001E-4</v>
      </c>
      <c r="O44" s="2362">
        <f t="shared" si="215"/>
        <v>1.1999999999999999E-3</v>
      </c>
      <c r="P44" s="2362">
        <f t="shared" si="215"/>
        <v>-8.0000000000000004E-4</v>
      </c>
      <c r="Q44" s="2362">
        <f t="shared" si="215"/>
        <v>1.24E-2</v>
      </c>
      <c r="R44" s="2378"/>
      <c r="S44" s="2377"/>
      <c r="T44" s="2362"/>
      <c r="U44" s="2362"/>
      <c r="V44" s="2362"/>
    </row>
    <row r="45" spans="1:34" ht="13.5" thickBot="1">
      <c r="A45" s="2374" t="s">
        <v>897</v>
      </c>
      <c r="B45" s="2375">
        <f>B44/(1+N44)</f>
        <v>275.19025476197027</v>
      </c>
      <c r="C45" s="2426">
        <v>232</v>
      </c>
      <c r="D45" s="2426">
        <f t="shared" si="213"/>
        <v>232</v>
      </c>
      <c r="E45" s="2375">
        <f t="shared" si="224"/>
        <v>375.65990977608692</v>
      </c>
      <c r="F45" s="2375">
        <f t="shared" si="224"/>
        <v>214.12518283971252</v>
      </c>
      <c r="G45" s="3562"/>
      <c r="H45" s="2376">
        <v>1</v>
      </c>
      <c r="I45" s="2376">
        <v>0.02</v>
      </c>
      <c r="J45" s="2376">
        <v>0.13</v>
      </c>
      <c r="K45" s="2376">
        <v>-0.04</v>
      </c>
      <c r="L45" s="2382">
        <v>0.46</v>
      </c>
      <c r="N45" s="2377">
        <f t="shared" si="215"/>
        <v>2.0000000000000001E-4</v>
      </c>
      <c r="O45" s="2362">
        <f t="shared" si="215"/>
        <v>1.2999999999999999E-3</v>
      </c>
      <c r="P45" s="2362">
        <f t="shared" si="215"/>
        <v>-4.0000000000000002E-4</v>
      </c>
      <c r="Q45" s="2362">
        <f t="shared" si="215"/>
        <v>4.5999999999999999E-3</v>
      </c>
      <c r="R45" s="2378"/>
      <c r="S45" s="2393">
        <f>B45/B46-1</f>
        <v>6.9183549807361189E-4</v>
      </c>
      <c r="T45" s="2394">
        <f>C45/C46-1</f>
        <v>0</v>
      </c>
      <c r="U45" s="2394">
        <f>E45/E46-1</f>
        <v>-9.0449527636460303E-4</v>
      </c>
      <c r="V45" s="2394">
        <f>F45/F46-1</f>
        <v>5.2825485432512753E-3</v>
      </c>
      <c r="X45" s="2362"/>
      <c r="Y45" s="2362"/>
      <c r="Z45" s="2362"/>
    </row>
    <row r="46" spans="1:34" ht="13.5" thickBot="1">
      <c r="A46" s="2374" t="s">
        <v>898</v>
      </c>
      <c r="B46" s="2389">
        <v>275</v>
      </c>
      <c r="C46" s="2389">
        <v>232</v>
      </c>
      <c r="D46" s="2389">
        <f t="shared" si="213"/>
        <v>232</v>
      </c>
      <c r="E46" s="2389">
        <v>376</v>
      </c>
      <c r="F46" s="2390">
        <v>213</v>
      </c>
      <c r="G46" s="3560">
        <v>2011</v>
      </c>
      <c r="H46" s="2395">
        <v>4</v>
      </c>
      <c r="I46" s="2395">
        <v>-0.2</v>
      </c>
      <c r="J46" s="2395">
        <v>0.04</v>
      </c>
      <c r="K46" s="2395">
        <v>-0.34</v>
      </c>
      <c r="L46" s="2396">
        <v>0.46</v>
      </c>
      <c r="N46" s="2397">
        <f t="shared" si="215"/>
        <v>-2E-3</v>
      </c>
      <c r="O46" s="2398">
        <f t="shared" si="215"/>
        <v>4.0000000000000002E-4</v>
      </c>
      <c r="P46" s="2398">
        <f t="shared" si="215"/>
        <v>-3.4000000000000002E-3</v>
      </c>
      <c r="Q46" s="2398">
        <f t="shared" si="215"/>
        <v>4.5999999999999999E-3</v>
      </c>
      <c r="R46" s="2378"/>
      <c r="S46" s="2391"/>
      <c r="T46" s="2392"/>
      <c r="U46" s="2392"/>
      <c r="V46" s="2392"/>
      <c r="X46" s="2392"/>
      <c r="Y46" s="2392"/>
      <c r="Z46" s="2392"/>
    </row>
    <row r="47" spans="1:34">
      <c r="A47" s="2374" t="s">
        <v>899</v>
      </c>
      <c r="B47" s="2375">
        <f t="shared" ref="B47:C49" si="225">B46/(1+N46)</f>
        <v>275.55110220440883</v>
      </c>
      <c r="C47" s="2375">
        <f t="shared" si="225"/>
        <v>231.90723710515795</v>
      </c>
      <c r="D47" s="2375">
        <f t="shared" si="213"/>
        <v>231.90723710515795</v>
      </c>
      <c r="E47" s="2375">
        <f t="shared" ref="E47:F49" si="226">E46/(1+P46)</f>
        <v>377.28276138872161</v>
      </c>
      <c r="F47" s="2375">
        <f t="shared" si="226"/>
        <v>212.02468644236512</v>
      </c>
      <c r="G47" s="3561">
        <v>2011</v>
      </c>
      <c r="H47" s="2400">
        <v>3</v>
      </c>
      <c r="I47" s="2400">
        <v>0.13</v>
      </c>
      <c r="J47" s="2400">
        <v>0.75</v>
      </c>
      <c r="K47" s="2400">
        <v>-0.08</v>
      </c>
      <c r="L47" s="2401">
        <v>0.53</v>
      </c>
      <c r="N47" s="2377">
        <f t="shared" si="215"/>
        <v>1.2999999999999999E-3</v>
      </c>
      <c r="O47" s="2402">
        <f t="shared" si="215"/>
        <v>7.4999999999999997E-3</v>
      </c>
      <c r="P47" s="2402">
        <f t="shared" si="215"/>
        <v>-8.0000000000000004E-4</v>
      </c>
      <c r="Q47" s="2402">
        <f t="shared" si="215"/>
        <v>5.3E-3</v>
      </c>
      <c r="R47" s="2378"/>
      <c r="S47" s="2377"/>
      <c r="T47" s="2362"/>
      <c r="U47" s="2362"/>
      <c r="V47" s="2362"/>
    </row>
    <row r="48" spans="1:34">
      <c r="A48" s="2374" t="s">
        <v>900</v>
      </c>
      <c r="B48" s="2375">
        <f t="shared" si="225"/>
        <v>275.19335084830601</v>
      </c>
      <c r="C48" s="2375">
        <f t="shared" si="225"/>
        <v>230.18088050139744</v>
      </c>
      <c r="D48" s="2375">
        <f t="shared" si="213"/>
        <v>230.18088050139744</v>
      </c>
      <c r="E48" s="2375">
        <f t="shared" si="226"/>
        <v>377.58482925212331</v>
      </c>
      <c r="F48" s="2375">
        <f t="shared" si="226"/>
        <v>210.90687997847917</v>
      </c>
      <c r="G48" s="3561">
        <v>2011</v>
      </c>
      <c r="H48" s="2387">
        <v>2</v>
      </c>
      <c r="I48" s="2387">
        <v>-0.4</v>
      </c>
      <c r="J48" s="2387">
        <v>0.17</v>
      </c>
      <c r="K48" s="2387">
        <v>-0.57999999999999996</v>
      </c>
      <c r="L48" s="2388">
        <v>-0.2</v>
      </c>
      <c r="N48" s="2377">
        <f t="shared" si="215"/>
        <v>-4.0000000000000001E-3</v>
      </c>
      <c r="O48" s="2402">
        <f t="shared" si="215"/>
        <v>1.7000000000000001E-3</v>
      </c>
      <c r="P48" s="2402">
        <f t="shared" si="215"/>
        <v>-5.7999999999999996E-3</v>
      </c>
      <c r="Q48" s="2402">
        <f t="shared" si="215"/>
        <v>-2E-3</v>
      </c>
      <c r="R48" s="2378"/>
      <c r="S48" s="2377"/>
      <c r="T48" s="2362"/>
      <c r="U48" s="2362"/>
      <c r="V48" s="2362"/>
    </row>
    <row r="49" spans="1:26" ht="13.5" thickBot="1">
      <c r="A49" s="2374" t="s">
        <v>901</v>
      </c>
      <c r="B49" s="2375">
        <f t="shared" si="225"/>
        <v>276.29854502841971</v>
      </c>
      <c r="C49" s="2375">
        <f t="shared" si="225"/>
        <v>229.79023709833027</v>
      </c>
      <c r="D49" s="2375">
        <f t="shared" si="213"/>
        <v>229.79023709833027</v>
      </c>
      <c r="E49" s="2375">
        <f t="shared" si="226"/>
        <v>379.78759731655936</v>
      </c>
      <c r="F49" s="2375">
        <f t="shared" si="226"/>
        <v>211.32953905659235</v>
      </c>
      <c r="G49" s="3562">
        <v>2011</v>
      </c>
      <c r="H49" s="2376">
        <v>1</v>
      </c>
      <c r="I49" s="2376">
        <v>2.65</v>
      </c>
      <c r="J49" s="2376">
        <v>3.76</v>
      </c>
      <c r="K49" s="2376">
        <v>1.89</v>
      </c>
      <c r="L49" s="2382">
        <v>7.95</v>
      </c>
      <c r="N49" s="2393">
        <f t="shared" si="215"/>
        <v>2.6499999999999999E-2</v>
      </c>
      <c r="O49" s="2394">
        <f t="shared" si="215"/>
        <v>3.7599999999999995E-2</v>
      </c>
      <c r="P49" s="2394">
        <f t="shared" si="215"/>
        <v>1.89E-2</v>
      </c>
      <c r="Q49" s="2394">
        <f t="shared" si="215"/>
        <v>7.9500000000000001E-2</v>
      </c>
      <c r="R49" s="2378"/>
      <c r="S49" s="2393">
        <f>B49/B50-1</f>
        <v>2.713213765211786E-2</v>
      </c>
      <c r="T49" s="2394">
        <f>C49/C50-1</f>
        <v>3.9774828499231862E-2</v>
      </c>
      <c r="U49" s="2394">
        <f>E49/E50-1</f>
        <v>1.8197311840641772E-2</v>
      </c>
      <c r="V49" s="2394">
        <f>F49/F50-1</f>
        <v>7.8211933962205826E-2</v>
      </c>
      <c r="X49" s="2362"/>
      <c r="Y49" s="2362"/>
      <c r="Z49" s="2362"/>
    </row>
    <row r="50" spans="1:26" ht="13.5" thickBot="1">
      <c r="A50" s="2374" t="s">
        <v>902</v>
      </c>
      <c r="B50" s="2389">
        <v>269</v>
      </c>
      <c r="C50" s="2389">
        <v>221</v>
      </c>
      <c r="D50" s="2389">
        <f t="shared" si="213"/>
        <v>221</v>
      </c>
      <c r="E50" s="2389">
        <v>373</v>
      </c>
      <c r="F50" s="2390">
        <v>196</v>
      </c>
      <c r="G50" s="3560">
        <v>2010</v>
      </c>
      <c r="H50" s="2395">
        <v>4</v>
      </c>
      <c r="I50" s="2395">
        <v>5.72</v>
      </c>
      <c r="J50" s="2395">
        <v>6.57</v>
      </c>
      <c r="K50" s="2395">
        <v>5.72</v>
      </c>
      <c r="L50" s="2396">
        <v>2.72</v>
      </c>
      <c r="N50" s="2377">
        <f t="shared" si="215"/>
        <v>5.7200000000000001E-2</v>
      </c>
      <c r="O50" s="2362">
        <f t="shared" si="215"/>
        <v>6.5700000000000008E-2</v>
      </c>
      <c r="P50" s="2362">
        <f t="shared" si="215"/>
        <v>5.7200000000000001E-2</v>
      </c>
      <c r="Q50" s="2362">
        <f t="shared" si="215"/>
        <v>2.7200000000000002E-2</v>
      </c>
      <c r="R50" s="2378"/>
      <c r="S50" s="2391"/>
      <c r="T50" s="2392"/>
      <c r="U50" s="2392"/>
      <c r="V50" s="2392"/>
      <c r="X50" s="2392"/>
      <c r="Y50" s="2392"/>
      <c r="Z50" s="2392"/>
    </row>
    <row r="51" spans="1:26">
      <c r="A51" s="2374" t="s">
        <v>903</v>
      </c>
      <c r="B51" s="2375">
        <f t="shared" ref="B51:C53" si="227">B50/(1+N50)</f>
        <v>254.44570563753314</v>
      </c>
      <c r="C51" s="2375">
        <f t="shared" si="227"/>
        <v>207.37543398705074</v>
      </c>
      <c r="D51" s="2375">
        <f t="shared" si="213"/>
        <v>207.37543398705074</v>
      </c>
      <c r="E51" s="2375">
        <f t="shared" ref="E51:F53" si="228">E50/(1+P50)</f>
        <v>352.81876655315932</v>
      </c>
      <c r="F51" s="2375">
        <f t="shared" si="228"/>
        <v>190.809968847352</v>
      </c>
      <c r="G51" s="3561">
        <v>2010</v>
      </c>
      <c r="H51" s="2400">
        <v>3</v>
      </c>
      <c r="I51" s="2400">
        <v>4.7300000000000004</v>
      </c>
      <c r="J51" s="2400">
        <v>3.9</v>
      </c>
      <c r="K51" s="2400">
        <v>5.03</v>
      </c>
      <c r="L51" s="2401">
        <v>4.21</v>
      </c>
      <c r="N51" s="2377">
        <f t="shared" si="215"/>
        <v>4.7300000000000002E-2</v>
      </c>
      <c r="O51" s="2362">
        <f t="shared" si="215"/>
        <v>3.9E-2</v>
      </c>
      <c r="P51" s="2362">
        <f t="shared" si="215"/>
        <v>5.0300000000000004E-2</v>
      </c>
      <c r="Q51" s="2362">
        <f t="shared" si="215"/>
        <v>4.2099999999999999E-2</v>
      </c>
      <c r="R51" s="2378"/>
      <c r="S51" s="2377"/>
      <c r="T51" s="2362"/>
      <c r="U51" s="2362"/>
      <c r="V51" s="2362"/>
    </row>
    <row r="52" spans="1:26">
      <c r="A52" s="2374" t="s">
        <v>904</v>
      </c>
      <c r="B52" s="2375">
        <f t="shared" si="227"/>
        <v>242.95398227588385</v>
      </c>
      <c r="C52" s="2375">
        <f t="shared" si="227"/>
        <v>199.59137053614126</v>
      </c>
      <c r="D52" s="2375">
        <f t="shared" si="213"/>
        <v>199.59137053614126</v>
      </c>
      <c r="E52" s="2375">
        <f t="shared" si="228"/>
        <v>335.92189522342125</v>
      </c>
      <c r="F52" s="2375">
        <f t="shared" si="228"/>
        <v>183.10139991109489</v>
      </c>
      <c r="G52" s="3561">
        <v>2010</v>
      </c>
      <c r="H52" s="2387">
        <v>2</v>
      </c>
      <c r="I52" s="2387">
        <v>4.6900000000000004</v>
      </c>
      <c r="J52" s="2387">
        <v>3.55</v>
      </c>
      <c r="K52" s="2387">
        <v>5.07</v>
      </c>
      <c r="L52" s="2388">
        <v>4.2300000000000004</v>
      </c>
      <c r="N52" s="2377">
        <f t="shared" si="215"/>
        <v>4.6900000000000004E-2</v>
      </c>
      <c r="O52" s="2362">
        <f t="shared" si="215"/>
        <v>3.5499999999999997E-2</v>
      </c>
      <c r="P52" s="2362">
        <f t="shared" si="215"/>
        <v>5.0700000000000002E-2</v>
      </c>
      <c r="Q52" s="2362">
        <f t="shared" si="215"/>
        <v>4.2300000000000004E-2</v>
      </c>
      <c r="R52" s="2378"/>
      <c r="S52" s="2377"/>
      <c r="T52" s="2362"/>
      <c r="U52" s="2362"/>
      <c r="V52" s="2362"/>
    </row>
    <row r="53" spans="1:26" ht="13.5" thickBot="1">
      <c r="A53" s="2374" t="s">
        <v>905</v>
      </c>
      <c r="B53" s="2375">
        <f t="shared" si="227"/>
        <v>232.06990378821649</v>
      </c>
      <c r="C53" s="2375">
        <f t="shared" si="227"/>
        <v>192.74878854286936</v>
      </c>
      <c r="D53" s="2375">
        <f t="shared" si="213"/>
        <v>192.74878854286936</v>
      </c>
      <c r="E53" s="2375">
        <f t="shared" si="228"/>
        <v>319.71247284992984</v>
      </c>
      <c r="F53" s="2375">
        <f t="shared" si="228"/>
        <v>175.67053622862409</v>
      </c>
      <c r="G53" s="3562">
        <v>2010</v>
      </c>
      <c r="H53" s="2376">
        <v>1</v>
      </c>
      <c r="I53" s="2376">
        <v>5.4</v>
      </c>
      <c r="J53" s="2376">
        <v>3.2</v>
      </c>
      <c r="K53" s="2376">
        <v>6.16</v>
      </c>
      <c r="L53" s="2382">
        <v>4.51</v>
      </c>
      <c r="N53" s="2377">
        <f t="shared" si="215"/>
        <v>5.4000000000000006E-2</v>
      </c>
      <c r="O53" s="2362">
        <f t="shared" si="215"/>
        <v>3.2000000000000001E-2</v>
      </c>
      <c r="P53" s="2362">
        <f t="shared" si="215"/>
        <v>6.1600000000000002E-2</v>
      </c>
      <c r="Q53" s="2362">
        <f t="shared" si="215"/>
        <v>4.5100000000000001E-2</v>
      </c>
      <c r="R53" s="2378"/>
      <c r="S53" s="2393">
        <f>B53/B54-1</f>
        <v>5.4863199037347599E-2</v>
      </c>
      <c r="T53" s="2394">
        <f>C53/C54-1</f>
        <v>3.0742184721226584E-2</v>
      </c>
      <c r="U53" s="2394">
        <f>E53/E54-1</f>
        <v>6.2167683886810154E-2</v>
      </c>
      <c r="V53" s="2394">
        <f>F53/F54-1</f>
        <v>4.5657953741810031E-2</v>
      </c>
      <c r="X53" s="2362"/>
      <c r="Y53" s="2362"/>
      <c r="Z53" s="2362"/>
    </row>
    <row r="54" spans="1:26" ht="13.5" thickBot="1">
      <c r="A54" s="2374" t="s">
        <v>906</v>
      </c>
      <c r="B54" s="2389">
        <v>220</v>
      </c>
      <c r="C54" s="2389">
        <v>187</v>
      </c>
      <c r="D54" s="2389">
        <f t="shared" si="213"/>
        <v>187</v>
      </c>
      <c r="E54" s="2389">
        <v>301</v>
      </c>
      <c r="F54" s="2390">
        <v>168</v>
      </c>
      <c r="G54" s="3560">
        <v>2009</v>
      </c>
      <c r="H54" s="2395">
        <v>4</v>
      </c>
      <c r="I54" s="2395">
        <v>2.2999999999999998</v>
      </c>
      <c r="J54" s="2395">
        <v>1.04</v>
      </c>
      <c r="K54" s="2395">
        <v>2.84</v>
      </c>
      <c r="L54" s="2396">
        <v>0.67</v>
      </c>
      <c r="N54" s="2397">
        <f t="shared" si="215"/>
        <v>2.3E-2</v>
      </c>
      <c r="O54" s="2398">
        <f t="shared" si="215"/>
        <v>1.04E-2</v>
      </c>
      <c r="P54" s="2398">
        <f t="shared" si="215"/>
        <v>2.8399999999999998E-2</v>
      </c>
      <c r="Q54" s="2398">
        <f t="shared" si="215"/>
        <v>6.7000000000000002E-3</v>
      </c>
      <c r="R54" s="2378"/>
      <c r="S54" s="2391"/>
      <c r="T54" s="2392"/>
      <c r="U54" s="2392"/>
      <c r="V54" s="2392"/>
      <c r="X54" s="2392"/>
      <c r="Y54" s="2392"/>
      <c r="Z54" s="2392"/>
    </row>
    <row r="55" spans="1:26">
      <c r="A55" s="2374" t="s">
        <v>907</v>
      </c>
      <c r="B55" s="2375">
        <f t="shared" ref="B55:C57" si="229">B54/(1+N54)</f>
        <v>215.05376344086022</v>
      </c>
      <c r="C55" s="2375">
        <f t="shared" si="229"/>
        <v>185.0752177355503</v>
      </c>
      <c r="D55" s="2375">
        <f t="shared" si="213"/>
        <v>185.0752177355503</v>
      </c>
      <c r="E55" s="2375">
        <f t="shared" ref="E55:F57" si="230">E54/(1+P54)</f>
        <v>292.68767016725008</v>
      </c>
      <c r="F55" s="2375">
        <f t="shared" si="230"/>
        <v>166.88189132810174</v>
      </c>
      <c r="G55" s="3561">
        <v>2009</v>
      </c>
      <c r="H55" s="2400">
        <v>3</v>
      </c>
      <c r="I55" s="2400">
        <v>2.1</v>
      </c>
      <c r="J55" s="2400">
        <v>1.86</v>
      </c>
      <c r="K55" s="2400">
        <v>2.29</v>
      </c>
      <c r="L55" s="2401">
        <v>0.85</v>
      </c>
      <c r="N55" s="2377">
        <f t="shared" si="215"/>
        <v>2.1000000000000001E-2</v>
      </c>
      <c r="O55" s="2402">
        <f t="shared" si="215"/>
        <v>1.8600000000000002E-2</v>
      </c>
      <c r="P55" s="2402">
        <f t="shared" si="215"/>
        <v>2.29E-2</v>
      </c>
      <c r="Q55" s="2402">
        <f t="shared" si="215"/>
        <v>8.5000000000000006E-3</v>
      </c>
      <c r="R55" s="2378"/>
      <c r="S55" s="2377"/>
      <c r="T55" s="2362"/>
      <c r="U55" s="2362"/>
      <c r="V55" s="2362"/>
    </row>
    <row r="56" spans="1:26">
      <c r="A56" s="2374" t="s">
        <v>908</v>
      </c>
      <c r="B56" s="2375">
        <f t="shared" si="229"/>
        <v>210.630522469011</v>
      </c>
      <c r="C56" s="2375">
        <f t="shared" si="229"/>
        <v>181.69567812247232</v>
      </c>
      <c r="D56" s="2375">
        <f t="shared" si="213"/>
        <v>181.69567812247232</v>
      </c>
      <c r="E56" s="2375">
        <f t="shared" si="230"/>
        <v>286.13517466736738</v>
      </c>
      <c r="F56" s="2375">
        <f t="shared" si="230"/>
        <v>165.47535084591149</v>
      </c>
      <c r="G56" s="3561">
        <v>2009</v>
      </c>
      <c r="H56" s="2387">
        <v>2</v>
      </c>
      <c r="I56" s="2387">
        <v>0.86</v>
      </c>
      <c r="J56" s="2387">
        <v>-1.1299999999999999</v>
      </c>
      <c r="K56" s="2387">
        <v>1.79</v>
      </c>
      <c r="L56" s="2388">
        <v>-2.0699999999999998</v>
      </c>
      <c r="N56" s="2377">
        <f t="shared" si="215"/>
        <v>8.6E-3</v>
      </c>
      <c r="O56" s="2402">
        <f t="shared" si="215"/>
        <v>-1.1299999999999999E-2</v>
      </c>
      <c r="P56" s="2402">
        <f t="shared" si="215"/>
        <v>1.7899999999999999E-2</v>
      </c>
      <c r="Q56" s="2402">
        <f t="shared" si="215"/>
        <v>-2.07E-2</v>
      </c>
      <c r="R56" s="2378"/>
      <c r="S56" s="2377"/>
      <c r="T56" s="2362"/>
      <c r="U56" s="2362"/>
      <c r="V56" s="2362"/>
    </row>
    <row r="57" spans="1:26">
      <c r="A57" s="2374" t="s">
        <v>909</v>
      </c>
      <c r="B57" s="2375">
        <f t="shared" si="229"/>
        <v>208.83454537875372</v>
      </c>
      <c r="C57" s="2375">
        <f t="shared" si="229"/>
        <v>183.77230517090351</v>
      </c>
      <c r="D57" s="2375">
        <f t="shared" si="213"/>
        <v>183.77230517090351</v>
      </c>
      <c r="E57" s="2375">
        <f t="shared" si="230"/>
        <v>281.10342338870947</v>
      </c>
      <c r="F57" s="2375">
        <f t="shared" si="230"/>
        <v>168.97309388942256</v>
      </c>
      <c r="G57" s="3562">
        <v>2009</v>
      </c>
      <c r="H57" s="2376">
        <v>1</v>
      </c>
      <c r="I57" s="2376">
        <v>-2.64</v>
      </c>
      <c r="J57" s="2376">
        <v>-2.5299999999999998</v>
      </c>
      <c r="K57" s="2376">
        <v>-3.02</v>
      </c>
      <c r="L57" s="2382">
        <v>1.52</v>
      </c>
      <c r="N57" s="2393">
        <f t="shared" si="215"/>
        <v>-2.64E-2</v>
      </c>
      <c r="O57" s="2394">
        <f t="shared" si="215"/>
        <v>-2.53E-2</v>
      </c>
      <c r="P57" s="2394">
        <f t="shared" si="215"/>
        <v>-3.0200000000000001E-2</v>
      </c>
      <c r="Q57" s="2394">
        <f t="shared" si="215"/>
        <v>1.52E-2</v>
      </c>
      <c r="R57" s="2378"/>
      <c r="S57" s="2393">
        <f>B57/B58-1</f>
        <v>-2.4137638417038754E-2</v>
      </c>
      <c r="T57" s="2394">
        <f>C57/C58-1</f>
        <v>-2.248773845264096E-2</v>
      </c>
      <c r="U57" s="2394">
        <f>E57/E58-1</f>
        <v>-2.7323794502735366E-2</v>
      </c>
      <c r="V57" s="2394">
        <f>F57/F58-1</f>
        <v>1.7910204153148035E-2</v>
      </c>
      <c r="X57" s="2362"/>
      <c r="Y57" s="2362"/>
      <c r="Z57" s="2362"/>
    </row>
    <row r="58" spans="1:26" ht="13.5" thickBot="1">
      <c r="A58" s="2374" t="s">
        <v>910</v>
      </c>
      <c r="B58" s="2424">
        <v>214</v>
      </c>
      <c r="C58" s="2424">
        <v>188</v>
      </c>
      <c r="D58" s="2424">
        <f t="shared" si="213"/>
        <v>188</v>
      </c>
      <c r="E58" s="2424">
        <v>289</v>
      </c>
      <c r="F58" s="2425">
        <v>166</v>
      </c>
      <c r="G58" s="3560">
        <v>2008</v>
      </c>
      <c r="H58" s="2395">
        <v>4</v>
      </c>
      <c r="I58" s="2395">
        <v>1.73</v>
      </c>
      <c r="J58" s="2395">
        <v>0.03</v>
      </c>
      <c r="K58" s="2395">
        <v>2.59</v>
      </c>
      <c r="L58" s="2396">
        <v>-1.66</v>
      </c>
      <c r="N58" s="2377">
        <f t="shared" si="215"/>
        <v>1.7299999999999999E-2</v>
      </c>
      <c r="O58" s="2362">
        <f t="shared" si="215"/>
        <v>2.9999999999999997E-4</v>
      </c>
      <c r="P58" s="2362">
        <f t="shared" si="215"/>
        <v>2.5899999999999999E-2</v>
      </c>
      <c r="Q58" s="2362">
        <f t="shared" si="215"/>
        <v>-1.66E-2</v>
      </c>
      <c r="R58" s="2378"/>
      <c r="S58" s="2391"/>
      <c r="T58" s="2392"/>
      <c r="U58" s="2392"/>
      <c r="V58" s="2392"/>
      <c r="X58" s="2392"/>
      <c r="Y58" s="2392"/>
      <c r="Z58" s="2392"/>
    </row>
    <row r="59" spans="1:26">
      <c r="A59" s="2374" t="s">
        <v>911</v>
      </c>
      <c r="B59" s="2375">
        <f t="shared" ref="B59:C61" si="231">B58/(1+N58)</f>
        <v>210.36075887152265</v>
      </c>
      <c r="C59" s="2375">
        <f t="shared" si="231"/>
        <v>187.94361691492554</v>
      </c>
      <c r="D59" s="2375">
        <f t="shared" si="213"/>
        <v>187.94361691492554</v>
      </c>
      <c r="E59" s="2375">
        <f t="shared" ref="E59:F61" si="232">E58/(1+P58)</f>
        <v>281.70386977288234</v>
      </c>
      <c r="F59" s="2375">
        <f t="shared" si="232"/>
        <v>168.80211511083994</v>
      </c>
      <c r="G59" s="3561">
        <v>2008</v>
      </c>
      <c r="H59" s="2400">
        <v>3</v>
      </c>
      <c r="I59" s="2400">
        <v>1.96</v>
      </c>
      <c r="J59" s="2400">
        <v>2.36</v>
      </c>
      <c r="K59" s="2400">
        <v>1.82</v>
      </c>
      <c r="L59" s="2401">
        <v>2.2200000000000002</v>
      </c>
      <c r="N59" s="2377">
        <f t="shared" si="215"/>
        <v>1.9599999999999999E-2</v>
      </c>
      <c r="O59" s="2362">
        <f t="shared" si="215"/>
        <v>2.3599999999999999E-2</v>
      </c>
      <c r="P59" s="2362">
        <f t="shared" si="215"/>
        <v>1.8200000000000001E-2</v>
      </c>
      <c r="Q59" s="2362">
        <f t="shared" si="215"/>
        <v>2.2200000000000001E-2</v>
      </c>
      <c r="R59" s="2378"/>
      <c r="S59" s="2377"/>
      <c r="T59" s="2362"/>
      <c r="U59" s="2362"/>
      <c r="V59" s="2362"/>
    </row>
    <row r="60" spans="1:26">
      <c r="A60" s="2374" t="s">
        <v>912</v>
      </c>
      <c r="B60" s="2375">
        <f t="shared" si="231"/>
        <v>206.31694671589116</v>
      </c>
      <c r="C60" s="2375">
        <f t="shared" si="231"/>
        <v>183.61041121036101</v>
      </c>
      <c r="D60" s="2375">
        <f t="shared" si="213"/>
        <v>183.61041121036101</v>
      </c>
      <c r="E60" s="2375">
        <f t="shared" si="232"/>
        <v>276.66850301795557</v>
      </c>
      <c r="F60" s="2375">
        <f t="shared" si="232"/>
        <v>165.1360938278614</v>
      </c>
      <c r="G60" s="3561">
        <v>2008</v>
      </c>
      <c r="H60" s="2387">
        <v>2</v>
      </c>
      <c r="I60" s="2387">
        <v>4.93</v>
      </c>
      <c r="J60" s="2387">
        <v>7.38</v>
      </c>
      <c r="K60" s="2387">
        <v>3.98</v>
      </c>
      <c r="L60" s="2388">
        <v>6.86</v>
      </c>
      <c r="N60" s="2377">
        <f t="shared" si="215"/>
        <v>4.9299999999999997E-2</v>
      </c>
      <c r="O60" s="2362">
        <f t="shared" si="215"/>
        <v>7.3800000000000004E-2</v>
      </c>
      <c r="P60" s="2362">
        <f t="shared" si="215"/>
        <v>3.9800000000000002E-2</v>
      </c>
      <c r="Q60" s="2362">
        <f t="shared" si="215"/>
        <v>6.8600000000000008E-2</v>
      </c>
      <c r="R60" s="2378"/>
      <c r="S60" s="2377"/>
      <c r="T60" s="2362"/>
      <c r="U60" s="2362"/>
      <c r="V60" s="2362"/>
    </row>
    <row r="61" spans="1:26" s="2430" customFormat="1" ht="13.5" thickBot="1">
      <c r="A61" s="2374" t="s">
        <v>913</v>
      </c>
      <c r="B61" s="2427">
        <f t="shared" si="231"/>
        <v>196.62341248059772</v>
      </c>
      <c r="C61" s="2427">
        <f t="shared" si="231"/>
        <v>170.99125648199012</v>
      </c>
      <c r="D61" s="2427">
        <f t="shared" si="213"/>
        <v>170.99125648199012</v>
      </c>
      <c r="E61" s="2427">
        <f t="shared" si="232"/>
        <v>266.07857570490052</v>
      </c>
      <c r="F61" s="2427">
        <f t="shared" si="232"/>
        <v>154.53499328828505</v>
      </c>
      <c r="G61" s="3562">
        <v>2008</v>
      </c>
      <c r="H61" s="2428">
        <v>1</v>
      </c>
      <c r="I61" s="2428">
        <v>4.1399999999999997</v>
      </c>
      <c r="J61" s="2428">
        <v>3.45</v>
      </c>
      <c r="K61" s="2428">
        <v>4.95</v>
      </c>
      <c r="L61" s="2429">
        <v>4.82</v>
      </c>
      <c r="N61" s="2431">
        <f t="shared" si="215"/>
        <v>4.1399999999999999E-2</v>
      </c>
      <c r="O61" s="2432">
        <f t="shared" si="215"/>
        <v>3.4500000000000003E-2</v>
      </c>
      <c r="P61" s="2432">
        <f t="shared" si="215"/>
        <v>4.9500000000000002E-2</v>
      </c>
      <c r="Q61" s="2432">
        <f t="shared" si="215"/>
        <v>4.82E-2</v>
      </c>
      <c r="R61" s="2433"/>
      <c r="S61" s="2431">
        <f>B61/B62-1</f>
        <v>4.5869215322328349E-2</v>
      </c>
      <c r="T61" s="2432">
        <f>C61/C62-1</f>
        <v>3.6310645345394743E-2</v>
      </c>
      <c r="U61" s="2432">
        <f>E61/E62-1</f>
        <v>4.7553447657088688E-2</v>
      </c>
      <c r="V61" s="2432">
        <f>F61/F62-1</f>
        <v>4.4155360055980086E-2</v>
      </c>
      <c r="X61" s="2432"/>
      <c r="Y61" s="2432"/>
      <c r="Z61" s="2432"/>
    </row>
    <row r="62" spans="1:26" ht="13.5" thickBot="1">
      <c r="A62" s="2374" t="s">
        <v>914</v>
      </c>
      <c r="B62" s="2389">
        <v>188</v>
      </c>
      <c r="C62" s="2389">
        <v>165</v>
      </c>
      <c r="D62" s="2389">
        <f t="shared" si="213"/>
        <v>165</v>
      </c>
      <c r="E62" s="2389">
        <v>254</v>
      </c>
      <c r="F62" s="2390">
        <v>148</v>
      </c>
      <c r="G62" s="3560">
        <v>2007</v>
      </c>
      <c r="H62" s="2434">
        <v>4</v>
      </c>
      <c r="I62" s="2434">
        <v>5.51</v>
      </c>
      <c r="J62" s="2434">
        <v>4.8899999999999997</v>
      </c>
      <c r="K62" s="2434">
        <v>6.43</v>
      </c>
      <c r="L62" s="2435">
        <v>5.36</v>
      </c>
      <c r="N62" s="2436">
        <f t="shared" ref="N62:O65" si="233">B62/B63-1</f>
        <v>4.1339718365245526E-2</v>
      </c>
      <c r="O62" s="2437">
        <f t="shared" si="233"/>
        <v>4.0324492593776018E-2</v>
      </c>
      <c r="P62" s="2437">
        <f t="shared" ref="P62:Q65" si="234">E62/E63-1</f>
        <v>6.1625555347990968E-2</v>
      </c>
      <c r="Q62" s="2437">
        <f t="shared" si="234"/>
        <v>4.6757569250590603E-2</v>
      </c>
      <c r="R62" s="2378"/>
      <c r="S62" s="2391"/>
      <c r="T62" s="2392"/>
      <c r="U62" s="2392"/>
      <c r="V62" s="2392"/>
      <c r="X62" s="2392"/>
      <c r="Y62" s="2392"/>
      <c r="Z62" s="2392"/>
    </row>
    <row r="63" spans="1:26">
      <c r="A63" s="2374" t="s">
        <v>915</v>
      </c>
      <c r="B63" s="2375">
        <f t="shared" ref="B63:C65" si="235">B64+(B$62-B$66)*I63/SUM(I$62:I$65)</f>
        <v>180.5366651097618</v>
      </c>
      <c r="C63" s="2375">
        <f t="shared" si="235"/>
        <v>158.60435967302453</v>
      </c>
      <c r="D63" s="2375">
        <f t="shared" si="213"/>
        <v>158.60435967302453</v>
      </c>
      <c r="E63" s="2375">
        <f t="shared" ref="E63:F65" si="236">E64+(E$62-E$66)*K63/SUM(K$62:K$65)</f>
        <v>239.25573260785075</v>
      </c>
      <c r="F63" s="2375">
        <f t="shared" si="236"/>
        <v>141.38899430740037</v>
      </c>
      <c r="G63" s="3561">
        <v>2007</v>
      </c>
      <c r="H63" s="2400">
        <v>3</v>
      </c>
      <c r="I63" s="2400">
        <v>8.65</v>
      </c>
      <c r="J63" s="2400">
        <v>8.06</v>
      </c>
      <c r="K63" s="2400">
        <v>9.94</v>
      </c>
      <c r="L63" s="2401">
        <v>5.8</v>
      </c>
      <c r="N63" s="2436">
        <f t="shared" si="233"/>
        <v>6.940217571740015E-2</v>
      </c>
      <c r="O63" s="2437">
        <f t="shared" si="233"/>
        <v>7.1197482471153428E-2</v>
      </c>
      <c r="P63" s="2437">
        <f t="shared" si="234"/>
        <v>0.10529679922579582</v>
      </c>
      <c r="Q63" s="2437">
        <f t="shared" si="234"/>
        <v>5.3292245059512133E-2</v>
      </c>
      <c r="R63" s="2378"/>
      <c r="S63" s="2377"/>
      <c r="T63" s="2362"/>
      <c r="U63" s="2362"/>
      <c r="V63" s="2362"/>
      <c r="X63" s="2438"/>
      <c r="Y63" s="2438"/>
      <c r="Z63" s="2438"/>
    </row>
    <row r="64" spans="1:26">
      <c r="A64" s="2374" t="s">
        <v>916</v>
      </c>
      <c r="B64" s="2375">
        <f t="shared" si="235"/>
        <v>168.82017748715555</v>
      </c>
      <c r="C64" s="2375">
        <f t="shared" si="235"/>
        <v>148.06267029972753</v>
      </c>
      <c r="D64" s="2375">
        <f t="shared" si="213"/>
        <v>148.06267029972753</v>
      </c>
      <c r="E64" s="2375">
        <f t="shared" si="236"/>
        <v>216.46288379323747</v>
      </c>
      <c r="F64" s="2375">
        <f t="shared" si="236"/>
        <v>134.23529411764704</v>
      </c>
      <c r="G64" s="3561">
        <v>2007</v>
      </c>
      <c r="H64" s="2387">
        <v>2</v>
      </c>
      <c r="I64" s="2387">
        <v>3.67</v>
      </c>
      <c r="J64" s="2387">
        <v>2.3199999999999998</v>
      </c>
      <c r="K64" s="2387">
        <v>5.0199999999999996</v>
      </c>
      <c r="L64" s="2388">
        <v>6.71</v>
      </c>
      <c r="N64" s="2436">
        <f t="shared" si="233"/>
        <v>3.0339138143848032E-2</v>
      </c>
      <c r="O64" s="2437">
        <f t="shared" si="233"/>
        <v>2.0922341588790472E-2</v>
      </c>
      <c r="P64" s="2437">
        <f t="shared" si="234"/>
        <v>5.6164796592717003E-2</v>
      </c>
      <c r="Q64" s="2437">
        <f t="shared" si="234"/>
        <v>6.5704536723887319E-2</v>
      </c>
      <c r="R64" s="2378"/>
      <c r="S64" s="2377"/>
      <c r="T64" s="2362"/>
      <c r="U64" s="2362"/>
      <c r="V64" s="2362"/>
      <c r="X64" s="2438"/>
      <c r="Y64" s="2438"/>
      <c r="Z64" s="2438"/>
    </row>
    <row r="65" spans="1:26">
      <c r="A65" s="2374" t="s">
        <v>917</v>
      </c>
      <c r="B65" s="2375">
        <f t="shared" si="235"/>
        <v>163.84913591779542</v>
      </c>
      <c r="C65" s="2375">
        <f t="shared" si="235"/>
        <v>145.0283378746594</v>
      </c>
      <c r="D65" s="2375">
        <f t="shared" si="213"/>
        <v>145.0283378746594</v>
      </c>
      <c r="E65" s="2375">
        <f t="shared" si="236"/>
        <v>204.95180722891567</v>
      </c>
      <c r="F65" s="2375">
        <f t="shared" si="236"/>
        <v>125.95920303605313</v>
      </c>
      <c r="G65" s="3562">
        <v>2007</v>
      </c>
      <c r="H65" s="2376">
        <v>1</v>
      </c>
      <c r="I65" s="2376">
        <v>3.58</v>
      </c>
      <c r="J65" s="2376">
        <v>3.08</v>
      </c>
      <c r="K65" s="2376">
        <v>4.34</v>
      </c>
      <c r="L65" s="2382">
        <v>3.21</v>
      </c>
      <c r="N65" s="2439">
        <f t="shared" si="233"/>
        <v>3.0497710174814063E-2</v>
      </c>
      <c r="O65" s="2440">
        <f t="shared" si="233"/>
        <v>2.8569772160704998E-2</v>
      </c>
      <c r="P65" s="2440">
        <f t="shared" si="234"/>
        <v>5.1034908866234296E-2</v>
      </c>
      <c r="Q65" s="2440">
        <f t="shared" si="234"/>
        <v>3.245248390207478E-2</v>
      </c>
      <c r="R65" s="2378"/>
      <c r="S65" s="2393">
        <f>B65/B66-1</f>
        <v>3.0497710174814063E-2</v>
      </c>
      <c r="T65" s="2394">
        <f>C65/C66-1</f>
        <v>2.8569772160704998E-2</v>
      </c>
      <c r="U65" s="2394">
        <f>E65/E66-1</f>
        <v>5.1034908866234296E-2</v>
      </c>
      <c r="V65" s="2394">
        <f>F65/F66-1</f>
        <v>3.245248390207478E-2</v>
      </c>
      <c r="X65" s="2438"/>
      <c r="Y65" s="2438"/>
      <c r="Z65" s="2438"/>
    </row>
    <row r="66" spans="1:26" ht="13.5" thickBot="1">
      <c r="A66" s="2374" t="s">
        <v>918</v>
      </c>
      <c r="B66" s="2403">
        <v>159</v>
      </c>
      <c r="C66" s="2403">
        <v>141</v>
      </c>
      <c r="D66" s="2403">
        <f t="shared" si="213"/>
        <v>141</v>
      </c>
      <c r="E66" s="2403">
        <v>195</v>
      </c>
      <c r="F66" s="2404">
        <v>122</v>
      </c>
      <c r="G66" s="3560">
        <v>2006</v>
      </c>
      <c r="H66" s="2395">
        <v>4</v>
      </c>
      <c r="I66" s="2395">
        <v>3.79</v>
      </c>
      <c r="J66" s="2395">
        <v>2.21</v>
      </c>
      <c r="K66" s="2395">
        <v>5.65</v>
      </c>
      <c r="L66" s="2396">
        <v>5.41</v>
      </c>
      <c r="N66" s="2436">
        <f t="shared" ref="N66:O69" si="237">I66/SUM(I$66:I$69)*(B$66/B$70-1)</f>
        <v>7.245466462748526E-2</v>
      </c>
      <c r="O66" s="2437">
        <f t="shared" si="237"/>
        <v>2.3237230038062766E-2</v>
      </c>
      <c r="P66" s="2437">
        <f t="shared" ref="P66:Q69" si="238">K66/SUM(K$66:K$69)*(E$66/E$70-1)</f>
        <v>0.16146893866323722</v>
      </c>
      <c r="Q66" s="2437">
        <f t="shared" si="238"/>
        <v>5.0755230321793784E-2</v>
      </c>
      <c r="R66" s="2378"/>
      <c r="S66" s="2391"/>
      <c r="T66" s="2392"/>
      <c r="U66" s="2392"/>
      <c r="V66" s="2392"/>
      <c r="X66" s="2438"/>
      <c r="Y66" s="2438"/>
      <c r="Z66" s="2438"/>
    </row>
    <row r="67" spans="1:26">
      <c r="A67" s="2374" t="s">
        <v>919</v>
      </c>
      <c r="B67" s="2375">
        <f t="shared" ref="B67:C69" si="239">B68+(B$66-B$70)*I67/SUM(I$66:I$69)</f>
        <v>149.00125628140702</v>
      </c>
      <c r="C67" s="2375">
        <f t="shared" si="239"/>
        <v>137.95592286501378</v>
      </c>
      <c r="D67" s="2375">
        <f t="shared" si="213"/>
        <v>137.95592286501378</v>
      </c>
      <c r="E67" s="2375">
        <f t="shared" ref="E67:F69" si="240">E68+(E$66-E$70)*K67/SUM(K$66:K$69)</f>
        <v>169.97231450719823</v>
      </c>
      <c r="F67" s="2375">
        <f t="shared" si="240"/>
        <v>116.21390374331551</v>
      </c>
      <c r="G67" s="3561">
        <v>2006</v>
      </c>
      <c r="H67" s="2400">
        <v>3</v>
      </c>
      <c r="I67" s="2400">
        <v>0.92</v>
      </c>
      <c r="J67" s="2400">
        <v>1.08</v>
      </c>
      <c r="K67" s="2400">
        <v>0.73</v>
      </c>
      <c r="L67" s="2401">
        <v>1.08</v>
      </c>
      <c r="N67" s="2436">
        <f t="shared" si="237"/>
        <v>1.7587939698492462E-2</v>
      </c>
      <c r="O67" s="2437">
        <f t="shared" si="237"/>
        <v>1.1355750425840628E-2</v>
      </c>
      <c r="P67" s="2437">
        <f t="shared" si="238"/>
        <v>2.0862358446754544E-2</v>
      </c>
      <c r="Q67" s="2437">
        <f t="shared" si="238"/>
        <v>1.0132282578103011E-2</v>
      </c>
      <c r="R67" s="2378"/>
      <c r="S67" s="2377"/>
      <c r="T67" s="2362"/>
      <c r="U67" s="2362"/>
      <c r="V67" s="2362"/>
      <c r="X67" s="2438"/>
      <c r="Y67" s="2438"/>
      <c r="Z67" s="2438"/>
    </row>
    <row r="68" spans="1:26">
      <c r="A68" s="2374" t="s">
        <v>920</v>
      </c>
      <c r="B68" s="2375">
        <f t="shared" si="239"/>
        <v>146.57412060301507</v>
      </c>
      <c r="C68" s="2375">
        <f t="shared" si="239"/>
        <v>136.46831955922866</v>
      </c>
      <c r="D68" s="2375">
        <f t="shared" si="213"/>
        <v>136.46831955922866</v>
      </c>
      <c r="E68" s="2375">
        <f t="shared" si="240"/>
        <v>166.73864894795128</v>
      </c>
      <c r="F68" s="2375">
        <f t="shared" si="240"/>
        <v>115.05882352941177</v>
      </c>
      <c r="G68" s="3561">
        <v>2006</v>
      </c>
      <c r="H68" s="2387">
        <v>2</v>
      </c>
      <c r="I68" s="2387">
        <v>0.96</v>
      </c>
      <c r="J68" s="2387">
        <v>0.25</v>
      </c>
      <c r="K68" s="2387">
        <v>1.9</v>
      </c>
      <c r="L68" s="2388">
        <v>0.95</v>
      </c>
      <c r="N68" s="2436">
        <f t="shared" si="237"/>
        <v>1.8352632728861701E-2</v>
      </c>
      <c r="O68" s="2437">
        <f t="shared" si="237"/>
        <v>2.6286459319075526E-3</v>
      </c>
      <c r="P68" s="2437">
        <f t="shared" si="238"/>
        <v>5.4299289107991269E-2</v>
      </c>
      <c r="Q68" s="2437">
        <f t="shared" si="238"/>
        <v>8.9126559714794995E-3</v>
      </c>
      <c r="R68" s="2378"/>
      <c r="S68" s="2377"/>
      <c r="T68" s="2362"/>
      <c r="U68" s="2362"/>
      <c r="V68" s="2362"/>
      <c r="X68" s="2438"/>
      <c r="Y68" s="2438"/>
      <c r="Z68" s="2438"/>
    </row>
    <row r="69" spans="1:26">
      <c r="A69" s="2374" t="s">
        <v>921</v>
      </c>
      <c r="B69" s="2375">
        <f t="shared" si="239"/>
        <v>144.04145728643215</v>
      </c>
      <c r="C69" s="2375">
        <f t="shared" si="239"/>
        <v>136.12396694214877</v>
      </c>
      <c r="D69" s="2375">
        <f t="shared" si="213"/>
        <v>136.12396694214877</v>
      </c>
      <c r="E69" s="2375">
        <f t="shared" si="240"/>
        <v>158.32225913621264</v>
      </c>
      <c r="F69" s="2375">
        <f t="shared" si="240"/>
        <v>114.04278074866311</v>
      </c>
      <c r="G69" s="3562">
        <v>2006</v>
      </c>
      <c r="H69" s="2376">
        <v>1</v>
      </c>
      <c r="I69" s="2376">
        <v>2.29</v>
      </c>
      <c r="J69" s="2376">
        <v>3.72</v>
      </c>
      <c r="K69" s="2376">
        <v>0.75</v>
      </c>
      <c r="L69" s="2382">
        <v>0.04</v>
      </c>
      <c r="N69" s="2439">
        <f t="shared" si="237"/>
        <v>4.3778675988638847E-2</v>
      </c>
      <c r="O69" s="2440">
        <f t="shared" si="237"/>
        <v>3.9114251466784385E-2</v>
      </c>
      <c r="P69" s="2440">
        <f t="shared" si="238"/>
        <v>2.1433929911049188E-2</v>
      </c>
      <c r="Q69" s="2440">
        <f t="shared" si="238"/>
        <v>3.7526972511492629E-4</v>
      </c>
      <c r="R69" s="2378"/>
      <c r="S69" s="2393">
        <f>B69/B70-1</f>
        <v>4.3778675988638716E-2</v>
      </c>
      <c r="T69" s="2394">
        <f>C69/C70-1</f>
        <v>3.91142514667846E-2</v>
      </c>
      <c r="U69" s="2394">
        <f>E69/E70-1</f>
        <v>2.143392991104931E-2</v>
      </c>
      <c r="V69" s="2394">
        <f>F69/F70-1</f>
        <v>3.7526972511492396E-4</v>
      </c>
      <c r="X69" s="2438"/>
      <c r="Y69" s="2438"/>
      <c r="Z69" s="2438"/>
    </row>
    <row r="70" spans="1:26" ht="13.5" thickBot="1">
      <c r="A70" s="2374" t="s">
        <v>922</v>
      </c>
      <c r="B70" s="2403">
        <v>138</v>
      </c>
      <c r="C70" s="2403">
        <v>131</v>
      </c>
      <c r="D70" s="2403">
        <f t="shared" si="213"/>
        <v>131</v>
      </c>
      <c r="E70" s="2403">
        <v>155</v>
      </c>
      <c r="F70" s="2404">
        <v>114</v>
      </c>
      <c r="G70" s="3560">
        <v>2005</v>
      </c>
      <c r="H70" s="2395">
        <v>4</v>
      </c>
      <c r="I70" s="2395">
        <v>3.29</v>
      </c>
      <c r="J70" s="2395">
        <v>1.44</v>
      </c>
      <c r="K70" s="2395">
        <v>0.66</v>
      </c>
      <c r="L70" s="2396">
        <v>7.78</v>
      </c>
      <c r="N70" s="2436">
        <f t="shared" ref="N70:O73" si="241">I70/SUM(I$70:I$73)*(B$70/B$74-1)</f>
        <v>9.9404603216919935E-2</v>
      </c>
      <c r="O70" s="2437">
        <f t="shared" si="241"/>
        <v>4.7636550760861554E-2</v>
      </c>
      <c r="P70" s="2437">
        <f t="shared" ref="P70:Q73" si="242">K70/SUM(K$70:K$73)*(E$70/E$74-1)</f>
        <v>8.3756345177664976E-2</v>
      </c>
      <c r="Q70" s="2437">
        <f t="shared" si="242"/>
        <v>5.2148766661559584E-2</v>
      </c>
      <c r="R70" s="2378"/>
      <c r="S70" s="2391"/>
      <c r="T70" s="2392"/>
      <c r="U70" s="2392"/>
      <c r="V70" s="2392"/>
      <c r="X70" s="2438"/>
      <c r="Y70" s="2438"/>
      <c r="Z70" s="2438"/>
    </row>
    <row r="71" spans="1:26">
      <c r="A71" s="2374" t="s">
        <v>923</v>
      </c>
      <c r="B71" s="2375">
        <f t="shared" ref="B71:C73" si="243">B72+(B$70-B$74)*I71/SUM(I$70:I$73)</f>
        <v>125.9720430107527</v>
      </c>
      <c r="C71" s="2375">
        <f t="shared" si="243"/>
        <v>125.1883408071749</v>
      </c>
      <c r="D71" s="2375">
        <f t="shared" si="213"/>
        <v>125.1883408071749</v>
      </c>
      <c r="E71" s="2375">
        <f t="shared" ref="E71:F73" si="244">E72+(E$70-E$74)*K71/SUM(K$70:K$73)</f>
        <v>144.61421319796952</v>
      </c>
      <c r="F71" s="2375">
        <f t="shared" si="244"/>
        <v>108.42008196721311</v>
      </c>
      <c r="G71" s="3561">
        <v>2005</v>
      </c>
      <c r="H71" s="2400">
        <v>3</v>
      </c>
      <c r="I71" s="2400">
        <v>0.46</v>
      </c>
      <c r="J71" s="2400">
        <v>0.32</v>
      </c>
      <c r="K71" s="2400">
        <v>0.42</v>
      </c>
      <c r="L71" s="2401">
        <v>0.64</v>
      </c>
      <c r="N71" s="2436">
        <f t="shared" si="241"/>
        <v>1.3898515951301874E-2</v>
      </c>
      <c r="O71" s="2437">
        <f t="shared" si="241"/>
        <v>1.0585900169080346E-2</v>
      </c>
      <c r="P71" s="2437">
        <f t="shared" si="242"/>
        <v>5.3299492385786795E-2</v>
      </c>
      <c r="Q71" s="2437">
        <f t="shared" si="242"/>
        <v>4.2898728359123568E-3</v>
      </c>
      <c r="R71" s="2378"/>
      <c r="S71" s="2377"/>
      <c r="T71" s="2362"/>
      <c r="U71" s="2362"/>
      <c r="V71" s="2362"/>
      <c r="X71" s="2438"/>
      <c r="Y71" s="2438"/>
      <c r="Z71" s="2438"/>
    </row>
    <row r="72" spans="1:26">
      <c r="A72" s="2374" t="s">
        <v>924</v>
      </c>
      <c r="B72" s="2375">
        <f t="shared" si="243"/>
        <v>124.29032258064517</v>
      </c>
      <c r="C72" s="2375">
        <f t="shared" si="243"/>
        <v>123.8968609865471</v>
      </c>
      <c r="D72" s="2375">
        <f t="shared" si="213"/>
        <v>123.8968609865471</v>
      </c>
      <c r="E72" s="2375">
        <f t="shared" si="244"/>
        <v>138.00507614213197</v>
      </c>
      <c r="F72" s="2375">
        <f t="shared" si="244"/>
        <v>107.96106557377048</v>
      </c>
      <c r="G72" s="3561">
        <v>2005</v>
      </c>
      <c r="H72" s="2387">
        <v>2</v>
      </c>
      <c r="I72" s="2387">
        <v>0.47</v>
      </c>
      <c r="J72" s="2387">
        <v>0.1</v>
      </c>
      <c r="K72" s="2387">
        <v>0.52</v>
      </c>
      <c r="L72" s="2388">
        <v>0.79</v>
      </c>
      <c r="N72" s="2436">
        <f t="shared" si="241"/>
        <v>1.420065760241713E-2</v>
      </c>
      <c r="O72" s="2437">
        <f t="shared" si="241"/>
        <v>3.3080938028376083E-3</v>
      </c>
      <c r="P72" s="2437">
        <f t="shared" si="242"/>
        <v>6.598984771573603E-2</v>
      </c>
      <c r="Q72" s="2437">
        <f t="shared" si="242"/>
        <v>5.2953117818293153E-3</v>
      </c>
      <c r="R72" s="2378"/>
      <c r="S72" s="2377"/>
      <c r="T72" s="2362"/>
      <c r="U72" s="2362"/>
      <c r="V72" s="2362"/>
      <c r="X72" s="2438"/>
      <c r="Y72" s="2438"/>
      <c r="Z72" s="2438"/>
    </row>
    <row r="73" spans="1:26">
      <c r="A73" s="2374" t="s">
        <v>925</v>
      </c>
      <c r="B73" s="2375">
        <f t="shared" si="243"/>
        <v>122.57204301075269</v>
      </c>
      <c r="C73" s="2375">
        <f t="shared" si="243"/>
        <v>123.4932735426009</v>
      </c>
      <c r="D73" s="2375">
        <f t="shared" si="213"/>
        <v>123.4932735426009</v>
      </c>
      <c r="E73" s="2375">
        <f t="shared" si="244"/>
        <v>129.82233502538071</v>
      </c>
      <c r="F73" s="2375">
        <f t="shared" si="244"/>
        <v>107.39446721311475</v>
      </c>
      <c r="G73" s="3562">
        <v>2005</v>
      </c>
      <c r="H73" s="2376">
        <v>1</v>
      </c>
      <c r="I73" s="2376">
        <v>0.43</v>
      </c>
      <c r="J73" s="2376">
        <v>0.37</v>
      </c>
      <c r="K73" s="2376">
        <v>0.37</v>
      </c>
      <c r="L73" s="2382">
        <v>0.55000000000000004</v>
      </c>
      <c r="N73" s="2439">
        <f t="shared" si="241"/>
        <v>1.2992090997956099E-2</v>
      </c>
      <c r="O73" s="2440">
        <f t="shared" si="241"/>
        <v>1.2239947070499151E-2</v>
      </c>
      <c r="P73" s="2440">
        <f t="shared" si="242"/>
        <v>4.6954314720812178E-2</v>
      </c>
      <c r="Q73" s="2440">
        <f t="shared" si="242"/>
        <v>3.6866094683621815E-3</v>
      </c>
      <c r="R73" s="2378"/>
      <c r="S73" s="2393">
        <f>B73/B74-1</f>
        <v>1.2992090997956174E-2</v>
      </c>
      <c r="T73" s="2394">
        <f>C73/C74-1</f>
        <v>1.2239947070499246E-2</v>
      </c>
      <c r="U73" s="2394">
        <f>E73/E74-1</f>
        <v>4.695431472081224E-2</v>
      </c>
      <c r="V73" s="2394">
        <f>F73/F74-1</f>
        <v>3.6866094683620787E-3</v>
      </c>
      <c r="X73" s="2438"/>
      <c r="Y73" s="2438"/>
      <c r="Z73" s="2438"/>
    </row>
    <row r="74" spans="1:26" ht="13.5" thickBot="1">
      <c r="A74" s="2374" t="s">
        <v>926</v>
      </c>
      <c r="B74" s="2424">
        <v>121</v>
      </c>
      <c r="C74" s="2424">
        <v>122</v>
      </c>
      <c r="D74" s="2424">
        <f t="shared" si="213"/>
        <v>122</v>
      </c>
      <c r="E74" s="2424">
        <v>124</v>
      </c>
      <c r="F74" s="2425">
        <v>107</v>
      </c>
      <c r="G74" s="3560">
        <v>2004</v>
      </c>
      <c r="H74" s="2395">
        <v>4</v>
      </c>
      <c r="I74" s="2395">
        <v>0.33</v>
      </c>
      <c r="J74" s="2395">
        <v>0.5</v>
      </c>
      <c r="K74" s="2395">
        <v>0.5</v>
      </c>
      <c r="L74" s="2396">
        <v>0</v>
      </c>
      <c r="N74" s="2436">
        <f t="shared" ref="N74:O77" si="245">I74/SUM(I$74:I$77)*(B$74/B$78-1)</f>
        <v>1.3391770148526898E-2</v>
      </c>
      <c r="O74" s="2437">
        <f t="shared" si="245"/>
        <v>1.063264221158958E-2</v>
      </c>
      <c r="P74" s="2437">
        <f t="shared" ref="P74:Q77" si="246">K74/SUM(K$74:K$77)*(E$74/E$78-1)</f>
        <v>2.2244466688911134E-2</v>
      </c>
      <c r="Q74" s="2437">
        <f t="shared" si="246"/>
        <v>0</v>
      </c>
      <c r="R74" s="2378"/>
      <c r="S74" s="2391"/>
      <c r="T74" s="2392"/>
      <c r="U74" s="2392"/>
      <c r="V74" s="2392"/>
      <c r="X74" s="2438"/>
      <c r="Y74" s="2438"/>
      <c r="Z74" s="2438"/>
    </row>
    <row r="75" spans="1:26">
      <c r="A75" s="2374" t="s">
        <v>927</v>
      </c>
      <c r="B75" s="2375">
        <f t="shared" ref="B75:C77" si="247">B76+(B$74-B$78)*I75/SUM(I$74:I$77)</f>
        <v>119.51351351351352</v>
      </c>
      <c r="C75" s="2375">
        <f t="shared" si="247"/>
        <v>120.7878787878788</v>
      </c>
      <c r="D75" s="2375">
        <f t="shared" si="213"/>
        <v>120.7878787878788</v>
      </c>
      <c r="E75" s="2375">
        <f t="shared" ref="E75:F77" si="248">E76+(E$74-E$78)*K75/SUM(K$74:K$77)</f>
        <v>121.5975975975976</v>
      </c>
      <c r="F75" s="2375">
        <f t="shared" si="248"/>
        <v>107</v>
      </c>
      <c r="G75" s="3561">
        <v>2004</v>
      </c>
      <c r="H75" s="2400">
        <v>3</v>
      </c>
      <c r="I75" s="2400">
        <v>0.56000000000000005</v>
      </c>
      <c r="J75" s="2400">
        <v>0.8</v>
      </c>
      <c r="K75" s="2400">
        <v>0.83</v>
      </c>
      <c r="L75" s="2401">
        <v>0.06</v>
      </c>
      <c r="N75" s="2436">
        <f t="shared" si="245"/>
        <v>2.2725428130833527E-2</v>
      </c>
      <c r="O75" s="2437">
        <f t="shared" si="245"/>
        <v>1.7012227538543329E-2</v>
      </c>
      <c r="P75" s="2437">
        <f t="shared" si="246"/>
        <v>3.6925814703592477E-2</v>
      </c>
      <c r="Q75" s="2437">
        <f t="shared" si="246"/>
        <v>2.8846153846153744E-2</v>
      </c>
      <c r="R75" s="2378"/>
      <c r="S75" s="2377"/>
      <c r="T75" s="2362"/>
      <c r="U75" s="2362"/>
      <c r="V75" s="2362"/>
      <c r="X75" s="2438"/>
      <c r="Y75" s="2438"/>
      <c r="Z75" s="2438"/>
    </row>
    <row r="76" spans="1:26">
      <c r="A76" s="2374" t="s">
        <v>928</v>
      </c>
      <c r="B76" s="2375">
        <f t="shared" si="247"/>
        <v>116.99099099099099</v>
      </c>
      <c r="C76" s="2375">
        <f t="shared" si="247"/>
        <v>118.84848484848486</v>
      </c>
      <c r="D76" s="2375">
        <f t="shared" si="213"/>
        <v>118.84848484848486</v>
      </c>
      <c r="E76" s="2375">
        <f t="shared" si="248"/>
        <v>117.60960960960961</v>
      </c>
      <c r="F76" s="2375">
        <f t="shared" si="248"/>
        <v>104</v>
      </c>
      <c r="G76" s="3561">
        <v>2004</v>
      </c>
      <c r="H76" s="2387">
        <v>2</v>
      </c>
      <c r="I76" s="2387">
        <v>1</v>
      </c>
      <c r="J76" s="2387">
        <v>1.5</v>
      </c>
      <c r="K76" s="2387">
        <v>1.5</v>
      </c>
      <c r="L76" s="2388">
        <v>0</v>
      </c>
      <c r="N76" s="2436">
        <f t="shared" si="245"/>
        <v>4.0581121662202721E-2</v>
      </c>
      <c r="O76" s="2437">
        <f t="shared" si="245"/>
        <v>3.1897926634768738E-2</v>
      </c>
      <c r="P76" s="2437">
        <f t="shared" si="246"/>
        <v>6.6733400066733395E-2</v>
      </c>
      <c r="Q76" s="2437">
        <f t="shared" si="246"/>
        <v>0</v>
      </c>
      <c r="R76" s="2378"/>
      <c r="S76" s="2377"/>
      <c r="T76" s="2362"/>
      <c r="U76" s="2362"/>
      <c r="V76" s="2362"/>
      <c r="X76" s="2438"/>
      <c r="Y76" s="2438"/>
      <c r="Z76" s="2438"/>
    </row>
    <row r="77" spans="1:26" s="2430" customFormat="1" ht="13.5" thickBot="1">
      <c r="A77" s="2374" t="s">
        <v>929</v>
      </c>
      <c r="B77" s="2427">
        <f t="shared" si="247"/>
        <v>112.48648648648648</v>
      </c>
      <c r="C77" s="2427">
        <f t="shared" si="247"/>
        <v>115.21212121212122</v>
      </c>
      <c r="D77" s="2427">
        <f t="shared" si="213"/>
        <v>115.21212121212122</v>
      </c>
      <c r="E77" s="2427">
        <f t="shared" si="248"/>
        <v>110.4024024024024</v>
      </c>
      <c r="F77" s="2427">
        <f t="shared" si="248"/>
        <v>104</v>
      </c>
      <c r="G77" s="3562">
        <v>2004</v>
      </c>
      <c r="H77" s="2428">
        <v>1</v>
      </c>
      <c r="I77" s="2428">
        <v>0.33</v>
      </c>
      <c r="J77" s="2428">
        <v>0.5</v>
      </c>
      <c r="K77" s="2428">
        <v>0.5</v>
      </c>
      <c r="L77" s="2429">
        <v>0</v>
      </c>
      <c r="N77" s="2441">
        <f t="shared" si="245"/>
        <v>1.3391770148526898E-2</v>
      </c>
      <c r="O77" s="2442">
        <f t="shared" si="245"/>
        <v>1.063264221158958E-2</v>
      </c>
      <c r="P77" s="2442">
        <f t="shared" si="246"/>
        <v>2.2244466688911134E-2</v>
      </c>
      <c r="Q77" s="2442">
        <f t="shared" si="246"/>
        <v>0</v>
      </c>
      <c r="R77" s="2433"/>
      <c r="S77" s="2431">
        <f>B77/B78-1</f>
        <v>1.3391770148526883E-2</v>
      </c>
      <c r="T77" s="2432">
        <f>C77/C78-1</f>
        <v>1.063264221158966E-2</v>
      </c>
      <c r="U77" s="2432">
        <f>E77/E78-1</f>
        <v>2.2244466688911224E-2</v>
      </c>
      <c r="V77" s="2432">
        <f>F77/F78-1</f>
        <v>0</v>
      </c>
      <c r="X77" s="2443"/>
      <c r="Y77" s="2443"/>
      <c r="Z77" s="2443"/>
    </row>
    <row r="78" spans="1:26" ht="13.5" thickBot="1">
      <c r="A78" s="2374" t="s">
        <v>930</v>
      </c>
      <c r="B78" s="2444">
        <v>111</v>
      </c>
      <c r="C78" s="2444">
        <v>114</v>
      </c>
      <c r="D78" s="2444">
        <f t="shared" si="213"/>
        <v>114</v>
      </c>
      <c r="E78" s="2444">
        <v>108</v>
      </c>
      <c r="F78" s="2445">
        <v>104</v>
      </c>
      <c r="G78" s="3560">
        <v>2003</v>
      </c>
      <c r="H78" s="2434">
        <v>4</v>
      </c>
      <c r="I78" s="2446"/>
      <c r="J78" s="2446"/>
      <c r="K78" s="2446"/>
      <c r="L78" s="2446"/>
      <c r="N78" s="2447"/>
      <c r="O78" s="2446"/>
      <c r="P78" s="2446"/>
      <c r="Q78" s="2446"/>
      <c r="S78" s="2447"/>
      <c r="T78" s="2446"/>
      <c r="U78" s="2446"/>
      <c r="V78" s="2446"/>
      <c r="X78" s="2438"/>
      <c r="Y78" s="2438"/>
      <c r="Z78" s="2438"/>
    </row>
    <row r="79" spans="1:26">
      <c r="A79" s="2374" t="s">
        <v>931</v>
      </c>
      <c r="B79" s="2448">
        <f t="shared" ref="B79:C81" si="249">B80+(B$78-B$82)/4</f>
        <v>109.75</v>
      </c>
      <c r="C79" s="2448">
        <f t="shared" si="249"/>
        <v>112.25</v>
      </c>
      <c r="D79" s="2448">
        <f t="shared" si="213"/>
        <v>112.25</v>
      </c>
      <c r="E79" s="2448">
        <f t="shared" ref="E79:F81" si="250">E80+(E$78-E$82)/4</f>
        <v>107.25</v>
      </c>
      <c r="F79" s="2448">
        <f t="shared" si="250"/>
        <v>103.5</v>
      </c>
      <c r="G79" s="3561">
        <v>2003</v>
      </c>
      <c r="H79" s="2400">
        <v>3</v>
      </c>
      <c r="I79" s="2446"/>
      <c r="J79" s="2446"/>
      <c r="K79" s="2446"/>
      <c r="L79" s="2446"/>
      <c r="X79" s="2438"/>
      <c r="Y79" s="2438"/>
      <c r="Z79" s="2438"/>
    </row>
    <row r="80" spans="1:26">
      <c r="A80" s="2374" t="s">
        <v>932</v>
      </c>
      <c r="B80" s="2448">
        <f t="shared" si="249"/>
        <v>108.5</v>
      </c>
      <c r="C80" s="2448">
        <f t="shared" si="249"/>
        <v>110.5</v>
      </c>
      <c r="D80" s="2448">
        <f t="shared" si="213"/>
        <v>110.5</v>
      </c>
      <c r="E80" s="2448">
        <f t="shared" si="250"/>
        <v>106.5</v>
      </c>
      <c r="F80" s="2448">
        <f t="shared" si="250"/>
        <v>103</v>
      </c>
      <c r="G80" s="3561">
        <v>2003</v>
      </c>
      <c r="H80" s="2387">
        <v>2</v>
      </c>
      <c r="I80" s="2446"/>
      <c r="J80" s="2446"/>
      <c r="K80" s="2446"/>
      <c r="L80" s="2446"/>
      <c r="X80" s="2438"/>
      <c r="Y80" s="2438"/>
      <c r="Z80" s="2438"/>
    </row>
    <row r="81" spans="1:26" ht="13.5" thickBot="1">
      <c r="A81" s="2374" t="s">
        <v>933</v>
      </c>
      <c r="B81" s="2448">
        <f t="shared" si="249"/>
        <v>107.25</v>
      </c>
      <c r="C81" s="2448">
        <f t="shared" si="249"/>
        <v>108.75</v>
      </c>
      <c r="D81" s="2448">
        <f t="shared" si="213"/>
        <v>108.75</v>
      </c>
      <c r="E81" s="2448">
        <f t="shared" si="250"/>
        <v>105.75</v>
      </c>
      <c r="F81" s="2448">
        <f t="shared" si="250"/>
        <v>102.5</v>
      </c>
      <c r="G81" s="3562">
        <v>2003</v>
      </c>
      <c r="H81" s="2449">
        <v>1</v>
      </c>
      <c r="I81" s="2446"/>
      <c r="J81" s="2446"/>
      <c r="K81" s="2446"/>
      <c r="L81" s="2446"/>
      <c r="S81" s="2377"/>
      <c r="T81" s="2362"/>
      <c r="U81" s="2362"/>
      <c r="X81" s="2438"/>
      <c r="Y81" s="2438"/>
      <c r="Z81" s="2438"/>
    </row>
    <row r="82" spans="1:26" ht="13.5" thickBot="1">
      <c r="A82" s="2374" t="s">
        <v>934</v>
      </c>
      <c r="B82" s="2450">
        <v>106</v>
      </c>
      <c r="C82" s="2450">
        <v>107</v>
      </c>
      <c r="D82" s="2450">
        <f t="shared" si="213"/>
        <v>107</v>
      </c>
      <c r="E82" s="2450">
        <v>105</v>
      </c>
      <c r="F82" s="2451">
        <v>102</v>
      </c>
      <c r="G82" s="3560">
        <v>2002</v>
      </c>
      <c r="H82" s="2395">
        <v>4</v>
      </c>
      <c r="I82" s="2446"/>
      <c r="J82" s="2446"/>
      <c r="K82" s="2446"/>
      <c r="L82" s="2446"/>
      <c r="N82" s="2447"/>
      <c r="O82" s="2446"/>
      <c r="P82" s="2446"/>
      <c r="Q82" s="2446"/>
      <c r="S82" s="2447"/>
      <c r="T82" s="2446"/>
      <c r="U82" s="2446"/>
      <c r="V82" s="2446"/>
      <c r="X82" s="2438"/>
      <c r="Y82" s="2438"/>
      <c r="Z82" s="2438"/>
    </row>
    <row r="83" spans="1:26">
      <c r="A83" s="2374" t="s">
        <v>935</v>
      </c>
      <c r="B83" s="2448">
        <f t="shared" ref="B83:C85" si="251">B84+(B$82-B$86)/4</f>
        <v>105</v>
      </c>
      <c r="C83" s="2448">
        <f t="shared" si="251"/>
        <v>106</v>
      </c>
      <c r="D83" s="2448">
        <f t="shared" si="213"/>
        <v>106</v>
      </c>
      <c r="E83" s="2448">
        <f t="shared" ref="E83:F85" si="252">E84+(E$82-E$86)/4</f>
        <v>104.5</v>
      </c>
      <c r="F83" s="2448">
        <f t="shared" si="252"/>
        <v>101.5</v>
      </c>
      <c r="G83" s="3561">
        <v>2002</v>
      </c>
      <c r="H83" s="2400">
        <v>3</v>
      </c>
      <c r="I83" s="2446"/>
      <c r="J83" s="2446"/>
      <c r="K83" s="2446"/>
      <c r="L83" s="2446"/>
      <c r="X83" s="2438"/>
      <c r="Y83" s="2438"/>
      <c r="Z83" s="2438"/>
    </row>
    <row r="84" spans="1:26">
      <c r="A84" s="2374" t="s">
        <v>936</v>
      </c>
      <c r="B84" s="2448">
        <f t="shared" si="251"/>
        <v>104</v>
      </c>
      <c r="C84" s="2448">
        <f t="shared" si="251"/>
        <v>105</v>
      </c>
      <c r="D84" s="2448">
        <f t="shared" si="213"/>
        <v>105</v>
      </c>
      <c r="E84" s="2448">
        <f t="shared" si="252"/>
        <v>104</v>
      </c>
      <c r="F84" s="2448">
        <f t="shared" si="252"/>
        <v>101</v>
      </c>
      <c r="G84" s="3561">
        <v>2002</v>
      </c>
      <c r="H84" s="2387">
        <v>2</v>
      </c>
      <c r="I84" s="2446"/>
      <c r="J84" s="2446"/>
      <c r="K84" s="2446"/>
      <c r="L84" s="2446"/>
      <c r="X84" s="2438"/>
      <c r="Y84" s="2438"/>
      <c r="Z84" s="2438"/>
    </row>
    <row r="85" spans="1:26" s="2411" customFormat="1" ht="13.5" thickBot="1">
      <c r="A85" s="2407" t="s">
        <v>937</v>
      </c>
      <c r="B85" s="2414">
        <f t="shared" si="251"/>
        <v>103</v>
      </c>
      <c r="C85" s="2414">
        <f t="shared" si="251"/>
        <v>104</v>
      </c>
      <c r="D85" s="2414">
        <f t="shared" si="213"/>
        <v>104</v>
      </c>
      <c r="E85" s="2414">
        <f t="shared" si="252"/>
        <v>103.5</v>
      </c>
      <c r="F85" s="2414">
        <f t="shared" si="252"/>
        <v>100.5</v>
      </c>
      <c r="G85" s="3562">
        <v>2002</v>
      </c>
      <c r="H85" s="2452">
        <v>1</v>
      </c>
      <c r="I85" s="2453"/>
      <c r="J85" s="2453"/>
      <c r="K85" s="2453"/>
      <c r="L85" s="2453"/>
      <c r="N85" s="2454"/>
      <c r="S85" s="2454"/>
      <c r="X85" s="2455"/>
      <c r="Y85" s="2455"/>
      <c r="Z85" s="2455"/>
    </row>
    <row r="86" spans="1:26" ht="13.5" thickBot="1">
      <c r="B86" s="2456">
        <v>102</v>
      </c>
      <c r="C86" s="2457">
        <v>103</v>
      </c>
      <c r="D86" s="2457">
        <f t="shared" si="213"/>
        <v>103</v>
      </c>
      <c r="E86" s="2457">
        <v>103</v>
      </c>
      <c r="F86" s="2458">
        <v>100</v>
      </c>
      <c r="I86" s="2446"/>
      <c r="J86" s="2446"/>
      <c r="K86" s="2446"/>
      <c r="L86" s="2446"/>
      <c r="N86" s="2447"/>
      <c r="O86" s="2446"/>
      <c r="P86" s="2446"/>
      <c r="Q86" s="2446"/>
      <c r="S86" s="2447"/>
      <c r="T86" s="2446"/>
      <c r="U86" s="2446"/>
      <c r="V86" s="2446"/>
      <c r="X86" s="2392"/>
      <c r="Y86" s="2392"/>
      <c r="Z86" s="2392"/>
    </row>
    <row r="88" spans="1:26" s="2460" customFormat="1">
      <c r="A88" s="2459" t="s">
        <v>938</v>
      </c>
      <c r="G88" s="2461"/>
      <c r="N88" s="2461"/>
      <c r="S88" s="2461"/>
    </row>
    <row r="89" spans="1:26" s="2460" customFormat="1">
      <c r="A89" s="2460" t="s">
        <v>939</v>
      </c>
      <c r="G89" s="2461"/>
      <c r="N89" s="2461"/>
      <c r="S89" s="2461"/>
    </row>
    <row r="90" spans="1:26" s="2460" customFormat="1">
      <c r="A90" s="2460" t="s">
        <v>940</v>
      </c>
      <c r="G90" s="2461"/>
      <c r="I90" s="2462"/>
      <c r="J90" s="2462"/>
      <c r="K90" s="2462"/>
      <c r="L90" s="2462"/>
      <c r="N90" s="2463"/>
      <c r="O90" s="2462"/>
      <c r="P90" s="2462"/>
      <c r="Q90" s="2462"/>
      <c r="S90" s="2463"/>
      <c r="T90" s="2462"/>
      <c r="U90" s="2462"/>
      <c r="V90" s="2462"/>
    </row>
    <row r="91" spans="1:26" s="2460" customFormat="1">
      <c r="A91" s="2460" t="s">
        <v>941</v>
      </c>
      <c r="G91" s="2461"/>
      <c r="N91" s="2461"/>
      <c r="S91" s="2461"/>
    </row>
    <row r="98" spans="7:22" ht="13.5" thickBot="1"/>
    <row r="99" spans="7:22">
      <c r="G99" s="2361"/>
      <c r="S99" s="2464" t="s">
        <v>942</v>
      </c>
      <c r="T99" s="2465" t="s">
        <v>943</v>
      </c>
      <c r="U99" s="2465" t="s">
        <v>944</v>
      </c>
      <c r="V99" s="2465" t="s">
        <v>945</v>
      </c>
    </row>
    <row r="100" spans="7:22">
      <c r="G100" s="2361"/>
      <c r="N100" s="2391"/>
      <c r="O100" s="2392"/>
      <c r="P100" s="2392"/>
      <c r="Q100" s="2392"/>
      <c r="S100" s="2466">
        <v>2006</v>
      </c>
      <c r="T100" s="2467">
        <v>15.1</v>
      </c>
      <c r="U100" s="2467">
        <v>7.43</v>
      </c>
      <c r="V100" s="2467">
        <v>26.26</v>
      </c>
    </row>
    <row r="101" spans="7:22">
      <c r="G101" s="2361"/>
      <c r="N101" s="2391"/>
      <c r="O101" s="2392"/>
      <c r="P101" s="2392"/>
      <c r="Q101" s="2392"/>
      <c r="S101" s="2468">
        <v>2005</v>
      </c>
      <c r="T101" s="2469">
        <v>13.9</v>
      </c>
      <c r="U101" s="2469">
        <v>7.49</v>
      </c>
      <c r="V101" s="2469">
        <v>24.92</v>
      </c>
    </row>
    <row r="102" spans="7:22">
      <c r="G102" s="2361"/>
      <c r="N102" s="2391"/>
      <c r="O102" s="2392"/>
      <c r="P102" s="2392"/>
      <c r="Q102" s="2392"/>
      <c r="S102" s="2466">
        <v>2004</v>
      </c>
      <c r="T102" s="2467">
        <v>9.48</v>
      </c>
      <c r="U102" s="2467">
        <v>7.2</v>
      </c>
      <c r="V102" s="2467">
        <v>14.68</v>
      </c>
    </row>
    <row r="103" spans="7:22">
      <c r="G103" s="2361"/>
      <c r="N103" s="2391"/>
      <c r="O103" s="2392"/>
      <c r="P103" s="2392"/>
      <c r="Q103" s="2392"/>
      <c r="S103" s="2468">
        <v>2003</v>
      </c>
      <c r="T103" s="2469">
        <v>4.5</v>
      </c>
      <c r="U103" s="2469">
        <v>6.12</v>
      </c>
      <c r="V103" s="2469">
        <v>2.34</v>
      </c>
    </row>
    <row r="104" spans="7:22" ht="13.5" thickBot="1">
      <c r="G104" s="2361"/>
      <c r="N104" s="2391"/>
      <c r="O104" s="2392"/>
      <c r="P104" s="2392"/>
      <c r="Q104" s="2392"/>
      <c r="S104" s="2470">
        <v>2002</v>
      </c>
      <c r="T104" s="2471">
        <v>3.59</v>
      </c>
      <c r="U104" s="2471">
        <v>4.54</v>
      </c>
      <c r="V104" s="2471">
        <v>2.5499999999999998</v>
      </c>
    </row>
    <row r="105" spans="7:22">
      <c r="G105" s="2361"/>
      <c r="N105" s="2391"/>
      <c r="O105" s="2392"/>
      <c r="P105" s="2392"/>
      <c r="Q105" s="2392"/>
    </row>
    <row r="106" spans="7:22">
      <c r="G106" s="2361"/>
      <c r="N106" s="2391"/>
      <c r="O106" s="2392"/>
      <c r="P106" s="2392"/>
      <c r="Q106" s="2392"/>
    </row>
    <row r="107" spans="7:22">
      <c r="G107" s="2361"/>
      <c r="N107" s="2391"/>
      <c r="O107" s="2392"/>
      <c r="P107" s="2392"/>
      <c r="Q107" s="2392"/>
    </row>
    <row r="108" spans="7:22">
      <c r="G108" s="2361"/>
      <c r="N108" s="2391"/>
      <c r="O108" s="2392"/>
      <c r="P108" s="2392"/>
      <c r="Q108" s="2392"/>
    </row>
    <row r="109" spans="7:22">
      <c r="G109" s="2361"/>
      <c r="N109" s="2391"/>
      <c r="O109" s="2392"/>
      <c r="P109" s="2392"/>
      <c r="Q109" s="2392"/>
    </row>
    <row r="110" spans="7:22">
      <c r="G110" s="2361"/>
      <c r="N110" s="2391"/>
      <c r="O110" s="2392"/>
      <c r="P110" s="2392"/>
      <c r="Q110" s="2392"/>
    </row>
    <row r="111" spans="7:22">
      <c r="G111" s="2361"/>
      <c r="N111" s="2391"/>
      <c r="O111" s="2392"/>
      <c r="P111" s="2392"/>
      <c r="Q111" s="2392"/>
    </row>
    <row r="112" spans="7:22">
      <c r="G112" s="2361"/>
      <c r="N112" s="2391"/>
      <c r="O112" s="2392"/>
      <c r="P112" s="2392"/>
      <c r="Q112" s="2392"/>
    </row>
    <row r="113" spans="7:19">
      <c r="G113" s="2361"/>
      <c r="N113" s="2391"/>
      <c r="O113" s="2392"/>
      <c r="P113" s="2392"/>
      <c r="Q113" s="2392"/>
    </row>
    <row r="114" spans="7:19">
      <c r="G114" s="2361"/>
      <c r="N114" s="2391"/>
      <c r="O114" s="2392"/>
      <c r="P114" s="2392"/>
      <c r="Q114" s="2392"/>
    </row>
    <row r="115" spans="7:19">
      <c r="G115" s="2361"/>
      <c r="N115" s="2391"/>
      <c r="O115" s="2392"/>
      <c r="P115" s="2392"/>
      <c r="Q115" s="2392"/>
      <c r="S115" s="2361"/>
    </row>
    <row r="116" spans="7:19">
      <c r="G116" s="2361"/>
      <c r="N116" s="2391"/>
      <c r="O116" s="2392"/>
      <c r="P116" s="2392"/>
      <c r="Q116" s="2392"/>
      <c r="S116" s="2361"/>
    </row>
    <row r="117" spans="7:19">
      <c r="G117" s="2361"/>
      <c r="N117" s="2391"/>
      <c r="O117" s="2392"/>
      <c r="P117" s="2392"/>
      <c r="Q117" s="2392"/>
      <c r="S117" s="2361"/>
    </row>
    <row r="118" spans="7:19">
      <c r="G118" s="2361"/>
      <c r="N118" s="2391"/>
      <c r="O118" s="2392"/>
      <c r="P118" s="2392"/>
      <c r="Q118" s="2392"/>
      <c r="S118" s="2361"/>
    </row>
    <row r="119" spans="7:19">
      <c r="G119" s="2361"/>
      <c r="N119" s="2391"/>
      <c r="O119" s="2392"/>
      <c r="P119" s="2392"/>
      <c r="Q119" s="2392"/>
      <c r="S119" s="2361"/>
    </row>
    <row r="120" spans="7:19">
      <c r="G120" s="2361"/>
      <c r="N120" s="2391"/>
      <c r="O120" s="2392"/>
      <c r="P120" s="2392"/>
      <c r="Q120" s="2392"/>
      <c r="S120" s="2361"/>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Q80" sqref="Q80"/>
      <selection pane="bottomLeft" activeCell="Q80" sqref="Q80"/>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5" t="s">
        <v>2582</v>
      </c>
      <c r="C1" s="3572" t="s">
        <v>2583</v>
      </c>
      <c r="D1" s="3573"/>
      <c r="E1" s="3573"/>
      <c r="F1" s="3573"/>
      <c r="G1" s="3573"/>
      <c r="H1" s="3573"/>
      <c r="I1" s="3573"/>
      <c r="J1" s="3573"/>
      <c r="K1" s="3573"/>
      <c r="L1" s="3573"/>
      <c r="M1" s="3573"/>
      <c r="N1" s="3573"/>
      <c r="O1" s="3573"/>
      <c r="P1" s="3573"/>
      <c r="Q1" s="3573"/>
      <c r="R1" s="3573"/>
      <c r="S1" s="3574"/>
      <c r="T1" s="1095" t="s">
        <v>2584</v>
      </c>
    </row>
    <row r="2" spans="1:45" s="663" customFormat="1">
      <c r="A2" s="1096"/>
      <c r="B2" s="659" t="s">
        <v>2585</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7"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8"/>
      <c r="B3" s="664"/>
      <c r="C3" s="665"/>
      <c r="D3" s="666"/>
      <c r="E3" s="666"/>
      <c r="F3" s="1426"/>
      <c r="G3" s="1426"/>
      <c r="H3" s="1426"/>
      <c r="I3" s="1426"/>
      <c r="J3" s="1426"/>
      <c r="K3" s="1426"/>
      <c r="L3" s="1427"/>
      <c r="M3" s="1428"/>
      <c r="N3" s="1428"/>
      <c r="O3" s="1426"/>
      <c r="P3" s="1426"/>
      <c r="Q3" s="1426"/>
      <c r="R3" s="1426"/>
      <c r="S3" s="1429"/>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9"/>
      <c r="B4" s="1100"/>
      <c r="C4" s="1101"/>
      <c r="D4" s="1102"/>
      <c r="E4" s="1102"/>
      <c r="F4" s="1430"/>
      <c r="G4" s="1430"/>
      <c r="H4" s="1430"/>
      <c r="I4" s="1430"/>
      <c r="J4" s="1430"/>
      <c r="K4" s="1430"/>
      <c r="L4" s="1430"/>
      <c r="M4" s="1431"/>
      <c r="N4" s="1431"/>
      <c r="O4" s="1430"/>
      <c r="P4" s="1430"/>
      <c r="Q4" s="1430"/>
      <c r="R4" s="1430"/>
      <c r="S4" s="1432"/>
      <c r="T4" s="1105"/>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06"/>
      <c r="B5" s="1457" t="s">
        <v>2586</v>
      </c>
      <c r="C5" s="1107"/>
      <c r="D5" s="1108"/>
      <c r="E5" s="1108"/>
      <c r="F5" s="1433"/>
      <c r="G5" s="1433"/>
      <c r="H5" s="1433"/>
      <c r="I5" s="1433"/>
      <c r="J5" s="1433"/>
      <c r="K5" s="1433"/>
      <c r="L5" s="1434"/>
      <c r="M5" s="1435"/>
      <c r="N5" s="1435"/>
      <c r="O5" s="1433"/>
      <c r="P5" s="1433"/>
      <c r="Q5" s="1433"/>
      <c r="R5" s="1433"/>
      <c r="S5" s="1436"/>
      <c r="T5" s="1110"/>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6"/>
      <c r="B6" s="1011"/>
      <c r="C6" s="1017">
        <v>100</v>
      </c>
      <c r="D6" s="1014">
        <f>C6-$T5</f>
        <v>100</v>
      </c>
      <c r="E6" s="1014">
        <f t="shared" ref="E6:S6" si="7">D6-$T5</f>
        <v>100</v>
      </c>
      <c r="F6" s="1437">
        <f t="shared" si="7"/>
        <v>100</v>
      </c>
      <c r="G6" s="1437">
        <f t="shared" si="7"/>
        <v>100</v>
      </c>
      <c r="H6" s="1437">
        <f t="shared" si="7"/>
        <v>100</v>
      </c>
      <c r="I6" s="1437">
        <f t="shared" si="7"/>
        <v>100</v>
      </c>
      <c r="J6" s="1437">
        <f t="shared" si="7"/>
        <v>100</v>
      </c>
      <c r="K6" s="1437">
        <f t="shared" si="7"/>
        <v>100</v>
      </c>
      <c r="L6" s="1437">
        <f t="shared" si="7"/>
        <v>100</v>
      </c>
      <c r="M6" s="1437">
        <f t="shared" si="7"/>
        <v>100</v>
      </c>
      <c r="N6" s="1437">
        <f t="shared" si="7"/>
        <v>100</v>
      </c>
      <c r="O6" s="1437">
        <f t="shared" si="7"/>
        <v>100</v>
      </c>
      <c r="P6" s="1437">
        <f t="shared" si="7"/>
        <v>100</v>
      </c>
      <c r="Q6" s="1437">
        <f t="shared" si="7"/>
        <v>100</v>
      </c>
      <c r="R6" s="1437">
        <f t="shared" si="7"/>
        <v>100</v>
      </c>
      <c r="S6" s="1437">
        <f t="shared" si="7"/>
        <v>100</v>
      </c>
      <c r="T6" s="1013"/>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6"/>
      <c r="B7" s="1458" t="s">
        <v>2587</v>
      </c>
      <c r="C7" s="1016"/>
      <c r="D7" s="1010"/>
      <c r="E7" s="1010"/>
      <c r="F7" s="1438"/>
      <c r="G7" s="1438"/>
      <c r="H7" s="1438"/>
      <c r="I7" s="1438"/>
      <c r="J7" s="1438"/>
      <c r="K7" s="1438"/>
      <c r="L7" s="1438"/>
      <c r="M7" s="1439"/>
      <c r="N7" s="1440"/>
      <c r="O7" s="1441"/>
      <c r="P7" s="1442"/>
      <c r="Q7" s="1443"/>
      <c r="R7" s="1444"/>
      <c r="S7" s="1445"/>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6"/>
      <c r="B8" s="1011"/>
      <c r="C8" s="1017">
        <v>100</v>
      </c>
      <c r="D8" s="1014">
        <f>C8-$T7</f>
        <v>100</v>
      </c>
      <c r="E8" s="1014">
        <f t="shared" ref="E8:S8" si="8">D8-$T7</f>
        <v>100</v>
      </c>
      <c r="F8" s="1437">
        <f t="shared" si="8"/>
        <v>100</v>
      </c>
      <c r="G8" s="1437">
        <f t="shared" si="8"/>
        <v>100</v>
      </c>
      <c r="H8" s="1437">
        <f t="shared" si="8"/>
        <v>100</v>
      </c>
      <c r="I8" s="1437">
        <f t="shared" si="8"/>
        <v>100</v>
      </c>
      <c r="J8" s="1437">
        <f t="shared" si="8"/>
        <v>100</v>
      </c>
      <c r="K8" s="1437">
        <f t="shared" si="8"/>
        <v>100</v>
      </c>
      <c r="L8" s="1437">
        <f t="shared" si="8"/>
        <v>100</v>
      </c>
      <c r="M8" s="1437">
        <f t="shared" si="8"/>
        <v>100</v>
      </c>
      <c r="N8" s="1437">
        <f t="shared" si="8"/>
        <v>100</v>
      </c>
      <c r="O8" s="1437">
        <f t="shared" si="8"/>
        <v>100</v>
      </c>
      <c r="P8" s="1437">
        <f t="shared" si="8"/>
        <v>100</v>
      </c>
      <c r="Q8" s="1437">
        <f t="shared" si="8"/>
        <v>100</v>
      </c>
      <c r="R8" s="1437">
        <f t="shared" si="8"/>
        <v>100</v>
      </c>
      <c r="S8" s="1437">
        <f t="shared" si="8"/>
        <v>100</v>
      </c>
      <c r="T8" s="1013"/>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6"/>
      <c r="B9" s="1458" t="s">
        <v>2588</v>
      </c>
      <c r="C9" s="1016"/>
      <c r="D9" s="1010"/>
      <c r="E9" s="1010"/>
      <c r="F9" s="1438"/>
      <c r="G9" s="1438"/>
      <c r="H9" s="1438"/>
      <c r="I9" s="1438"/>
      <c r="J9" s="1438"/>
      <c r="K9" s="1438"/>
      <c r="L9" s="1446"/>
      <c r="M9" s="1439"/>
      <c r="N9" s="1440"/>
      <c r="O9" s="1441"/>
      <c r="P9" s="1442"/>
      <c r="Q9" s="1443"/>
      <c r="R9" s="1444"/>
      <c r="S9" s="1445"/>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6"/>
      <c r="B10" s="1100"/>
      <c r="C10" s="1111">
        <v>100</v>
      </c>
      <c r="D10" s="1112">
        <f>C10-$T9</f>
        <v>100</v>
      </c>
      <c r="E10" s="1112">
        <f t="shared" ref="E10:S10" si="9">D10-$T9</f>
        <v>100</v>
      </c>
      <c r="F10" s="1447">
        <f t="shared" si="9"/>
        <v>100</v>
      </c>
      <c r="G10" s="1447">
        <f t="shared" si="9"/>
        <v>100</v>
      </c>
      <c r="H10" s="1447">
        <f t="shared" si="9"/>
        <v>100</v>
      </c>
      <c r="I10" s="1447">
        <f t="shared" si="9"/>
        <v>100</v>
      </c>
      <c r="J10" s="1447">
        <f t="shared" si="9"/>
        <v>100</v>
      </c>
      <c r="K10" s="1447">
        <f t="shared" si="9"/>
        <v>100</v>
      </c>
      <c r="L10" s="1447">
        <f t="shared" si="9"/>
        <v>100</v>
      </c>
      <c r="M10" s="1447">
        <f t="shared" si="9"/>
        <v>100</v>
      </c>
      <c r="N10" s="1447">
        <f t="shared" si="9"/>
        <v>100</v>
      </c>
      <c r="O10" s="1447">
        <f t="shared" si="9"/>
        <v>100</v>
      </c>
      <c r="P10" s="1447">
        <f t="shared" si="9"/>
        <v>100</v>
      </c>
      <c r="Q10" s="1447">
        <f t="shared" si="9"/>
        <v>100</v>
      </c>
      <c r="R10" s="1447">
        <f t="shared" si="9"/>
        <v>100</v>
      </c>
      <c r="S10" s="1447">
        <f t="shared" si="9"/>
        <v>100</v>
      </c>
      <c r="T10" s="1105"/>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6"/>
      <c r="B11" s="1457" t="s">
        <v>2589</v>
      </c>
      <c r="C11" s="1107"/>
      <c r="D11" s="1108"/>
      <c r="E11" s="1108"/>
      <c r="F11" s="1108"/>
      <c r="G11" s="1108"/>
      <c r="H11" s="1108"/>
      <c r="I11" s="1108"/>
      <c r="J11" s="1108"/>
      <c r="K11" s="1108"/>
      <c r="L11" s="1108"/>
      <c r="M11" s="1109"/>
      <c r="N11" s="1113"/>
      <c r="O11" s="1114"/>
      <c r="P11" s="1115"/>
      <c r="Q11" s="1116"/>
      <c r="R11" s="1117"/>
      <c r="S11" s="1118"/>
      <c r="T11" s="1110"/>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6"/>
      <c r="B12" s="1011"/>
      <c r="C12" s="1017">
        <v>100</v>
      </c>
      <c r="D12" s="1014">
        <f>C12-$T11</f>
        <v>100</v>
      </c>
      <c r="E12" s="1014">
        <f t="shared" ref="E12:S12" si="10">D12-$T11</f>
        <v>100</v>
      </c>
      <c r="F12" s="1014">
        <f t="shared" si="10"/>
        <v>100</v>
      </c>
      <c r="G12" s="1014">
        <f t="shared" si="10"/>
        <v>100</v>
      </c>
      <c r="H12" s="1014">
        <f t="shared" si="10"/>
        <v>100</v>
      </c>
      <c r="I12" s="1014">
        <f t="shared" si="10"/>
        <v>100</v>
      </c>
      <c r="J12" s="1014">
        <f t="shared" si="10"/>
        <v>100</v>
      </c>
      <c r="K12" s="1014">
        <f t="shared" si="10"/>
        <v>100</v>
      </c>
      <c r="L12" s="1014">
        <f t="shared" si="10"/>
        <v>100</v>
      </c>
      <c r="M12" s="1014">
        <f t="shared" si="10"/>
        <v>100</v>
      </c>
      <c r="N12" s="1014">
        <f t="shared" si="10"/>
        <v>100</v>
      </c>
      <c r="O12" s="1014">
        <f t="shared" si="10"/>
        <v>100</v>
      </c>
      <c r="P12" s="1014">
        <f t="shared" si="10"/>
        <v>100</v>
      </c>
      <c r="Q12" s="1014">
        <f t="shared" si="10"/>
        <v>100</v>
      </c>
      <c r="R12" s="1014">
        <f>Q12-$T11</f>
        <v>100</v>
      </c>
      <c r="S12" s="1014">
        <f t="shared" si="10"/>
        <v>100</v>
      </c>
      <c r="T12" s="1013"/>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6"/>
      <c r="B13" s="1457" t="s">
        <v>2590</v>
      </c>
      <c r="C13" s="1107"/>
      <c r="D13" s="1108"/>
      <c r="E13" s="1108"/>
      <c r="F13" s="1108"/>
      <c r="G13" s="1108"/>
      <c r="H13" s="1108"/>
      <c r="I13" s="1108"/>
      <c r="J13" s="1108"/>
      <c r="K13" s="1108"/>
      <c r="L13" s="1108"/>
      <c r="M13" s="1109"/>
      <c r="N13" s="1113"/>
      <c r="O13" s="1114"/>
      <c r="P13" s="1115"/>
      <c r="Q13" s="1116"/>
      <c r="R13" s="1117"/>
      <c r="S13" s="1118"/>
      <c r="T13" s="1119"/>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6"/>
      <c r="B14" s="1011"/>
      <c r="C14" s="1015"/>
      <c r="D14" s="1012"/>
      <c r="E14" s="1012"/>
      <c r="F14" s="1012"/>
      <c r="G14" s="1012"/>
      <c r="H14" s="1012"/>
      <c r="I14" s="1012"/>
      <c r="J14" s="1012"/>
      <c r="K14" s="1012"/>
      <c r="L14" s="1012"/>
      <c r="M14" s="1120"/>
      <c r="N14" s="1120"/>
      <c r="O14" s="1012"/>
      <c r="P14" s="1012"/>
      <c r="Q14" s="1012"/>
      <c r="R14" s="1012"/>
      <c r="S14" s="1121"/>
      <c r="T14" s="1013"/>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6"/>
      <c r="B15" s="1457" t="s">
        <v>2591</v>
      </c>
      <c r="C15" s="1107"/>
      <c r="D15" s="1108"/>
      <c r="E15" s="1108"/>
      <c r="F15" s="1108"/>
      <c r="G15" s="1108"/>
      <c r="H15" s="1108"/>
      <c r="I15" s="1108"/>
      <c r="J15" s="1108"/>
      <c r="K15" s="1108"/>
      <c r="L15" s="1108"/>
      <c r="M15" s="1109"/>
      <c r="N15" s="1113"/>
      <c r="O15" s="1114"/>
      <c r="P15" s="1115"/>
      <c r="Q15" s="1116"/>
      <c r="R15" s="1117"/>
      <c r="S15" s="1118"/>
      <c r="T15" s="1119"/>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6"/>
      <c r="B16" s="1100"/>
      <c r="C16" s="1101"/>
      <c r="D16" s="1102"/>
      <c r="E16" s="1102"/>
      <c r="F16" s="1102"/>
      <c r="G16" s="1102"/>
      <c r="H16" s="1102"/>
      <c r="I16" s="1102"/>
      <c r="J16" s="1102"/>
      <c r="K16" s="1102"/>
      <c r="L16" s="1102"/>
      <c r="M16" s="1103"/>
      <c r="N16" s="1103"/>
      <c r="O16" s="1102"/>
      <c r="P16" s="1102"/>
      <c r="Q16" s="1102"/>
      <c r="R16" s="1102"/>
      <c r="S16" s="1104"/>
      <c r="T16" s="1105"/>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15" t="s">
        <v>2592</v>
      </c>
      <c r="B17" s="2316" t="s">
        <v>2593</v>
      </c>
      <c r="C17" s="1122"/>
      <c r="D17" s="1123"/>
      <c r="E17" s="1123"/>
      <c r="F17" s="1123"/>
      <c r="G17" s="1123"/>
      <c r="H17" s="1123"/>
      <c r="I17" s="1123"/>
      <c r="J17" s="1123"/>
      <c r="K17" s="1123"/>
      <c r="L17" s="1124"/>
      <c r="M17" s="1125"/>
      <c r="N17" s="1126"/>
      <c r="O17" s="1127"/>
      <c r="P17" s="1128"/>
      <c r="Q17" s="1129"/>
      <c r="R17" s="1130"/>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735"/>
      <c r="AS17" s="735"/>
    </row>
    <row r="18" spans="1:45" s="663" customFormat="1" ht="13.5" thickBot="1">
      <c r="A18" s="1132"/>
      <c r="B18" s="1133"/>
      <c r="C18" s="1134"/>
      <c r="D18" s="1135"/>
      <c r="E18" s="1135"/>
      <c r="F18" s="1135"/>
      <c r="G18" s="1135"/>
      <c r="H18" s="1135"/>
      <c r="I18" s="1135"/>
      <c r="J18" s="1135"/>
      <c r="K18" s="1135"/>
      <c r="L18" s="1135"/>
      <c r="M18" s="1136"/>
      <c r="N18" s="1136"/>
      <c r="O18" s="1135"/>
      <c r="P18" s="1135"/>
      <c r="Q18" s="1135"/>
      <c r="R18" s="1135"/>
      <c r="S18" s="1137"/>
      <c r="T18" s="1137"/>
      <c r="U18" s="1137"/>
      <c r="V18" s="1137"/>
      <c r="W18" s="1137"/>
      <c r="X18" s="1137"/>
      <c r="Y18" s="1137"/>
      <c r="Z18" s="1137"/>
      <c r="AA18" s="1137"/>
      <c r="AB18" s="1137"/>
      <c r="AC18" s="1137"/>
      <c r="AD18" s="1137"/>
      <c r="AE18" s="1137"/>
      <c r="AF18" s="1137"/>
      <c r="AG18" s="1137"/>
      <c r="AH18" s="1137"/>
      <c r="AI18" s="1137"/>
      <c r="AJ18" s="1137"/>
      <c r="AK18" s="1137"/>
      <c r="AL18" s="1137"/>
      <c r="AM18" s="1137"/>
      <c r="AN18" s="1137"/>
      <c r="AO18" s="1137"/>
      <c r="AP18" s="1137"/>
      <c r="AQ18" s="1137"/>
      <c r="AR18" s="735"/>
      <c r="AS18" s="735"/>
    </row>
    <row r="19" spans="1:45">
      <c r="A19" s="134"/>
      <c r="B19" s="164"/>
      <c r="C19" s="164"/>
      <c r="D19" s="2317" t="s">
        <v>2594</v>
      </c>
      <c r="E19" s="1475"/>
      <c r="F19" s="1475"/>
      <c r="G19" s="1475"/>
      <c r="H19" s="1171"/>
      <c r="I19" s="164"/>
      <c r="J19" s="164"/>
      <c r="K19" s="164"/>
      <c r="L19" s="164"/>
      <c r="M19" s="164"/>
      <c r="N19" s="164"/>
      <c r="O19" s="164"/>
      <c r="P19" s="164"/>
      <c r="Q19" s="164"/>
      <c r="R19" s="727"/>
      <c r="S19" s="134"/>
    </row>
    <row r="20" spans="1:45" ht="16.5" thickBot="1">
      <c r="A20" s="671" t="s">
        <v>2595</v>
      </c>
      <c r="B20" s="300" t="e">
        <f ca="1">IF(D20="——",S22,S22-F20)</f>
        <v>#REF!</v>
      </c>
      <c r="C20" s="164"/>
      <c r="D20" s="2318"/>
      <c r="E20" s="1476"/>
      <c r="F20" s="1095" t="e">
        <f ca="1">SUMIF(INDIRECT("'"&amp;H20&amp;"'"&amp;"!A:A"),"承租人权益价值",INDIRECT("'"&amp;H20&amp;"'"&amp;"!c:c"))</f>
        <v>#REF!</v>
      </c>
      <c r="G20" s="1095" t="s">
        <v>2596</v>
      </c>
      <c r="H20" s="2319"/>
      <c r="I20" s="164"/>
      <c r="J20" s="164"/>
      <c r="K20" s="164"/>
      <c r="L20" s="164"/>
      <c r="M20" s="164"/>
      <c r="N20" s="164"/>
      <c r="O20" s="164"/>
      <c r="P20" s="164"/>
      <c r="Q20" s="164"/>
      <c r="R20" s="727"/>
      <c r="S20" s="134"/>
    </row>
    <row r="21" spans="1:45" ht="15.75">
      <c r="A21" s="671" t="s">
        <v>2597</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2598</v>
      </c>
      <c r="B22" s="24">
        <f>SUM(B24:B10000)</f>
        <v>100</v>
      </c>
      <c r="C22" s="3569" t="s">
        <v>33</v>
      </c>
      <c r="D22" s="3570"/>
      <c r="E22" s="3570"/>
      <c r="F22" s="3570"/>
      <c r="G22" s="3570"/>
      <c r="H22" s="3570"/>
      <c r="I22" s="3570"/>
      <c r="J22" s="3570"/>
      <c r="K22" s="3570"/>
      <c r="L22" s="3570"/>
      <c r="M22" s="3570"/>
      <c r="N22" s="3570"/>
      <c r="O22" s="3570"/>
      <c r="P22" s="3570"/>
      <c r="Q22" s="3571"/>
      <c r="R22" s="672">
        <f>ROUND(S22*10000/B22,0)</f>
        <v>10000</v>
      </c>
      <c r="S22" s="24">
        <f>SUM(S24:S10000)</f>
        <v>100</v>
      </c>
    </row>
    <row r="23" spans="1:45" s="12" customFormat="1" ht="24">
      <c r="A23" s="11" t="s">
        <v>2599</v>
      </c>
      <c r="B23" s="11" t="s">
        <v>2600</v>
      </c>
      <c r="C23" s="11" t="s">
        <v>2601</v>
      </c>
      <c r="D23" s="11" t="str">
        <f>B5</f>
        <v>修正项2</v>
      </c>
      <c r="E23" s="11" t="s">
        <v>2601</v>
      </c>
      <c r="F23" s="11" t="str">
        <f>B7</f>
        <v>修正项3</v>
      </c>
      <c r="G23" s="11" t="s">
        <v>2601</v>
      </c>
      <c r="H23" s="11" t="str">
        <f>B9</f>
        <v>修正项4</v>
      </c>
      <c r="I23" s="11" t="s">
        <v>2601</v>
      </c>
      <c r="J23" s="11" t="str">
        <f>B11</f>
        <v>修正项5</v>
      </c>
      <c r="K23" s="11" t="s">
        <v>2601</v>
      </c>
      <c r="L23" s="11" t="str">
        <f>B13</f>
        <v>修正项6</v>
      </c>
      <c r="M23" s="11" t="s">
        <v>2601</v>
      </c>
      <c r="N23" s="11" t="str">
        <f>B15</f>
        <v>修正项7</v>
      </c>
      <c r="O23" s="11" t="s">
        <v>2601</v>
      </c>
      <c r="P23" s="11" t="str">
        <f>B17</f>
        <v>楼层</v>
      </c>
      <c r="Q23" s="11" t="s">
        <v>2601</v>
      </c>
      <c r="R23" s="673" t="s">
        <v>2602</v>
      </c>
      <c r="S23" s="11" t="s">
        <v>2603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2604</v>
      </c>
      <c r="B24" s="674">
        <v>100</v>
      </c>
      <c r="C24" s="2991">
        <v>1</v>
      </c>
      <c r="D24" s="2992"/>
      <c r="E24" s="2991">
        <v>1</v>
      </c>
      <c r="F24" s="2992"/>
      <c r="G24" s="2991">
        <v>1</v>
      </c>
      <c r="H24" s="2992"/>
      <c r="I24" s="2991">
        <v>1</v>
      </c>
      <c r="J24" s="2992"/>
      <c r="K24" s="2991">
        <v>1</v>
      </c>
      <c r="L24" s="2992"/>
      <c r="M24" s="2991">
        <v>1</v>
      </c>
      <c r="N24" s="2992"/>
      <c r="O24" s="2991">
        <v>1</v>
      </c>
      <c r="P24" s="2992"/>
      <c r="Q24" s="299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8" customWidth="1"/>
    <col min="2" max="2" width="37.25" style="1628" customWidth="1"/>
    <col min="3" max="3" width="11.375" style="1628" customWidth="1"/>
    <col min="4" max="4" width="31.75" style="1628" customWidth="1"/>
    <col min="5" max="5" width="0.5" style="1628" customWidth="1"/>
    <col min="6" max="7" width="13" style="1628" customWidth="1"/>
    <col min="8" max="16384" width="9" style="1628"/>
  </cols>
  <sheetData>
    <row r="1" spans="1:5" ht="18.75">
      <c r="A1" s="1626" t="s">
        <v>1344</v>
      </c>
      <c r="B1" s="1627"/>
      <c r="C1" s="1627"/>
      <c r="D1" s="1627"/>
      <c r="E1" s="1627"/>
    </row>
    <row r="2" spans="1:5" ht="78" customHeight="1">
      <c r="A2" s="323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37"/>
      <c r="C2" s="3237"/>
      <c r="D2" s="3237"/>
      <c r="E2" s="3237"/>
    </row>
    <row r="3" spans="1:5" ht="18">
      <c r="A3" s="3238" t="str">
        <f>IF(项目基本情况!B9="房地产市场价值","估价结果一览表（市场价值不需“结果表-1”）","估价结果一览表")</f>
        <v>估价结果一览表</v>
      </c>
      <c r="B3" s="3238"/>
      <c r="C3" s="3238"/>
      <c r="D3" s="3238"/>
      <c r="E3" s="3238"/>
    </row>
    <row r="4" spans="1:5" ht="19.5" thickBot="1">
      <c r="A4" s="1629"/>
      <c r="B4" s="3236" t="s">
        <v>1353</v>
      </c>
      <c r="C4" s="3236"/>
      <c r="D4" s="3236"/>
      <c r="E4" s="1629"/>
    </row>
    <row r="5" spans="1:5" ht="16.5" thickTop="1">
      <c r="A5" s="1627"/>
      <c r="B5" s="3234" t="s">
        <v>1345</v>
      </c>
      <c r="C5" s="1630" t="s">
        <v>1346</v>
      </c>
      <c r="D5" s="940">
        <f ca="1">结果表!H101</f>
        <v>18063</v>
      </c>
      <c r="E5" s="1627"/>
    </row>
    <row r="6" spans="1:5" ht="15.75">
      <c r="A6" s="1627"/>
      <c r="B6" s="3234"/>
      <c r="C6" s="1630" t="s">
        <v>1347</v>
      </c>
      <c r="D6" s="940" t="str">
        <f ca="1">NUMBERSTRING(INT(D5*10000),2)&amp;"元整"</f>
        <v>壹亿捌仟零陆拾叁万元整</v>
      </c>
      <c r="E6" s="1627"/>
    </row>
    <row r="7" spans="1:5" ht="15.75">
      <c r="A7" s="1627"/>
      <c r="B7" s="3239"/>
      <c r="C7" s="1631" t="s">
        <v>1348</v>
      </c>
      <c r="D7" s="941">
        <f ca="1">结果表!H102</f>
        <v>27654</v>
      </c>
      <c r="E7" s="1627"/>
    </row>
    <row r="8" spans="1:5" ht="15.75">
      <c r="A8" s="1627"/>
      <c r="B8" s="3240" t="str">
        <f>结果表!E103</f>
        <v>2.估价师知悉的法定优先受偿款</v>
      </c>
      <c r="C8" s="1632" t="s">
        <v>1349</v>
      </c>
      <c r="D8" s="941">
        <f>结果表!H103</f>
        <v>3208</v>
      </c>
      <c r="E8" s="1627"/>
    </row>
    <row r="9" spans="1:5" ht="15.75">
      <c r="A9" s="1627"/>
      <c r="B9" s="3242"/>
      <c r="C9" s="1630" t="s">
        <v>1347</v>
      </c>
      <c r="D9" s="940" t="str">
        <f>NUMBERSTRING(INT(D8*10000),2)&amp;"元整"</f>
        <v>叁仟贰佰零捌万元整</v>
      </c>
      <c r="E9" s="1627"/>
    </row>
    <row r="10" spans="1:5" ht="15">
      <c r="A10" s="1627"/>
      <c r="B10" s="1633" t="s">
        <v>1352</v>
      </c>
      <c r="C10" s="1634" t="s">
        <v>1350</v>
      </c>
      <c r="D10" s="942">
        <f>结果表!H104</f>
        <v>0</v>
      </c>
      <c r="E10" s="1627"/>
    </row>
    <row r="11" spans="1:5" ht="15">
      <c r="A11" s="1627"/>
      <c r="B11" s="1633" t="s">
        <v>1354</v>
      </c>
      <c r="C11" s="1634" t="s">
        <v>1355</v>
      </c>
      <c r="D11" s="942">
        <f>结果表!H105</f>
        <v>0</v>
      </c>
      <c r="E11" s="1627"/>
    </row>
    <row r="12" spans="1:5" ht="15">
      <c r="A12" s="1627"/>
      <c r="B12" s="1633" t="s">
        <v>1356</v>
      </c>
      <c r="C12" s="1634" t="s">
        <v>1355</v>
      </c>
      <c r="D12" s="942">
        <f>结果表!H106</f>
        <v>3208</v>
      </c>
      <c r="E12" s="1627"/>
    </row>
    <row r="13" spans="1:5" ht="15.75">
      <c r="A13" s="1627"/>
      <c r="B13" s="3233" t="str">
        <f>结果表!E107</f>
        <v>3.房地产抵押价值</v>
      </c>
      <c r="C13" s="1635" t="s">
        <v>1346</v>
      </c>
      <c r="D13" s="943">
        <f ca="1">结果表!H107</f>
        <v>14855</v>
      </c>
      <c r="E13" s="1627"/>
    </row>
    <row r="14" spans="1:5" ht="15.75">
      <c r="A14" s="1627"/>
      <c r="B14" s="3234"/>
      <c r="C14" s="1630" t="s">
        <v>1347</v>
      </c>
      <c r="D14" s="940" t="str">
        <f ca="1">NUMBERSTRING(INT(D13*10000),2)&amp;"元整"</f>
        <v>壹亿肆仟捌佰伍拾伍万元整</v>
      </c>
      <c r="E14" s="1627"/>
    </row>
    <row r="15" spans="1:5" ht="15">
      <c r="A15" s="1627"/>
      <c r="B15" s="3239"/>
      <c r="C15" s="1631" t="s">
        <v>1357</v>
      </c>
      <c r="D15" s="949">
        <f ca="1">结果表!H108</f>
        <v>22742</v>
      </c>
      <c r="E15" s="1627"/>
    </row>
    <row r="16" spans="1:5" ht="15">
      <c r="A16" s="1627"/>
      <c r="B16" s="3240" t="str">
        <f>结果表!E109</f>
        <v>——</v>
      </c>
      <c r="C16" s="1635" t="s">
        <v>1358</v>
      </c>
      <c r="D16" s="1636" t="str">
        <f>结果表!H109</f>
        <v>——</v>
      </c>
      <c r="E16" s="1627"/>
    </row>
    <row r="17" spans="1:5" ht="15.75">
      <c r="A17" s="1627"/>
      <c r="B17" s="3241"/>
      <c r="C17" s="1630" t="s">
        <v>1359</v>
      </c>
      <c r="D17" s="940" t="e">
        <f>NUMBERSTRING(INT(D16*10000),2)&amp;"元整"</f>
        <v>#VALUE!</v>
      </c>
      <c r="E17" s="1627"/>
    </row>
    <row r="18" spans="1:5" ht="15">
      <c r="A18" s="1627"/>
      <c r="B18" s="3242"/>
      <c r="C18" s="1631" t="s">
        <v>1348</v>
      </c>
      <c r="D18" s="949" t="str">
        <f>结果表!H110</f>
        <v>——</v>
      </c>
      <c r="E18" s="1627"/>
    </row>
    <row r="19" spans="1:5" ht="15.75">
      <c r="A19" s="1627"/>
      <c r="B19" s="3233" t="str">
        <f>结果表!E111</f>
        <v>——</v>
      </c>
      <c r="C19" s="1635" t="s">
        <v>1346</v>
      </c>
      <c r="D19" s="941" t="str">
        <f>结果表!H111</f>
        <v>——</v>
      </c>
      <c r="E19" s="1627"/>
    </row>
    <row r="20" spans="1:5" ht="15.75">
      <c r="A20" s="1627"/>
      <c r="B20" s="3234"/>
      <c r="C20" s="1630" t="s">
        <v>1359</v>
      </c>
      <c r="D20" s="940" t="e">
        <f>NUMBERSTRING(INT(D19*10000),2)&amp;"元整"</f>
        <v>#VALUE!</v>
      </c>
      <c r="E20" s="1627"/>
    </row>
    <row r="21" spans="1:5" ht="15.75" thickBot="1">
      <c r="A21" s="1627"/>
      <c r="B21" s="3235"/>
      <c r="C21" s="1637" t="s">
        <v>1357</v>
      </c>
      <c r="D21" s="950" t="str">
        <f>结果表!H112</f>
        <v>——</v>
      </c>
      <c r="E21" s="1627"/>
    </row>
    <row r="22" spans="1:5" ht="15" thickTop="1">
      <c r="A22" s="1627"/>
      <c r="B22" s="1638" t="s">
        <v>1360</v>
      </c>
      <c r="C22" s="1627"/>
      <c r="D22" s="1627"/>
      <c r="E22" s="1627"/>
    </row>
    <row r="23" spans="1:5">
      <c r="A23" s="1627"/>
      <c r="B23" s="1627"/>
      <c r="C23" s="1627"/>
      <c r="D23" s="1627"/>
      <c r="E23" s="1627"/>
    </row>
    <row r="24" spans="1:5" ht="18.75">
      <c r="A24" s="1639"/>
      <c r="B24" s="1640" t="s">
        <v>1351</v>
      </c>
      <c r="C24" s="1639"/>
      <c r="D24" s="1639"/>
      <c r="E24" s="1639"/>
    </row>
    <row r="25" spans="1:5">
      <c r="A25" s="1639"/>
      <c r="B25" s="1639"/>
      <c r="C25" s="1639"/>
      <c r="D25" s="1639"/>
      <c r="E25" s="1639"/>
    </row>
    <row r="26" spans="1:5">
      <c r="A26" s="1639"/>
      <c r="B26" s="1639"/>
      <c r="C26" s="1639"/>
      <c r="D26" s="1639"/>
      <c r="E26" s="1639"/>
    </row>
    <row r="27" spans="1:5">
      <c r="A27" s="1639"/>
      <c r="B27" s="1639"/>
      <c r="C27" s="1639"/>
      <c r="D27" s="1639"/>
      <c r="E27" s="1639"/>
    </row>
    <row r="28" spans="1:5">
      <c r="A28" s="1639"/>
      <c r="B28" s="1639"/>
      <c r="C28" s="1639"/>
      <c r="D28" s="1639"/>
      <c r="E28" s="1639"/>
    </row>
    <row r="29" spans="1:5">
      <c r="A29" s="1639"/>
      <c r="B29" s="1639"/>
      <c r="C29" s="1639"/>
      <c r="D29" s="1639"/>
      <c r="E29" s="1639"/>
    </row>
    <row r="30" spans="1:5">
      <c r="A30" s="1639"/>
      <c r="B30" s="1639"/>
      <c r="C30" s="1639"/>
      <c r="D30" s="1639"/>
      <c r="E30" s="1639"/>
    </row>
    <row r="31" spans="1:5">
      <c r="A31" s="1639"/>
      <c r="B31" s="1639"/>
      <c r="C31" s="1639"/>
      <c r="D31" s="1639"/>
      <c r="E31" s="1639"/>
    </row>
    <row r="32" spans="1:5">
      <c r="A32" s="1639"/>
      <c r="B32" s="1639"/>
      <c r="C32" s="1639"/>
      <c r="D32" s="1639"/>
      <c r="E32" s="1639"/>
    </row>
    <row r="33" spans="1:5">
      <c r="A33" s="1639"/>
      <c r="B33" s="1639"/>
      <c r="C33" s="1639"/>
      <c r="D33" s="1639"/>
      <c r="E33" s="1639"/>
    </row>
    <row r="34" spans="1:5">
      <c r="A34" s="1639"/>
      <c r="B34" s="1639"/>
      <c r="C34" s="1639"/>
      <c r="D34" s="1639"/>
      <c r="E34" s="1639"/>
    </row>
    <row r="35" spans="1:5">
      <c r="A35" s="1639"/>
      <c r="B35" s="1639"/>
      <c r="C35" s="1639"/>
      <c r="D35" s="1639"/>
      <c r="E35" s="1639"/>
    </row>
    <row r="36" spans="1:5">
      <c r="A36" s="1639"/>
      <c r="B36" s="1639"/>
      <c r="C36" s="1639"/>
      <c r="D36" s="1639"/>
      <c r="E36" s="1639"/>
    </row>
    <row r="37" spans="1:5">
      <c r="A37" s="1639"/>
      <c r="B37" s="1639"/>
      <c r="C37" s="1639"/>
      <c r="D37" s="1639"/>
      <c r="E37" s="1639"/>
    </row>
    <row r="38" spans="1:5">
      <c r="A38" s="1639"/>
      <c r="B38" s="1639"/>
      <c r="C38" s="1639"/>
      <c r="D38" s="1639"/>
      <c r="E38" s="1639"/>
    </row>
    <row r="39" spans="1:5">
      <c r="A39" s="1639"/>
      <c r="B39" s="1639"/>
      <c r="C39" s="1639"/>
      <c r="D39" s="1639"/>
      <c r="E39" s="1639"/>
    </row>
    <row r="40" spans="1:5">
      <c r="A40" s="1639"/>
      <c r="B40" s="1639"/>
      <c r="C40" s="1639"/>
      <c r="D40" s="1639"/>
      <c r="E40" s="1639"/>
    </row>
    <row r="41" spans="1:5">
      <c r="A41" s="1639"/>
      <c r="B41" s="1639"/>
      <c r="C41" s="1639"/>
      <c r="D41" s="1639"/>
      <c r="E41" s="1639"/>
    </row>
    <row r="42" spans="1:5">
      <c r="A42" s="1639"/>
      <c r="B42" s="1639"/>
      <c r="C42" s="1639"/>
      <c r="D42" s="1639"/>
      <c r="E42" s="163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31495</v>
      </c>
      <c r="C2" s="2" t="s">
        <v>133</v>
      </c>
      <c r="D2" s="205"/>
      <c r="E2" s="205"/>
      <c r="F2" s="205"/>
      <c r="G2" s="205"/>
    </row>
    <row r="3" spans="1:7" s="206" customFormat="1" ht="18" customHeight="1" thickBot="1">
      <c r="A3" s="209" t="s">
        <v>85</v>
      </c>
      <c r="B3" s="210">
        <f ca="1">ROUND(B2*10000/'数据-汇总表'!E3,0)</f>
        <v>48218</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7" t="s">
        <v>610</v>
      </c>
      <c r="B6" s="221" t="s">
        <v>91</v>
      </c>
      <c r="C6" s="222">
        <v>20000</v>
      </c>
      <c r="D6" s="223"/>
      <c r="E6" s="224"/>
      <c r="F6" s="224"/>
      <c r="G6" s="225"/>
    </row>
    <row r="7" spans="1:7" s="220" customFormat="1" ht="13.5" customHeight="1">
      <c r="A7" s="867" t="s">
        <v>611</v>
      </c>
      <c r="B7" s="221" t="s">
        <v>57</v>
      </c>
      <c r="C7" s="226">
        <f>ROUND(C6*F7,0)</f>
        <v>610</v>
      </c>
      <c r="D7" s="226"/>
      <c r="E7" s="224"/>
      <c r="F7" s="227">
        <f>'数据-取费表'!B48+'数据-取费表'!B49</f>
        <v>3.0499999999999999E-2</v>
      </c>
      <c r="G7" s="225"/>
    </row>
    <row r="8" spans="1:7" s="229" customFormat="1">
      <c r="A8" s="867" t="s">
        <v>612</v>
      </c>
      <c r="B8" s="221" t="s">
        <v>92</v>
      </c>
      <c r="C8" s="226" t="str">
        <f>IF(G8="已包含在土地购买价格中","0",'数据-取费表'!B29)</f>
        <v>0</v>
      </c>
      <c r="D8" s="228"/>
      <c r="E8" s="226"/>
      <c r="F8" s="227"/>
      <c r="G8" s="1" t="s">
        <v>876</v>
      </c>
    </row>
    <row r="9" spans="1:7" s="220" customFormat="1" ht="13.5" customHeight="1">
      <c r="A9" s="868" t="s">
        <v>619</v>
      </c>
      <c r="B9" s="230" t="s">
        <v>93</v>
      </c>
      <c r="C9" s="231">
        <f>ROUND(D9*E9/10000,0)</f>
        <v>0</v>
      </c>
      <c r="D9" s="935">
        <f>'数据-汇总表'!E5</f>
        <v>0</v>
      </c>
      <c r="E9" s="231">
        <f>'数据-取费表'!B27</f>
        <v>160</v>
      </c>
      <c r="F9" s="227"/>
      <c r="G9" s="232"/>
    </row>
    <row r="10" spans="1:7" s="220" customFormat="1" ht="13.5" customHeight="1">
      <c r="A10" s="868" t="s">
        <v>620</v>
      </c>
      <c r="B10" s="230" t="s">
        <v>94</v>
      </c>
      <c r="C10" s="231">
        <f>ROUND(D10*E10/10000,0)</f>
        <v>131</v>
      </c>
      <c r="D10" s="935">
        <f>'数据-汇总表'!E6</f>
        <v>6531.86</v>
      </c>
      <c r="E10" s="231">
        <f>'数据-取费表'!B28</f>
        <v>200</v>
      </c>
      <c r="F10" s="227"/>
      <c r="G10" s="232"/>
    </row>
    <row r="11" spans="1:7" s="220" customFormat="1" ht="13.5" hidden="1" customHeight="1">
      <c r="A11" s="233" t="s">
        <v>7</v>
      </c>
      <c r="B11" s="221" t="s">
        <v>95</v>
      </c>
      <c r="C11" s="217"/>
      <c r="D11" s="937"/>
      <c r="E11" s="224"/>
      <c r="F11" s="224"/>
      <c r="G11" s="225"/>
    </row>
    <row r="12" spans="1:7" s="220" customFormat="1" ht="13.5" hidden="1" customHeight="1">
      <c r="A12" s="233" t="s">
        <v>8</v>
      </c>
      <c r="B12" s="221" t="s">
        <v>96</v>
      </c>
      <c r="C12" s="217">
        <v>0</v>
      </c>
      <c r="D12" s="937"/>
      <c r="E12" s="234"/>
      <c r="F12" s="227">
        <v>3.0499999999999999E-2</v>
      </c>
      <c r="G12" s="225"/>
    </row>
    <row r="13" spans="1:7" s="220" customFormat="1" ht="13.5" hidden="1" customHeight="1">
      <c r="A13" s="233" t="s">
        <v>9</v>
      </c>
      <c r="B13" s="221" t="s">
        <v>97</v>
      </c>
      <c r="C13" s="217"/>
      <c r="D13" s="937"/>
      <c r="E13" s="224"/>
      <c r="F13" s="224"/>
      <c r="G13" s="225"/>
    </row>
    <row r="14" spans="1:7" s="220" customFormat="1" ht="13.5" hidden="1" customHeight="1">
      <c r="A14" s="233" t="s">
        <v>10</v>
      </c>
      <c r="B14" s="221" t="s">
        <v>92</v>
      </c>
      <c r="C14" s="217"/>
      <c r="D14" s="937"/>
      <c r="E14" s="224"/>
      <c r="F14" s="224"/>
      <c r="G14" s="225" t="s">
        <v>98</v>
      </c>
    </row>
    <row r="15" spans="1:7" s="220" customFormat="1" ht="13.5" hidden="1" customHeight="1">
      <c r="A15" s="233" t="s">
        <v>11</v>
      </c>
      <c r="B15" s="221" t="s">
        <v>99</v>
      </c>
      <c r="C15" s="226"/>
      <c r="D15" s="937"/>
      <c r="E15" s="224"/>
      <c r="F15" s="224"/>
      <c r="G15" s="225" t="s">
        <v>100</v>
      </c>
    </row>
    <row r="16" spans="1:7" s="220" customFormat="1" ht="13.5" hidden="1" customHeight="1">
      <c r="A16" s="233" t="s">
        <v>12</v>
      </c>
      <c r="B16" s="221" t="s">
        <v>92</v>
      </c>
      <c r="C16" s="226"/>
      <c r="D16" s="937"/>
      <c r="E16" s="224"/>
      <c r="F16" s="224"/>
      <c r="G16" s="225"/>
    </row>
    <row r="17" spans="1:7" s="220" customFormat="1" ht="13.5" hidden="1" customHeight="1">
      <c r="A17" s="233" t="s">
        <v>13</v>
      </c>
      <c r="B17" s="221" t="s">
        <v>101</v>
      </c>
      <c r="C17" s="235"/>
      <c r="D17" s="938"/>
      <c r="E17" s="235"/>
      <c r="F17" s="235"/>
      <c r="G17" s="225" t="s">
        <v>100</v>
      </c>
    </row>
    <row r="18" spans="1:7" s="220" customFormat="1" ht="13.5" hidden="1" customHeight="1">
      <c r="A18" s="233" t="s">
        <v>14</v>
      </c>
      <c r="B18" s="221" t="s">
        <v>102</v>
      </c>
      <c r="C18" s="226">
        <v>0</v>
      </c>
      <c r="D18" s="937"/>
      <c r="E18" s="224"/>
      <c r="F18" s="227">
        <v>3.0499999999999999E-2</v>
      </c>
      <c r="G18" s="225" t="s">
        <v>103</v>
      </c>
    </row>
    <row r="19" spans="1:7" s="229" customFormat="1" ht="13.5" customHeight="1">
      <c r="A19" s="866" t="s">
        <v>842</v>
      </c>
      <c r="B19" s="216" t="s">
        <v>111</v>
      </c>
      <c r="C19" s="217">
        <f>IF(G19="已包含在土地取得成本中","0",ROUND(D19*E19/10000,0))</f>
        <v>131</v>
      </c>
      <c r="D19" s="939">
        <f>'数据-汇总表'!E3</f>
        <v>6531.86</v>
      </c>
      <c r="E19" s="217">
        <f>'数据-取费表'!B31</f>
        <v>200</v>
      </c>
      <c r="F19" s="237"/>
      <c r="G19" s="1" t="s">
        <v>861</v>
      </c>
    </row>
    <row r="20" spans="1:7" s="220" customFormat="1" ht="13.5" customHeight="1">
      <c r="A20" s="866" t="s">
        <v>844</v>
      </c>
      <c r="B20" s="216" t="s">
        <v>104</v>
      </c>
      <c r="C20" s="238">
        <f>ROUND((C5+C19)*F20,0)</f>
        <v>415</v>
      </c>
      <c r="D20" s="238"/>
      <c r="E20" s="238"/>
      <c r="F20" s="239">
        <f>'数据-取费表'!B37</f>
        <v>0.02</v>
      </c>
      <c r="G20" s="1180" t="s">
        <v>855</v>
      </c>
    </row>
    <row r="21" spans="1:7" s="220" customFormat="1" ht="13.5" customHeight="1">
      <c r="A21" s="866" t="s">
        <v>846</v>
      </c>
      <c r="B21" s="216" t="s">
        <v>105</v>
      </c>
      <c r="C21" s="241">
        <f>F21</f>
        <v>0.02</v>
      </c>
      <c r="D21" s="242" t="s">
        <v>126</v>
      </c>
      <c r="E21" s="238"/>
      <c r="F21" s="239">
        <f>'数据-取费表'!B38</f>
        <v>0.02</v>
      </c>
      <c r="G21" s="240" t="s">
        <v>106</v>
      </c>
    </row>
    <row r="22" spans="1:7" s="220" customFormat="1" ht="13.5" customHeight="1">
      <c r="A22" s="866" t="s">
        <v>605</v>
      </c>
      <c r="B22" s="216" t="s">
        <v>107</v>
      </c>
      <c r="C22" s="1217">
        <f ca="1">ROUND(SUM(C23:C25),0)</f>
        <v>1774</v>
      </c>
      <c r="D22" s="241">
        <f ca="1">C26</f>
        <v>8.0000000000000004E-4</v>
      </c>
      <c r="E22" s="242" t="s">
        <v>126</v>
      </c>
      <c r="F22" s="243">
        <f ca="1">'数据-取费表'!B40</f>
        <v>4.1499999999999995E-2</v>
      </c>
      <c r="G22" s="1180" t="str">
        <f>IF('数据-取费表'!B22&lt;=1,"单利计息","复利计息")</f>
        <v>复利计息</v>
      </c>
    </row>
    <row r="23" spans="1:7" s="220" customFormat="1" ht="13.5" customHeight="1">
      <c r="A23" s="869" t="s">
        <v>613</v>
      </c>
      <c r="B23" s="221" t="s">
        <v>848</v>
      </c>
      <c r="C23" s="1218">
        <f ca="1">ROUND(IF('数据-取费表'!B22&lt;=1,C5*F22*'数据-取费表'!B23,C5*(POWER((1+F22),'数据-取费表'!B23)-1)),0)</f>
        <v>1746</v>
      </c>
      <c r="D23" s="244"/>
      <c r="E23" s="244"/>
      <c r="F23" s="245"/>
      <c r="G23" s="246" t="s">
        <v>108</v>
      </c>
    </row>
    <row r="24" spans="1:7" s="220" customFormat="1" ht="13.5" customHeight="1">
      <c r="A24" s="869" t="s">
        <v>611</v>
      </c>
      <c r="B24" s="221" t="s">
        <v>843</v>
      </c>
      <c r="C24" s="1218">
        <f ca="1">ROUND(IF('数据-取费表'!B22&lt;=1,C19*F22*('数据-取费表'!B19/2+'数据-取费表'!B21),C19*(POWER((1+F22),('数据-取费表'!B19/2+'数据-取费表'!B21))-1)),0)</f>
        <v>11</v>
      </c>
      <c r="D24" s="244"/>
      <c r="E24" s="244"/>
      <c r="F24" s="245"/>
      <c r="G24" s="246" t="s">
        <v>109</v>
      </c>
    </row>
    <row r="25" spans="1:7" s="220" customFormat="1" ht="24">
      <c r="A25" s="869" t="s">
        <v>612</v>
      </c>
      <c r="B25" s="221" t="s">
        <v>845</v>
      </c>
      <c r="C25" s="1218">
        <f ca="1">ROUND(IF('数据-取费表'!B22&lt;=1,C20*F22*'数据-取费表'!B23/2,C20*(POWER((1+F22),'数据-取费表'!B23/2)-1)),0)</f>
        <v>17</v>
      </c>
      <c r="D25" s="244"/>
      <c r="E25" s="247"/>
      <c r="F25" s="245"/>
      <c r="G25" s="248" t="s">
        <v>110</v>
      </c>
    </row>
    <row r="26" spans="1:7" s="220" customFormat="1">
      <c r="A26" s="869" t="s">
        <v>614</v>
      </c>
      <c r="B26" s="221" t="s">
        <v>847</v>
      </c>
      <c r="C26" s="244">
        <f ca="1">ROUND(IF('数据-取费表'!B22&lt;=1,F21*F22*'数据-取费表'!B23/2,F21*(POWER((1+F22),'数据-取费表'!B23/2)-1)),4)</f>
        <v>8.0000000000000004E-4</v>
      </c>
      <c r="D26" s="244"/>
      <c r="E26" s="247"/>
      <c r="F26" s="245"/>
      <c r="G26" s="249"/>
    </row>
    <row r="27" spans="1:7" s="220" customFormat="1" ht="24.75">
      <c r="A27" s="866" t="s">
        <v>606</v>
      </c>
      <c r="B27" s="250" t="s">
        <v>112</v>
      </c>
      <c r="C27" s="251">
        <f>C28</f>
        <v>4231</v>
      </c>
      <c r="D27" s="241">
        <f>C29</f>
        <v>4.0000000000000001E-3</v>
      </c>
      <c r="E27" s="242" t="s">
        <v>126</v>
      </c>
      <c r="F27" s="252">
        <f>'数据-取费表'!Q16</f>
        <v>0.2</v>
      </c>
      <c r="G27" s="253" t="s">
        <v>856</v>
      </c>
    </row>
    <row r="28" spans="1:7" s="220" customFormat="1" ht="13.5" customHeight="1">
      <c r="A28" s="869" t="s">
        <v>613</v>
      </c>
      <c r="B28" s="254" t="s">
        <v>849</v>
      </c>
      <c r="C28" s="255">
        <f>ROUND((C5+C19+C20)*F27*'数据-取费表'!B21/'数据-取费表'!B20,0)</f>
        <v>4231</v>
      </c>
      <c r="D28" s="241"/>
      <c r="E28" s="242"/>
      <c r="F28" s="252"/>
      <c r="G28" s="253"/>
    </row>
    <row r="29" spans="1:7" s="220" customFormat="1" ht="13.5" customHeight="1">
      <c r="A29" s="869" t="s">
        <v>611</v>
      </c>
      <c r="B29" s="254" t="s">
        <v>850</v>
      </c>
      <c r="C29" s="244">
        <f>ROUND(C21*F27*'数据-取费表'!B21/'数据-取费表'!B20,4)</f>
        <v>4.0000000000000001E-3</v>
      </c>
      <c r="D29" s="241"/>
      <c r="E29" s="242"/>
      <c r="F29" s="252"/>
      <c r="G29" s="253"/>
    </row>
    <row r="30" spans="1:7" s="220" customFormat="1" ht="13.5" customHeight="1">
      <c r="A30" s="866"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29463</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1998</v>
      </c>
      <c r="D33" s="238"/>
      <c r="E33" s="218"/>
      <c r="F33" s="247"/>
      <c r="G33" s="240"/>
    </row>
    <row r="34" spans="1:7" s="264" customFormat="1" ht="13.5" customHeight="1">
      <c r="A34" s="869" t="s">
        <v>613</v>
      </c>
      <c r="B34" s="221" t="s">
        <v>59</v>
      </c>
      <c r="C34" s="226">
        <f>IF(F34=100%,'数据-取费表'!M16-SUMIF('数据-取费表'!C:C,"公共配套",'数据-取费表'!M:M),'数据-取费表'!O16-SUMIF('数据-取费表'!C:C,"公共配套",'数据-取费表'!O:O))</f>
        <v>1786</v>
      </c>
      <c r="D34" s="223"/>
      <c r="E34" s="226"/>
      <c r="F34" s="263">
        <f>IF('数据-取费表'!B24=0,1,'数据-取费表'!N16)</f>
        <v>1</v>
      </c>
      <c r="G34" s="225" t="s">
        <v>116</v>
      </c>
    </row>
    <row r="35" spans="1:7" ht="13.5" customHeight="1">
      <c r="A35" s="869" t="s">
        <v>615</v>
      </c>
      <c r="B35" s="221" t="s">
        <v>60</v>
      </c>
      <c r="C35" s="226">
        <f>ROUND(C34*F35,0)</f>
        <v>54</v>
      </c>
      <c r="D35" s="226"/>
      <c r="E35" s="226"/>
      <c r="F35" s="265">
        <f>'数据-取费表'!B33</f>
        <v>0.03</v>
      </c>
      <c r="G35" s="225" t="s">
        <v>117</v>
      </c>
    </row>
    <row r="36" spans="1:7" ht="24">
      <c r="A36" s="869"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9" t="s">
        <v>617</v>
      </c>
      <c r="B37" s="221" t="s">
        <v>118</v>
      </c>
      <c r="C37" s="255">
        <f>ROUND(E37*D37*F34/10000,0)</f>
        <v>131</v>
      </c>
      <c r="D37" s="223">
        <f>'数据-汇总表'!E3</f>
        <v>6531.86</v>
      </c>
      <c r="E37" s="255">
        <f>'数据-取费表'!B35</f>
        <v>200</v>
      </c>
      <c r="F37" s="265"/>
      <c r="G37" s="267" t="s">
        <v>119</v>
      </c>
    </row>
    <row r="38" spans="1:7" ht="13.5" customHeight="1">
      <c r="A38" s="869" t="s">
        <v>618</v>
      </c>
      <c r="B38" s="221" t="s">
        <v>63</v>
      </c>
      <c r="C38" s="226">
        <f>ROUND(C34*F38,0)</f>
        <v>27</v>
      </c>
      <c r="D38" s="226"/>
      <c r="E38" s="226"/>
      <c r="F38" s="265">
        <f>'数据-取费表'!B36</f>
        <v>1.4999999999999999E-2</v>
      </c>
      <c r="G38" s="225" t="s">
        <v>117</v>
      </c>
    </row>
    <row r="39" spans="1:7" s="220" customFormat="1" ht="13.5" customHeight="1">
      <c r="A39" s="866" t="s">
        <v>602</v>
      </c>
      <c r="B39" s="216" t="s">
        <v>104</v>
      </c>
      <c r="C39" s="238">
        <f>ROUND(C33*F20,0)</f>
        <v>40</v>
      </c>
      <c r="D39" s="238"/>
      <c r="E39" s="238"/>
      <c r="F39" s="239"/>
      <c r="G39" s="1180" t="s">
        <v>858</v>
      </c>
    </row>
    <row r="40" spans="1:7" s="220" customFormat="1" ht="13.5" customHeight="1">
      <c r="A40" s="866" t="s">
        <v>603</v>
      </c>
      <c r="B40" s="216" t="s">
        <v>105</v>
      </c>
      <c r="C40" s="268">
        <f>F21</f>
        <v>0.02</v>
      </c>
      <c r="D40" s="242" t="s">
        <v>129</v>
      </c>
      <c r="E40" s="238"/>
      <c r="F40" s="239"/>
      <c r="G40" s="240" t="s">
        <v>120</v>
      </c>
    </row>
    <row r="41" spans="1:7" s="220" customFormat="1" ht="13.5" customHeight="1">
      <c r="A41" s="866" t="s">
        <v>604</v>
      </c>
      <c r="B41" s="216" t="s">
        <v>107</v>
      </c>
      <c r="C41" s="238">
        <f ca="1">ROUND(SUM(C42:C43),0)</f>
        <v>85</v>
      </c>
      <c r="D41" s="241">
        <f ca="1">C44</f>
        <v>8.0000000000000004E-4</v>
      </c>
      <c r="E41" s="242" t="s">
        <v>129</v>
      </c>
      <c r="F41" s="243"/>
      <c r="G41" s="1180" t="str">
        <f>IF('数据-取费表'!B22&lt;=1,"单利计息","复利计息")</f>
        <v>复利计息</v>
      </c>
    </row>
    <row r="42" spans="1:7" ht="13.5" customHeight="1">
      <c r="A42" s="869" t="s">
        <v>613</v>
      </c>
      <c r="B42" s="221" t="s">
        <v>848</v>
      </c>
      <c r="C42" s="244">
        <f ca="1">ROUND(IF('数据-取费表'!B22&lt;=1,C33*F22*'数据-取费表'!B21/2,C33*(POWER((1+F22),'数据-取费表'!B21/2)-1)),0)</f>
        <v>83</v>
      </c>
      <c r="D42" s="244"/>
      <c r="E42" s="244"/>
      <c r="F42" s="245"/>
      <c r="G42" s="3421" t="s">
        <v>121</v>
      </c>
    </row>
    <row r="43" spans="1:7" ht="13.5" customHeight="1">
      <c r="A43" s="869" t="s">
        <v>611</v>
      </c>
      <c r="B43" s="221" t="s">
        <v>851</v>
      </c>
      <c r="C43" s="244">
        <f ca="1">ROUND(IF('数据-取费表'!B22&lt;=1,C39*F22*'数据-取费表'!B21/2,C39*(POWER((1+F22),'数据-取费表'!B21/2)-1)),0)</f>
        <v>2</v>
      </c>
      <c r="D43" s="244"/>
      <c r="E43" s="244"/>
      <c r="F43" s="245"/>
      <c r="G43" s="3422"/>
    </row>
    <row r="44" spans="1:7" ht="13.5" customHeight="1">
      <c r="A44" s="869" t="s">
        <v>612</v>
      </c>
      <c r="B44" s="221" t="s">
        <v>853</v>
      </c>
      <c r="C44" s="244">
        <f ca="1">ROUND(IF('数据-取费表'!B22&lt;=1,C40*F22*'数据-取费表'!B21/2,C40*(POWER((1+F22),'数据-取费表'!B21/2)-1)),4)</f>
        <v>8.0000000000000004E-4</v>
      </c>
      <c r="D44" s="244"/>
      <c r="E44" s="244"/>
      <c r="F44" s="245"/>
      <c r="G44" s="3423"/>
    </row>
    <row r="45" spans="1:7" s="220" customFormat="1" ht="13.5" customHeight="1">
      <c r="A45" s="866" t="s">
        <v>605</v>
      </c>
      <c r="B45" s="250" t="s">
        <v>112</v>
      </c>
      <c r="C45" s="251">
        <f>C46</f>
        <v>408</v>
      </c>
      <c r="D45" s="241">
        <f>C47</f>
        <v>4.0000000000000001E-3</v>
      </c>
      <c r="E45" s="242" t="s">
        <v>129</v>
      </c>
      <c r="F45" s="252"/>
      <c r="G45" s="253" t="s">
        <v>859</v>
      </c>
    </row>
    <row r="46" spans="1:7" s="220" customFormat="1" ht="13.5" customHeight="1">
      <c r="A46" s="869" t="s">
        <v>613</v>
      </c>
      <c r="B46" s="254" t="s">
        <v>852</v>
      </c>
      <c r="C46" s="255">
        <f>ROUND((C33+C39)*F27,0)</f>
        <v>408</v>
      </c>
      <c r="D46" s="269"/>
      <c r="E46" s="242"/>
      <c r="F46" s="252"/>
      <c r="G46" s="253"/>
    </row>
    <row r="47" spans="1:7" s="220" customFormat="1" ht="13.5" customHeight="1">
      <c r="A47" s="869" t="s">
        <v>611</v>
      </c>
      <c r="B47" s="254" t="s">
        <v>854</v>
      </c>
      <c r="C47" s="244">
        <f>ROUND(C40*F27,4)</f>
        <v>4.0000000000000001E-3</v>
      </c>
      <c r="D47" s="269"/>
      <c r="E47" s="242"/>
      <c r="F47" s="252"/>
      <c r="G47" s="253"/>
    </row>
    <row r="48" spans="1:7" s="220" customFormat="1" ht="13.5" customHeight="1">
      <c r="A48" s="866" t="s">
        <v>606</v>
      </c>
      <c r="B48" s="216" t="s">
        <v>122</v>
      </c>
      <c r="C48" s="268">
        <f>F30</f>
        <v>5.6000000000000001E-2</v>
      </c>
      <c r="D48" s="242" t="s">
        <v>130</v>
      </c>
      <c r="E48" s="238"/>
      <c r="F48" s="243"/>
      <c r="G48" s="240" t="s">
        <v>123</v>
      </c>
    </row>
    <row r="49" spans="1:7" ht="16.5" customHeight="1">
      <c r="A49" s="866" t="s">
        <v>607</v>
      </c>
      <c r="B49" s="216" t="s">
        <v>131</v>
      </c>
      <c r="C49" s="238">
        <f ca="1">ROUND((C33+C39+C41+C45)/(1-C40-D41-D45-C48/(1+'数据-取费表'!B42)),0)</f>
        <v>2746</v>
      </c>
      <c r="D49" s="238"/>
      <c r="E49" s="238"/>
      <c r="F49" s="270"/>
      <c r="G49" s="240" t="s">
        <v>860</v>
      </c>
    </row>
    <row r="50" spans="1:7" s="264" customFormat="1" ht="24">
      <c r="A50" s="866" t="s">
        <v>608</v>
      </c>
      <c r="B50" s="216" t="s">
        <v>124</v>
      </c>
      <c r="C50" s="238"/>
      <c r="D50" s="238"/>
      <c r="E50" s="238"/>
      <c r="F50" s="270">
        <f>IF('数据-取费表'!B24=0,'数据-取费表'!N16,1)</f>
        <v>0.74</v>
      </c>
      <c r="G50" s="253" t="s">
        <v>125</v>
      </c>
    </row>
    <row r="51" spans="1:7" ht="16.5" customHeight="1">
      <c r="A51" s="866" t="s">
        <v>609</v>
      </c>
      <c r="B51" s="216" t="s">
        <v>132</v>
      </c>
      <c r="C51" s="238">
        <f ca="1">ROUND(C49*F50,0)</f>
        <v>2032</v>
      </c>
      <c r="D51" s="238"/>
      <c r="E51" s="238"/>
      <c r="F51" s="270"/>
      <c r="G51" s="240" t="s">
        <v>64</v>
      </c>
    </row>
    <row r="52" spans="1:7" s="214" customFormat="1" ht="16.5" thickBot="1">
      <c r="A52" s="271" t="s">
        <v>65</v>
      </c>
      <c r="B52" s="272"/>
      <c r="C52" s="273">
        <f ca="1">C31+C51</f>
        <v>31495</v>
      </c>
      <c r="D52" s="272"/>
      <c r="E52" s="272"/>
      <c r="F52" s="272"/>
      <c r="G52" s="274"/>
    </row>
    <row r="55" spans="1:7" ht="15">
      <c r="B55" s="276" t="s">
        <v>66</v>
      </c>
      <c r="C55" s="277"/>
    </row>
    <row r="56" spans="1:7">
      <c r="B56" s="279" t="s">
        <v>67</v>
      </c>
      <c r="C56" s="280">
        <f ca="1">ROUND(C51/C52,3)</f>
        <v>6.5000000000000002E-2</v>
      </c>
    </row>
    <row r="57" spans="1:7">
      <c r="B57" s="279" t="s">
        <v>68</v>
      </c>
      <c r="C57" s="281">
        <f ca="1">1-C56</f>
        <v>0.93500000000000005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75" t="s">
        <v>156</v>
      </c>
      <c r="B1" s="3575"/>
      <c r="C1" s="3575"/>
      <c r="D1" s="3575"/>
      <c r="E1" s="3575"/>
      <c r="F1" s="3575"/>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76" t="s">
        <v>169</v>
      </c>
      <c r="B2" s="3576"/>
      <c r="C2" s="3576"/>
      <c r="D2" s="3576"/>
      <c r="E2" s="3576"/>
      <c r="F2" s="3576"/>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77" t="s">
        <v>182</v>
      </c>
      <c r="B3" s="774"/>
      <c r="C3" s="775" t="s">
        <v>183</v>
      </c>
      <c r="D3" s="775" t="s">
        <v>184</v>
      </c>
      <c r="E3" s="775" t="s">
        <v>572</v>
      </c>
      <c r="F3" s="775" t="s">
        <v>185</v>
      </c>
      <c r="G3" s="776"/>
      <c r="H3" s="772" t="s">
        <v>186</v>
      </c>
      <c r="I3" s="773" t="s">
        <v>187</v>
      </c>
      <c r="J3" s="773" t="s">
        <v>188</v>
      </c>
      <c r="K3" s="773" t="s">
        <v>189</v>
      </c>
      <c r="L3" s="773" t="s">
        <v>190</v>
      </c>
      <c r="M3" s="773" t="s">
        <v>191</v>
      </c>
      <c r="N3" s="773" t="s">
        <v>192</v>
      </c>
      <c r="O3" s="773" t="s">
        <v>193</v>
      </c>
      <c r="P3" s="773" t="s">
        <v>194</v>
      </c>
      <c r="Q3" s="773" t="s">
        <v>195</v>
      </c>
      <c r="R3" s="773" t="s">
        <v>196</v>
      </c>
      <c r="S3" s="773" t="s">
        <v>197</v>
      </c>
    </row>
    <row r="4" spans="1:19" s="768" customFormat="1" ht="19.5" customHeight="1" thickBot="1">
      <c r="A4" s="3578"/>
      <c r="B4" s="777" t="s">
        <v>198</v>
      </c>
      <c r="C4" s="777" t="s">
        <v>199</v>
      </c>
      <c r="D4" s="777" t="s">
        <v>199</v>
      </c>
      <c r="E4" s="777" t="s">
        <v>199</v>
      </c>
      <c r="F4" s="778" t="s">
        <v>199</v>
      </c>
      <c r="G4" s="776"/>
      <c r="H4" s="772" t="s">
        <v>200</v>
      </c>
      <c r="I4" s="773" t="s">
        <v>138</v>
      </c>
      <c r="J4" s="773" t="s">
        <v>201</v>
      </c>
      <c r="K4" s="773" t="s">
        <v>202</v>
      </c>
      <c r="L4" s="773" t="s">
        <v>203</v>
      </c>
      <c r="M4" s="773" t="s">
        <v>204</v>
      </c>
      <c r="N4" s="773" t="s">
        <v>205</v>
      </c>
      <c r="O4" s="773" t="s">
        <v>206</v>
      </c>
      <c r="P4" s="773" t="s">
        <v>207</v>
      </c>
      <c r="Q4" s="773" t="s">
        <v>208</v>
      </c>
      <c r="R4" s="773" t="s">
        <v>209</v>
      </c>
      <c r="S4" s="773" t="s">
        <v>210</v>
      </c>
    </row>
    <row r="5" spans="1:19" ht="14.25" customHeight="1" thickBot="1">
      <c r="A5" s="779" t="s">
        <v>635</v>
      </c>
      <c r="B5" s="780" t="s">
        <v>636</v>
      </c>
      <c r="C5" s="780">
        <v>29530</v>
      </c>
      <c r="D5" s="780">
        <v>28130</v>
      </c>
      <c r="E5" s="780">
        <v>27930</v>
      </c>
      <c r="F5" s="781">
        <v>11300</v>
      </c>
      <c r="G5" s="776"/>
      <c r="H5" s="772" t="s">
        <v>212</v>
      </c>
      <c r="I5" s="773" t="s">
        <v>213</v>
      </c>
      <c r="J5" s="773" t="s">
        <v>214</v>
      </c>
      <c r="K5" s="773" t="s">
        <v>215</v>
      </c>
      <c r="L5" s="773" t="s">
        <v>216</v>
      </c>
      <c r="M5" s="773" t="s">
        <v>217</v>
      </c>
      <c r="N5" s="773" t="s">
        <v>218</v>
      </c>
      <c r="O5" s="773" t="s">
        <v>219</v>
      </c>
      <c r="P5" s="773" t="s">
        <v>220</v>
      </c>
      <c r="Q5" s="773" t="s">
        <v>221</v>
      </c>
      <c r="R5" s="773" t="s">
        <v>222</v>
      </c>
      <c r="S5" s="773" t="s">
        <v>223</v>
      </c>
    </row>
    <row r="6" spans="1:19" ht="14.25" customHeight="1" thickBot="1">
      <c r="A6" s="779" t="s">
        <v>211</v>
      </c>
      <c r="B6" s="773" t="s">
        <v>186</v>
      </c>
      <c r="C6" s="773">
        <v>30290</v>
      </c>
      <c r="D6" s="773">
        <v>29210</v>
      </c>
      <c r="E6" s="773">
        <v>28860</v>
      </c>
      <c r="F6" s="782">
        <v>12600</v>
      </c>
      <c r="G6" s="776"/>
      <c r="H6" s="772" t="s">
        <v>224</v>
      </c>
      <c r="I6" s="773" t="s">
        <v>225</v>
      </c>
      <c r="J6" s="773" t="s">
        <v>226</v>
      </c>
      <c r="K6" s="773" t="s">
        <v>227</v>
      </c>
      <c r="L6" s="773" t="s">
        <v>228</v>
      </c>
      <c r="M6" s="773" t="s">
        <v>229</v>
      </c>
      <c r="N6" s="773" t="s">
        <v>230</v>
      </c>
      <c r="O6" s="773" t="s">
        <v>231</v>
      </c>
      <c r="P6" s="773" t="s">
        <v>232</v>
      </c>
      <c r="Q6" s="773" t="s">
        <v>233</v>
      </c>
      <c r="R6" s="773" t="s">
        <v>234</v>
      </c>
      <c r="S6" s="773" t="s">
        <v>235</v>
      </c>
    </row>
    <row r="7" spans="1:19" ht="14.25" customHeight="1" thickBot="1">
      <c r="A7" s="779" t="s">
        <v>211</v>
      </c>
      <c r="B7" s="783" t="s">
        <v>200</v>
      </c>
      <c r="C7" s="773">
        <v>29350</v>
      </c>
      <c r="D7" s="773">
        <v>28410</v>
      </c>
      <c r="E7" s="773">
        <v>27990</v>
      </c>
      <c r="F7" s="782">
        <v>12300</v>
      </c>
      <c r="G7" s="776"/>
      <c r="I7" s="773" t="s">
        <v>236</v>
      </c>
      <c r="J7" s="773" t="s">
        <v>237</v>
      </c>
      <c r="K7" s="773" t="s">
        <v>238</v>
      </c>
      <c r="L7" s="773" t="s">
        <v>239</v>
      </c>
      <c r="M7" s="773" t="s">
        <v>240</v>
      </c>
      <c r="N7" s="773" t="s">
        <v>241</v>
      </c>
      <c r="O7" s="773" t="s">
        <v>242</v>
      </c>
      <c r="P7" s="773" t="s">
        <v>243</v>
      </c>
      <c r="Q7" s="773" t="s">
        <v>244</v>
      </c>
      <c r="R7" s="773" t="s">
        <v>245</v>
      </c>
      <c r="S7" s="783" t="s">
        <v>246</v>
      </c>
    </row>
    <row r="8" spans="1:19" ht="14.25" customHeight="1" thickBot="1">
      <c r="A8" s="779" t="s">
        <v>211</v>
      </c>
      <c r="B8" s="773" t="s">
        <v>212</v>
      </c>
      <c r="C8" s="773">
        <v>30890</v>
      </c>
      <c r="D8" s="773">
        <v>29780</v>
      </c>
      <c r="E8" s="773">
        <v>29270</v>
      </c>
      <c r="F8" s="782">
        <v>11600</v>
      </c>
      <c r="G8" s="776"/>
      <c r="I8" s="773" t="s">
        <v>247</v>
      </c>
      <c r="J8" s="773" t="s">
        <v>248</v>
      </c>
      <c r="K8" s="773" t="s">
        <v>249</v>
      </c>
      <c r="L8" s="773" t="s">
        <v>250</v>
      </c>
      <c r="M8" s="773" t="s">
        <v>251</v>
      </c>
      <c r="N8" s="773" t="s">
        <v>252</v>
      </c>
      <c r="O8" s="773" t="s">
        <v>253</v>
      </c>
      <c r="P8" s="773" t="s">
        <v>254</v>
      </c>
      <c r="Q8" s="773" t="s">
        <v>255</v>
      </c>
      <c r="R8" s="773" t="s">
        <v>256</v>
      </c>
      <c r="S8" s="773" t="s">
        <v>257</v>
      </c>
    </row>
    <row r="9" spans="1:19" ht="14.25" customHeight="1" thickBot="1">
      <c r="A9" s="779" t="s">
        <v>211</v>
      </c>
      <c r="B9" s="784" t="s">
        <v>224</v>
      </c>
      <c r="C9" s="785">
        <v>28140</v>
      </c>
      <c r="D9" s="785"/>
      <c r="E9" s="785"/>
      <c r="F9" s="786"/>
      <c r="G9" s="776"/>
      <c r="I9" s="773" t="s">
        <v>258</v>
      </c>
      <c r="J9" s="773" t="s">
        <v>259</v>
      </c>
      <c r="K9" s="773" t="s">
        <v>260</v>
      </c>
      <c r="L9" s="773" t="s">
        <v>261</v>
      </c>
      <c r="M9" s="773" t="s">
        <v>262</v>
      </c>
      <c r="N9" s="773" t="s">
        <v>263</v>
      </c>
      <c r="O9" s="773" t="s">
        <v>264</v>
      </c>
      <c r="P9" s="773" t="s">
        <v>265</v>
      </c>
      <c r="Q9" s="773" t="s">
        <v>266</v>
      </c>
      <c r="R9" s="773" t="s">
        <v>267</v>
      </c>
    </row>
    <row r="10" spans="1:19" ht="14.25" customHeight="1" thickBot="1">
      <c r="A10" s="779" t="s">
        <v>268</v>
      </c>
      <c r="B10" s="780" t="s">
        <v>269</v>
      </c>
      <c r="C10" s="780">
        <v>27450</v>
      </c>
      <c r="D10" s="780">
        <v>26180</v>
      </c>
      <c r="E10" s="780">
        <v>25980</v>
      </c>
      <c r="F10" s="781">
        <v>8910</v>
      </c>
      <c r="G10" s="776"/>
      <c r="I10" s="773" t="s">
        <v>270</v>
      </c>
      <c r="J10" s="773" t="s">
        <v>271</v>
      </c>
      <c r="K10" s="773" t="s">
        <v>272</v>
      </c>
      <c r="L10" s="773" t="s">
        <v>273</v>
      </c>
      <c r="M10" s="773" t="s">
        <v>274</v>
      </c>
      <c r="N10" s="773" t="s">
        <v>275</v>
      </c>
      <c r="O10" s="773" t="s">
        <v>276</v>
      </c>
      <c r="P10" s="773" t="s">
        <v>277</v>
      </c>
      <c r="Q10" s="773" t="s">
        <v>278</v>
      </c>
      <c r="R10" s="773" t="s">
        <v>279</v>
      </c>
    </row>
    <row r="11" spans="1:19" ht="14.25" customHeight="1" thickBot="1">
      <c r="A11" s="779" t="s">
        <v>268</v>
      </c>
      <c r="B11" s="783" t="s">
        <v>187</v>
      </c>
      <c r="C11" s="773">
        <v>22950</v>
      </c>
      <c r="D11" s="773">
        <v>22630</v>
      </c>
      <c r="E11" s="773">
        <v>22030</v>
      </c>
      <c r="F11" s="787">
        <v>8330</v>
      </c>
      <c r="G11" s="776"/>
      <c r="I11" s="773" t="s">
        <v>280</v>
      </c>
      <c r="J11" s="773" t="s">
        <v>281</v>
      </c>
      <c r="K11" s="773" t="s">
        <v>282</v>
      </c>
      <c r="L11" s="773" t="s">
        <v>283</v>
      </c>
      <c r="M11" s="773" t="s">
        <v>284</v>
      </c>
      <c r="N11" s="773" t="s">
        <v>285</v>
      </c>
      <c r="O11" s="773" t="s">
        <v>286</v>
      </c>
      <c r="P11" s="773" t="s">
        <v>287</v>
      </c>
      <c r="Q11" s="773" t="s">
        <v>288</v>
      </c>
      <c r="R11" s="773" t="s">
        <v>289</v>
      </c>
    </row>
    <row r="12" spans="1:19" ht="14.25" customHeight="1" thickBot="1">
      <c r="A12" s="779" t="s">
        <v>268</v>
      </c>
      <c r="B12" s="783" t="s">
        <v>138</v>
      </c>
      <c r="C12" s="773">
        <v>24940</v>
      </c>
      <c r="D12" s="773">
        <v>23180</v>
      </c>
      <c r="E12" s="773">
        <v>22910</v>
      </c>
      <c r="F12" s="787">
        <v>7180</v>
      </c>
      <c r="G12" s="776"/>
      <c r="I12" s="773" t="s">
        <v>290</v>
      </c>
      <c r="J12" s="773" t="s">
        <v>291</v>
      </c>
      <c r="K12" s="773" t="s">
        <v>292</v>
      </c>
      <c r="L12" s="773" t="s">
        <v>293</v>
      </c>
      <c r="M12" s="773" t="s">
        <v>294</v>
      </c>
      <c r="N12" s="773" t="s">
        <v>295</v>
      </c>
      <c r="O12" s="773" t="s">
        <v>296</v>
      </c>
      <c r="P12" s="773" t="s">
        <v>297</v>
      </c>
      <c r="Q12" s="773" t="s">
        <v>298</v>
      </c>
      <c r="R12" s="773" t="s">
        <v>299</v>
      </c>
    </row>
    <row r="13" spans="1:19" ht="14.25" customHeight="1" thickBot="1">
      <c r="A13" s="779" t="s">
        <v>268</v>
      </c>
      <c r="B13" s="783" t="s">
        <v>213</v>
      </c>
      <c r="C13" s="773">
        <v>24140</v>
      </c>
      <c r="D13" s="773">
        <v>22270</v>
      </c>
      <c r="E13" s="773">
        <v>21950</v>
      </c>
      <c r="F13" s="787">
        <v>7600</v>
      </c>
      <c r="G13" s="776"/>
      <c r="I13" s="773" t="s">
        <v>300</v>
      </c>
      <c r="J13" s="773" t="s">
        <v>301</v>
      </c>
      <c r="K13" s="773" t="s">
        <v>302</v>
      </c>
      <c r="L13" s="773" t="s">
        <v>303</v>
      </c>
      <c r="M13" s="773" t="s">
        <v>304</v>
      </c>
      <c r="N13" s="773" t="s">
        <v>305</v>
      </c>
      <c r="O13" s="773" t="s">
        <v>306</v>
      </c>
      <c r="P13" s="773" t="s">
        <v>307</v>
      </c>
      <c r="Q13" s="773" t="s">
        <v>308</v>
      </c>
      <c r="R13" s="773" t="s">
        <v>309</v>
      </c>
    </row>
    <row r="14" spans="1:19" ht="14.25" customHeight="1" thickBot="1">
      <c r="A14" s="779" t="s">
        <v>268</v>
      </c>
      <c r="B14" s="783" t="s">
        <v>225</v>
      </c>
      <c r="C14" s="773">
        <v>25600</v>
      </c>
      <c r="D14" s="773">
        <v>22260</v>
      </c>
      <c r="E14" s="773">
        <v>22110</v>
      </c>
      <c r="F14" s="787">
        <v>7630</v>
      </c>
      <c r="G14" s="776"/>
      <c r="I14" s="773" t="s">
        <v>310</v>
      </c>
      <c r="J14" s="773" t="s">
        <v>311</v>
      </c>
      <c r="K14" s="773" t="s">
        <v>312</v>
      </c>
      <c r="L14" s="773" t="s">
        <v>313</v>
      </c>
      <c r="M14" s="773" t="s">
        <v>314</v>
      </c>
      <c r="N14" s="773" t="s">
        <v>315</v>
      </c>
      <c r="O14" s="773" t="s">
        <v>316</v>
      </c>
      <c r="P14" s="773" t="s">
        <v>317</v>
      </c>
      <c r="Q14" s="773" t="s">
        <v>318</v>
      </c>
      <c r="R14" s="773" t="s">
        <v>319</v>
      </c>
    </row>
    <row r="15" spans="1:19" ht="14.25" customHeight="1" thickBot="1">
      <c r="A15" s="779" t="s">
        <v>268</v>
      </c>
      <c r="B15" s="783" t="s">
        <v>236</v>
      </c>
      <c r="C15" s="773">
        <v>24760</v>
      </c>
      <c r="D15" s="773">
        <v>24440</v>
      </c>
      <c r="E15" s="773">
        <v>24130</v>
      </c>
      <c r="F15" s="787">
        <v>9480</v>
      </c>
      <c r="G15" s="776"/>
      <c r="I15" s="773" t="s">
        <v>321</v>
      </c>
      <c r="J15" s="773" t="s">
        <v>322</v>
      </c>
      <c r="K15" s="773" t="s">
        <v>323</v>
      </c>
      <c r="L15" s="773" t="s">
        <v>324</v>
      </c>
      <c r="M15" s="773" t="s">
        <v>325</v>
      </c>
      <c r="N15" s="773" t="s">
        <v>326</v>
      </c>
      <c r="O15" s="773" t="s">
        <v>327</v>
      </c>
      <c r="P15" s="773" t="s">
        <v>328</v>
      </c>
      <c r="Q15" s="773" t="s">
        <v>329</v>
      </c>
      <c r="R15" s="773" t="s">
        <v>330</v>
      </c>
    </row>
    <row r="16" spans="1:19" ht="14.25" customHeight="1" thickBot="1">
      <c r="A16" s="779" t="s">
        <v>268</v>
      </c>
      <c r="B16" s="783" t="s">
        <v>247</v>
      </c>
      <c r="C16" s="773">
        <v>22220</v>
      </c>
      <c r="D16" s="773">
        <v>22310</v>
      </c>
      <c r="E16" s="773">
        <v>22000</v>
      </c>
      <c r="F16" s="787">
        <v>8900</v>
      </c>
      <c r="G16" s="776"/>
      <c r="I16" s="773" t="s">
        <v>332</v>
      </c>
      <c r="J16" s="773" t="s">
        <v>333</v>
      </c>
      <c r="K16" s="773" t="s">
        <v>334</v>
      </c>
      <c r="L16" s="773" t="s">
        <v>335</v>
      </c>
      <c r="M16" s="773" t="s">
        <v>336</v>
      </c>
      <c r="N16" s="773" t="s">
        <v>337</v>
      </c>
      <c r="O16" s="773" t="s">
        <v>338</v>
      </c>
      <c r="P16" s="773" t="s">
        <v>339</v>
      </c>
      <c r="Q16" s="773" t="s">
        <v>340</v>
      </c>
      <c r="R16" s="773" t="s">
        <v>341</v>
      </c>
    </row>
    <row r="17" spans="1:18" ht="14.25" customHeight="1" thickBot="1">
      <c r="A17" s="779" t="s">
        <v>268</v>
      </c>
      <c r="B17" s="783" t="s">
        <v>258</v>
      </c>
      <c r="C17" s="773">
        <v>24700</v>
      </c>
      <c r="D17" s="773">
        <v>25150</v>
      </c>
      <c r="E17" s="773">
        <v>24700</v>
      </c>
      <c r="F17" s="788"/>
      <c r="G17" s="776"/>
      <c r="I17" s="773" t="s">
        <v>342</v>
      </c>
      <c r="J17" s="773" t="s">
        <v>343</v>
      </c>
      <c r="K17" s="773" t="s">
        <v>344</v>
      </c>
      <c r="L17" s="773" t="s">
        <v>345</v>
      </c>
      <c r="M17" s="773" t="s">
        <v>346</v>
      </c>
      <c r="N17" s="773" t="s">
        <v>347</v>
      </c>
      <c r="O17" s="773" t="s">
        <v>348</v>
      </c>
      <c r="P17" s="773" t="s">
        <v>349</v>
      </c>
      <c r="Q17" s="773" t="s">
        <v>350</v>
      </c>
      <c r="R17" s="773" t="s">
        <v>351</v>
      </c>
    </row>
    <row r="18" spans="1:18" ht="14.25" customHeight="1" thickBot="1">
      <c r="A18" s="779" t="s">
        <v>268</v>
      </c>
      <c r="B18" s="783" t="s">
        <v>270</v>
      </c>
      <c r="C18" s="773">
        <v>22350</v>
      </c>
      <c r="D18" s="773">
        <v>24340</v>
      </c>
      <c r="E18" s="773">
        <v>24100</v>
      </c>
      <c r="F18" s="788"/>
      <c r="G18" s="776"/>
      <c r="I18" s="773" t="s">
        <v>352</v>
      </c>
      <c r="J18" s="773" t="s">
        <v>353</v>
      </c>
      <c r="K18" s="773" t="s">
        <v>354</v>
      </c>
      <c r="L18" s="773" t="s">
        <v>355</v>
      </c>
      <c r="M18" s="773" t="s">
        <v>356</v>
      </c>
      <c r="N18" s="773" t="s">
        <v>357</v>
      </c>
      <c r="O18" s="773" t="s">
        <v>358</v>
      </c>
      <c r="P18" s="773" t="s">
        <v>359</v>
      </c>
      <c r="Q18" s="773" t="s">
        <v>360</v>
      </c>
      <c r="R18" s="773" t="s">
        <v>361</v>
      </c>
    </row>
    <row r="19" spans="1:18" ht="14.25" customHeight="1" thickBot="1">
      <c r="A19" s="779" t="s">
        <v>268</v>
      </c>
      <c r="B19" s="783" t="s">
        <v>280</v>
      </c>
      <c r="C19" s="773">
        <v>23430</v>
      </c>
      <c r="D19" s="773">
        <v>21580</v>
      </c>
      <c r="E19" s="773">
        <v>21350</v>
      </c>
      <c r="F19" s="788"/>
      <c r="G19" s="776"/>
      <c r="I19" s="773" t="s">
        <v>362</v>
      </c>
      <c r="J19" s="773" t="s">
        <v>363</v>
      </c>
      <c r="K19" s="773" t="s">
        <v>364</v>
      </c>
      <c r="L19" s="773" t="s">
        <v>365</v>
      </c>
      <c r="M19" s="773" t="s">
        <v>366</v>
      </c>
      <c r="N19" s="773" t="s">
        <v>367</v>
      </c>
      <c r="O19" s="773" t="s">
        <v>368</v>
      </c>
      <c r="P19" s="773" t="s">
        <v>369</v>
      </c>
      <c r="Q19" s="773" t="s">
        <v>370</v>
      </c>
      <c r="R19" s="773" t="s">
        <v>371</v>
      </c>
    </row>
    <row r="20" spans="1:18" ht="14.25" customHeight="1" thickBot="1">
      <c r="A20" s="779" t="s">
        <v>268</v>
      </c>
      <c r="B20" s="783" t="s">
        <v>290</v>
      </c>
      <c r="C20" s="773">
        <v>27660</v>
      </c>
      <c r="D20" s="773">
        <v>24240</v>
      </c>
      <c r="E20" s="773">
        <v>24020</v>
      </c>
      <c r="F20" s="788"/>
      <c r="I20" s="773" t="s">
        <v>372</v>
      </c>
      <c r="J20" s="773" t="s">
        <v>373</v>
      </c>
      <c r="K20" s="773" t="s">
        <v>374</v>
      </c>
      <c r="L20" s="773" t="s">
        <v>375</v>
      </c>
      <c r="M20" s="773" t="s">
        <v>376</v>
      </c>
      <c r="N20" s="773" t="s">
        <v>377</v>
      </c>
      <c r="O20" s="773" t="s">
        <v>378</v>
      </c>
      <c r="P20" s="773" t="s">
        <v>379</v>
      </c>
      <c r="Q20" s="773" t="s">
        <v>380</v>
      </c>
      <c r="R20" s="773" t="s">
        <v>381</v>
      </c>
    </row>
    <row r="21" spans="1:18" ht="14.25" customHeight="1" thickBot="1">
      <c r="A21" s="779" t="s">
        <v>268</v>
      </c>
      <c r="B21" s="783" t="s">
        <v>300</v>
      </c>
      <c r="C21" s="773">
        <v>24720</v>
      </c>
      <c r="D21" s="773">
        <v>21670</v>
      </c>
      <c r="E21" s="773">
        <v>21510</v>
      </c>
      <c r="F21" s="788"/>
      <c r="J21" s="773" t="s">
        <v>382</v>
      </c>
      <c r="K21" s="773" t="s">
        <v>383</v>
      </c>
      <c r="L21" s="773" t="s">
        <v>384</v>
      </c>
      <c r="M21" s="773" t="s">
        <v>385</v>
      </c>
      <c r="N21" s="773" t="s">
        <v>386</v>
      </c>
      <c r="O21" s="773" t="s">
        <v>387</v>
      </c>
      <c r="P21" s="773" t="s">
        <v>388</v>
      </c>
      <c r="Q21" s="773" t="s">
        <v>389</v>
      </c>
      <c r="R21" s="773" t="s">
        <v>390</v>
      </c>
    </row>
    <row r="22" spans="1:18" ht="14.25" customHeight="1" thickBot="1">
      <c r="A22" s="779" t="s">
        <v>268</v>
      </c>
      <c r="B22" s="783" t="s">
        <v>391</v>
      </c>
      <c r="C22" s="773">
        <v>26530</v>
      </c>
      <c r="D22" s="773">
        <v>22980</v>
      </c>
      <c r="E22" s="773">
        <v>22650</v>
      </c>
      <c r="F22" s="788"/>
      <c r="K22" s="773" t="s">
        <v>392</v>
      </c>
      <c r="L22" s="773" t="s">
        <v>393</v>
      </c>
      <c r="M22" s="773" t="s">
        <v>394</v>
      </c>
      <c r="N22" s="773" t="s">
        <v>395</v>
      </c>
      <c r="O22" s="773" t="s">
        <v>396</v>
      </c>
      <c r="P22" s="773" t="s">
        <v>397</v>
      </c>
      <c r="Q22" s="773" t="s">
        <v>398</v>
      </c>
      <c r="R22" s="783" t="s">
        <v>399</v>
      </c>
    </row>
    <row r="23" spans="1:18" ht="14.25" customHeight="1" thickBot="1">
      <c r="A23" s="779" t="s">
        <v>268</v>
      </c>
      <c r="B23" s="783" t="s">
        <v>321</v>
      </c>
      <c r="C23" s="773">
        <v>24700</v>
      </c>
      <c r="D23" s="773">
        <v>27290</v>
      </c>
      <c r="E23" s="773">
        <v>26710</v>
      </c>
      <c r="F23" s="788"/>
      <c r="K23" s="773" t="s">
        <v>400</v>
      </c>
      <c r="L23" s="773" t="s">
        <v>401</v>
      </c>
      <c r="M23" s="773" t="s">
        <v>402</v>
      </c>
      <c r="N23" s="773" t="s">
        <v>403</v>
      </c>
      <c r="O23" s="773" t="s">
        <v>404</v>
      </c>
      <c r="P23" s="773" t="s">
        <v>405</v>
      </c>
      <c r="Q23" s="773" t="s">
        <v>406</v>
      </c>
    </row>
    <row r="24" spans="1:18" ht="14.25" customHeight="1" thickBot="1">
      <c r="A24" s="779" t="s">
        <v>268</v>
      </c>
      <c r="B24" s="783" t="s">
        <v>332</v>
      </c>
      <c r="C24" s="773">
        <v>23070</v>
      </c>
      <c r="D24" s="773">
        <v>24130</v>
      </c>
      <c r="E24" s="773">
        <v>23860</v>
      </c>
      <c r="F24" s="788"/>
      <c r="K24" s="773" t="s">
        <v>407</v>
      </c>
      <c r="L24" s="773" t="s">
        <v>408</v>
      </c>
      <c r="M24" s="773" t="s">
        <v>409</v>
      </c>
      <c r="N24" s="773" t="s">
        <v>410</v>
      </c>
      <c r="O24" s="773" t="s">
        <v>411</v>
      </c>
      <c r="P24" s="773" t="s">
        <v>412</v>
      </c>
      <c r="Q24" s="773" t="s">
        <v>413</v>
      </c>
    </row>
    <row r="25" spans="1:18" ht="14.25" customHeight="1" thickBot="1">
      <c r="A25" s="779" t="s">
        <v>268</v>
      </c>
      <c r="B25" s="783" t="s">
        <v>342</v>
      </c>
      <c r="C25" s="773">
        <v>27550</v>
      </c>
      <c r="D25" s="773">
        <v>25850</v>
      </c>
      <c r="E25" s="773">
        <v>25340</v>
      </c>
      <c r="F25" s="788"/>
      <c r="K25" s="773" t="s">
        <v>414</v>
      </c>
      <c r="L25" s="773" t="s">
        <v>415</v>
      </c>
      <c r="M25" s="773" t="s">
        <v>416</v>
      </c>
      <c r="N25" s="773" t="s">
        <v>417</v>
      </c>
      <c r="O25" s="773" t="s">
        <v>418</v>
      </c>
      <c r="P25" s="773" t="s">
        <v>419</v>
      </c>
      <c r="Q25" s="773" t="s">
        <v>420</v>
      </c>
    </row>
    <row r="26" spans="1:18" ht="14.25" customHeight="1" thickBot="1">
      <c r="A26" s="779" t="s">
        <v>268</v>
      </c>
      <c r="B26" s="783" t="s">
        <v>352</v>
      </c>
      <c r="C26" s="773"/>
      <c r="D26" s="773">
        <v>23900</v>
      </c>
      <c r="E26" s="773">
        <v>23590</v>
      </c>
      <c r="F26" s="788"/>
      <c r="K26" s="773" t="s">
        <v>421</v>
      </c>
      <c r="L26" s="773" t="s">
        <v>422</v>
      </c>
      <c r="M26" s="773" t="s">
        <v>423</v>
      </c>
      <c r="N26" s="773" t="s">
        <v>424</v>
      </c>
      <c r="O26" s="773" t="s">
        <v>425</v>
      </c>
      <c r="P26" s="773" t="s">
        <v>426</v>
      </c>
      <c r="Q26" s="773" t="s">
        <v>427</v>
      </c>
    </row>
    <row r="27" spans="1:18" ht="14.25" customHeight="1" thickBot="1">
      <c r="A27" s="779" t="s">
        <v>268</v>
      </c>
      <c r="B27" s="783" t="s">
        <v>362</v>
      </c>
      <c r="C27" s="773"/>
      <c r="D27" s="773">
        <v>22850</v>
      </c>
      <c r="E27" s="773">
        <v>21920</v>
      </c>
      <c r="F27" s="788"/>
      <c r="K27" s="773" t="s">
        <v>428</v>
      </c>
      <c r="L27" s="773" t="s">
        <v>429</v>
      </c>
      <c r="M27" s="773" t="s">
        <v>430</v>
      </c>
      <c r="N27" s="773" t="s">
        <v>431</v>
      </c>
      <c r="O27" s="773" t="s">
        <v>432</v>
      </c>
      <c r="P27" s="773" t="s">
        <v>433</v>
      </c>
      <c r="Q27" s="773" t="s">
        <v>434</v>
      </c>
    </row>
    <row r="28" spans="1:18" ht="14.25" customHeight="1" thickBot="1">
      <c r="A28" s="789" t="s">
        <v>268</v>
      </c>
      <c r="B28" s="784" t="s">
        <v>372</v>
      </c>
      <c r="C28" s="785"/>
      <c r="D28" s="785">
        <v>26610</v>
      </c>
      <c r="E28" s="785">
        <v>26370</v>
      </c>
      <c r="F28" s="786"/>
      <c r="K28" s="773" t="s">
        <v>435</v>
      </c>
      <c r="L28" s="773" t="s">
        <v>436</v>
      </c>
      <c r="M28" s="773" t="s">
        <v>437</v>
      </c>
      <c r="N28" s="773" t="s">
        <v>438</v>
      </c>
      <c r="O28" s="773" t="s">
        <v>439</v>
      </c>
      <c r="P28" s="773" t="s">
        <v>440</v>
      </c>
    </row>
    <row r="29" spans="1:18" ht="14.25" customHeight="1" thickBot="1">
      <c r="A29" s="779" t="s">
        <v>441</v>
      </c>
      <c r="B29" s="780" t="s">
        <v>442</v>
      </c>
      <c r="C29" s="780">
        <v>22090</v>
      </c>
      <c r="D29" s="780">
        <v>21860</v>
      </c>
      <c r="E29" s="780">
        <v>19380</v>
      </c>
      <c r="F29" s="781">
        <v>6610</v>
      </c>
      <c r="L29" s="773" t="s">
        <v>443</v>
      </c>
      <c r="M29" s="773" t="s">
        <v>444</v>
      </c>
      <c r="N29" s="773" t="s">
        <v>445</v>
      </c>
      <c r="O29" s="773" t="s">
        <v>446</v>
      </c>
      <c r="P29" s="773" t="s">
        <v>447</v>
      </c>
    </row>
    <row r="30" spans="1:18" ht="14.25" customHeight="1" thickBot="1">
      <c r="A30" s="779" t="s">
        <v>441</v>
      </c>
      <c r="B30" s="783" t="s">
        <v>188</v>
      </c>
      <c r="C30" s="773">
        <v>21380</v>
      </c>
      <c r="D30" s="773">
        <v>19930</v>
      </c>
      <c r="E30" s="773">
        <v>19860</v>
      </c>
      <c r="F30" s="787">
        <v>6010</v>
      </c>
      <c r="L30" s="773" t="s">
        <v>448</v>
      </c>
      <c r="M30" s="773" t="s">
        <v>449</v>
      </c>
      <c r="N30" s="773" t="s">
        <v>450</v>
      </c>
      <c r="O30" s="773" t="s">
        <v>840</v>
      </c>
      <c r="P30" s="773" t="s">
        <v>451</v>
      </c>
    </row>
    <row r="31" spans="1:18" ht="14.25" customHeight="1" thickBot="1">
      <c r="A31" s="779" t="s">
        <v>441</v>
      </c>
      <c r="B31" s="783" t="s">
        <v>201</v>
      </c>
      <c r="C31" s="773">
        <v>21670</v>
      </c>
      <c r="D31" s="773">
        <v>20660</v>
      </c>
      <c r="E31" s="773">
        <v>20290</v>
      </c>
      <c r="F31" s="787">
        <v>5840</v>
      </c>
      <c r="L31" s="773" t="s">
        <v>452</v>
      </c>
      <c r="M31" s="773" t="s">
        <v>453</v>
      </c>
      <c r="N31" s="773" t="s">
        <v>454</v>
      </c>
      <c r="O31" s="773" t="s">
        <v>455</v>
      </c>
      <c r="P31" s="773" t="s">
        <v>456</v>
      </c>
    </row>
    <row r="32" spans="1:18" ht="14.25" customHeight="1" thickBot="1">
      <c r="A32" s="779" t="s">
        <v>441</v>
      </c>
      <c r="B32" s="783" t="s">
        <v>214</v>
      </c>
      <c r="C32" s="773">
        <v>22280</v>
      </c>
      <c r="D32" s="773">
        <v>21800</v>
      </c>
      <c r="E32" s="773">
        <v>17650</v>
      </c>
      <c r="F32" s="787">
        <v>4690</v>
      </c>
      <c r="L32" s="773" t="s">
        <v>457</v>
      </c>
      <c r="M32" s="773" t="s">
        <v>458</v>
      </c>
      <c r="N32" s="773" t="s">
        <v>459</v>
      </c>
      <c r="O32" s="773" t="s">
        <v>460</v>
      </c>
      <c r="P32" s="773" t="s">
        <v>461</v>
      </c>
    </row>
    <row r="33" spans="1:16" ht="14.25" customHeight="1" thickBot="1">
      <c r="A33" s="779" t="s">
        <v>441</v>
      </c>
      <c r="B33" s="783" t="s">
        <v>226</v>
      </c>
      <c r="C33" s="773">
        <v>22130</v>
      </c>
      <c r="D33" s="773">
        <v>20460</v>
      </c>
      <c r="E33" s="773">
        <v>18500</v>
      </c>
      <c r="F33" s="787">
        <v>5340</v>
      </c>
      <c r="L33" s="773" t="s">
        <v>462</v>
      </c>
      <c r="M33" s="773" t="s">
        <v>463</v>
      </c>
      <c r="N33" s="773" t="s">
        <v>464</v>
      </c>
      <c r="O33" s="773" t="s">
        <v>465</v>
      </c>
      <c r="P33" s="773" t="s">
        <v>466</v>
      </c>
    </row>
    <row r="34" spans="1:16" ht="14.25" customHeight="1" thickBot="1">
      <c r="A34" s="779" t="s">
        <v>441</v>
      </c>
      <c r="B34" s="783" t="s">
        <v>237</v>
      </c>
      <c r="C34" s="773">
        <v>22070</v>
      </c>
      <c r="D34" s="773">
        <v>20110</v>
      </c>
      <c r="E34" s="773">
        <v>18830</v>
      </c>
      <c r="F34" s="787">
        <v>5190</v>
      </c>
      <c r="L34" s="773" t="s">
        <v>467</v>
      </c>
      <c r="M34" s="773" t="s">
        <v>468</v>
      </c>
      <c r="N34" s="773" t="s">
        <v>469</v>
      </c>
      <c r="O34" s="773" t="s">
        <v>470</v>
      </c>
      <c r="P34" s="773" t="s">
        <v>471</v>
      </c>
    </row>
    <row r="35" spans="1:16" ht="14.25" customHeight="1" thickBot="1">
      <c r="A35" s="779" t="s">
        <v>441</v>
      </c>
      <c r="B35" s="783" t="s">
        <v>248</v>
      </c>
      <c r="C35" s="773">
        <v>22240</v>
      </c>
      <c r="D35" s="773">
        <v>19550</v>
      </c>
      <c r="E35" s="773">
        <v>19220</v>
      </c>
      <c r="F35" s="787">
        <v>5800</v>
      </c>
      <c r="L35" s="773" t="s">
        <v>472</v>
      </c>
      <c r="M35" s="773" t="s">
        <v>473</v>
      </c>
      <c r="N35" s="773" t="s">
        <v>474</v>
      </c>
      <c r="O35" s="773" t="s">
        <v>475</v>
      </c>
      <c r="P35" s="773" t="s">
        <v>476</v>
      </c>
    </row>
    <row r="36" spans="1:16" ht="14.25" customHeight="1" thickBot="1">
      <c r="A36" s="779" t="s">
        <v>441</v>
      </c>
      <c r="B36" s="783" t="s">
        <v>259</v>
      </c>
      <c r="C36" s="773">
        <v>19750</v>
      </c>
      <c r="D36" s="773">
        <v>19790</v>
      </c>
      <c r="E36" s="773">
        <v>18510</v>
      </c>
      <c r="F36" s="787">
        <v>6520</v>
      </c>
      <c r="M36" s="773" t="s">
        <v>477</v>
      </c>
      <c r="N36" s="773" t="s">
        <v>478</v>
      </c>
      <c r="O36" s="773" t="s">
        <v>479</v>
      </c>
      <c r="P36" s="773" t="s">
        <v>480</v>
      </c>
    </row>
    <row r="37" spans="1:16" ht="14.25" customHeight="1" thickBot="1">
      <c r="A37" s="779" t="s">
        <v>441</v>
      </c>
      <c r="B37" s="783" t="s">
        <v>271</v>
      </c>
      <c r="C37" s="773">
        <v>22380</v>
      </c>
      <c r="D37" s="773">
        <v>18530</v>
      </c>
      <c r="E37" s="773">
        <v>17930</v>
      </c>
      <c r="F37" s="787">
        <v>6270</v>
      </c>
      <c r="M37" s="773" t="s">
        <v>481</v>
      </c>
      <c r="N37" s="773" t="s">
        <v>482</v>
      </c>
      <c r="O37" s="773" t="s">
        <v>483</v>
      </c>
      <c r="P37" s="773" t="s">
        <v>484</v>
      </c>
    </row>
    <row r="38" spans="1:16" ht="14.25" customHeight="1" thickBot="1">
      <c r="A38" s="779" t="s">
        <v>441</v>
      </c>
      <c r="B38" s="783" t="s">
        <v>281</v>
      </c>
      <c r="C38" s="773">
        <v>20200</v>
      </c>
      <c r="D38" s="773">
        <v>20070</v>
      </c>
      <c r="E38" s="773">
        <v>19950</v>
      </c>
      <c r="F38" s="787"/>
      <c r="M38" s="773" t="s">
        <v>485</v>
      </c>
      <c r="N38" s="773" t="s">
        <v>486</v>
      </c>
      <c r="O38" s="773" t="s">
        <v>487</v>
      </c>
      <c r="P38" s="773" t="s">
        <v>488</v>
      </c>
    </row>
    <row r="39" spans="1:16" ht="14.25" customHeight="1" thickBot="1">
      <c r="A39" s="779" t="s">
        <v>441</v>
      </c>
      <c r="B39" s="783" t="s">
        <v>291</v>
      </c>
      <c r="C39" s="773">
        <v>19300</v>
      </c>
      <c r="D39" s="773">
        <v>20360</v>
      </c>
      <c r="E39" s="773">
        <v>20230</v>
      </c>
      <c r="F39" s="787"/>
      <c r="M39" s="773" t="s">
        <v>489</v>
      </c>
      <c r="N39" s="773" t="s">
        <v>490</v>
      </c>
      <c r="O39" s="773" t="s">
        <v>491</v>
      </c>
      <c r="P39" s="773" t="s">
        <v>492</v>
      </c>
    </row>
    <row r="40" spans="1:16" ht="14.25" customHeight="1" thickBot="1">
      <c r="A40" s="779" t="s">
        <v>441</v>
      </c>
      <c r="B40" s="783" t="s">
        <v>301</v>
      </c>
      <c r="C40" s="773">
        <v>20210</v>
      </c>
      <c r="D40" s="773">
        <v>19060</v>
      </c>
      <c r="E40" s="773">
        <v>18890</v>
      </c>
      <c r="F40" s="787"/>
      <c r="M40" s="773" t="s">
        <v>493</v>
      </c>
      <c r="N40" s="773" t="s">
        <v>494</v>
      </c>
      <c r="O40" s="773" t="s">
        <v>495</v>
      </c>
      <c r="P40" s="773" t="s">
        <v>496</v>
      </c>
    </row>
    <row r="41" spans="1:16" ht="14.25" customHeight="1" thickBot="1">
      <c r="A41" s="779" t="s">
        <v>441</v>
      </c>
      <c r="B41" s="783" t="s">
        <v>311</v>
      </c>
      <c r="C41" s="773">
        <v>20560</v>
      </c>
      <c r="D41" s="773">
        <v>21040</v>
      </c>
      <c r="E41" s="773">
        <v>20740</v>
      </c>
      <c r="F41" s="787"/>
      <c r="M41" s="783" t="s">
        <v>497</v>
      </c>
      <c r="N41" s="783" t="s">
        <v>498</v>
      </c>
      <c r="P41" s="783" t="s">
        <v>499</v>
      </c>
    </row>
    <row r="42" spans="1:16" ht="14.25" customHeight="1" thickBot="1">
      <c r="A42" s="779" t="s">
        <v>441</v>
      </c>
      <c r="B42" s="783" t="s">
        <v>322</v>
      </c>
      <c r="C42" s="773">
        <v>19280</v>
      </c>
      <c r="D42" s="773">
        <v>22940</v>
      </c>
      <c r="E42" s="773">
        <v>22500</v>
      </c>
      <c r="F42" s="787"/>
      <c r="M42" s="773" t="s">
        <v>500</v>
      </c>
      <c r="N42" s="773" t="s">
        <v>501</v>
      </c>
      <c r="P42" s="773" t="s">
        <v>502</v>
      </c>
    </row>
    <row r="43" spans="1:16" ht="14.25" customHeight="1" thickBot="1">
      <c r="A43" s="779" t="s">
        <v>441</v>
      </c>
      <c r="B43" s="783" t="s">
        <v>333</v>
      </c>
      <c r="C43" s="773">
        <v>21520</v>
      </c>
      <c r="D43" s="773">
        <v>19230</v>
      </c>
      <c r="E43" s="773">
        <v>18540</v>
      </c>
      <c r="F43" s="787"/>
      <c r="M43" s="773" t="s">
        <v>503</v>
      </c>
      <c r="N43" s="773" t="s">
        <v>504</v>
      </c>
      <c r="P43" s="773" t="s">
        <v>505</v>
      </c>
    </row>
    <row r="44" spans="1:16" ht="14.25" customHeight="1" thickBot="1">
      <c r="A44" s="779" t="s">
        <v>441</v>
      </c>
      <c r="B44" s="783" t="s">
        <v>343</v>
      </c>
      <c r="C44" s="773">
        <v>23260</v>
      </c>
      <c r="D44" s="773">
        <v>21180</v>
      </c>
      <c r="E44" s="773">
        <v>20730</v>
      </c>
      <c r="F44" s="787"/>
      <c r="M44" s="773" t="s">
        <v>506</v>
      </c>
      <c r="N44" s="773" t="s">
        <v>507</v>
      </c>
      <c r="P44" s="773" t="s">
        <v>508</v>
      </c>
    </row>
    <row r="45" spans="1:16" ht="14.25" customHeight="1" thickBot="1">
      <c r="A45" s="779" t="s">
        <v>441</v>
      </c>
      <c r="B45" s="783" t="s">
        <v>353</v>
      </c>
      <c r="C45" s="773">
        <v>19610</v>
      </c>
      <c r="D45" s="773">
        <v>18090</v>
      </c>
      <c r="E45" s="773">
        <v>17970</v>
      </c>
      <c r="F45" s="787"/>
      <c r="M45" s="773" t="s">
        <v>509</v>
      </c>
      <c r="N45" s="773" t="s">
        <v>510</v>
      </c>
      <c r="P45" s="773" t="s">
        <v>511</v>
      </c>
    </row>
    <row r="46" spans="1:16" ht="14.25" customHeight="1" thickBot="1">
      <c r="A46" s="779" t="s">
        <v>441</v>
      </c>
      <c r="B46" s="783" t="s">
        <v>363</v>
      </c>
      <c r="C46" s="773">
        <v>21660</v>
      </c>
      <c r="D46" s="773">
        <v>19190</v>
      </c>
      <c r="E46" s="773">
        <v>19790</v>
      </c>
      <c r="F46" s="787"/>
      <c r="M46" s="773" t="s">
        <v>512</v>
      </c>
      <c r="N46" s="773" t="s">
        <v>513</v>
      </c>
      <c r="P46" s="773" t="s">
        <v>514</v>
      </c>
    </row>
    <row r="47" spans="1:16" ht="14.25" customHeight="1" thickBot="1">
      <c r="A47" s="779" t="s">
        <v>441</v>
      </c>
      <c r="B47" s="783" t="s">
        <v>373</v>
      </c>
      <c r="C47" s="773">
        <v>18220</v>
      </c>
      <c r="D47" s="773"/>
      <c r="E47" s="773">
        <v>17220</v>
      </c>
      <c r="F47" s="787"/>
      <c r="M47" s="773" t="s">
        <v>515</v>
      </c>
      <c r="N47" s="773" t="s">
        <v>516</v>
      </c>
    </row>
    <row r="48" spans="1:16" ht="14.25" customHeight="1" thickBot="1">
      <c r="A48" s="779" t="s">
        <v>441</v>
      </c>
      <c r="B48" s="784" t="s">
        <v>382</v>
      </c>
      <c r="C48" s="785">
        <v>19430</v>
      </c>
      <c r="D48" s="785"/>
      <c r="E48" s="785">
        <v>17830</v>
      </c>
      <c r="F48" s="790"/>
      <c r="M48" s="773" t="s">
        <v>517</v>
      </c>
      <c r="N48" s="773" t="s">
        <v>518</v>
      </c>
    </row>
    <row r="49" spans="1:14" ht="14.25" customHeight="1" thickBot="1">
      <c r="A49" s="779" t="s">
        <v>137</v>
      </c>
      <c r="B49" s="780" t="s">
        <v>519</v>
      </c>
      <c r="C49" s="780">
        <v>17090</v>
      </c>
      <c r="D49" s="780">
        <v>16950</v>
      </c>
      <c r="E49" s="780">
        <v>16310</v>
      </c>
      <c r="F49" s="781">
        <v>4540</v>
      </c>
      <c r="M49" s="773" t="s">
        <v>520</v>
      </c>
      <c r="N49" s="773" t="s">
        <v>521</v>
      </c>
    </row>
    <row r="50" spans="1:14" ht="14.25" customHeight="1" thickBot="1">
      <c r="A50" s="779" t="s">
        <v>137</v>
      </c>
      <c r="B50" s="773" t="s">
        <v>189</v>
      </c>
      <c r="C50" s="773">
        <v>19040</v>
      </c>
      <c r="D50" s="773">
        <v>16960</v>
      </c>
      <c r="E50" s="773">
        <v>14800</v>
      </c>
      <c r="F50" s="787">
        <v>3940</v>
      </c>
    </row>
    <row r="51" spans="1:14" ht="14.25" customHeight="1" thickBot="1">
      <c r="A51" s="779" t="s">
        <v>137</v>
      </c>
      <c r="B51" s="773" t="s">
        <v>202</v>
      </c>
      <c r="C51" s="773">
        <v>17040</v>
      </c>
      <c r="D51" s="773">
        <v>16930</v>
      </c>
      <c r="E51" s="773">
        <v>15030</v>
      </c>
      <c r="F51" s="787">
        <v>4120</v>
      </c>
    </row>
    <row r="52" spans="1:14" ht="14.25" customHeight="1" thickBot="1">
      <c r="A52" s="779" t="s">
        <v>137</v>
      </c>
      <c r="B52" s="773" t="s">
        <v>215</v>
      </c>
      <c r="C52" s="773">
        <v>17110</v>
      </c>
      <c r="D52" s="773">
        <v>17750</v>
      </c>
      <c r="E52" s="773">
        <v>17310</v>
      </c>
      <c r="F52" s="787">
        <v>3220</v>
      </c>
    </row>
    <row r="53" spans="1:14" ht="14.25" customHeight="1" thickBot="1">
      <c r="A53" s="779" t="s">
        <v>137</v>
      </c>
      <c r="B53" s="773" t="s">
        <v>227</v>
      </c>
      <c r="C53" s="773">
        <v>17810</v>
      </c>
      <c r="D53" s="773">
        <v>17260</v>
      </c>
      <c r="E53" s="773">
        <v>17090</v>
      </c>
      <c r="F53" s="787">
        <v>3520</v>
      </c>
    </row>
    <row r="54" spans="1:14" ht="14.25" customHeight="1" thickBot="1">
      <c r="A54" s="779" t="s">
        <v>137</v>
      </c>
      <c r="B54" s="773" t="s">
        <v>238</v>
      </c>
      <c r="C54" s="773">
        <v>17410</v>
      </c>
      <c r="D54" s="773">
        <v>16780</v>
      </c>
      <c r="E54" s="773">
        <v>16370</v>
      </c>
      <c r="F54" s="787">
        <v>3410</v>
      </c>
    </row>
    <row r="55" spans="1:14" ht="14.25" customHeight="1" thickBot="1">
      <c r="A55" s="779" t="s">
        <v>137</v>
      </c>
      <c r="B55" s="773" t="s">
        <v>249</v>
      </c>
      <c r="C55" s="773">
        <v>16930</v>
      </c>
      <c r="D55" s="773">
        <v>14720</v>
      </c>
      <c r="E55" s="773">
        <v>15000</v>
      </c>
      <c r="F55" s="787">
        <v>3710</v>
      </c>
    </row>
    <row r="56" spans="1:14" ht="14.25" customHeight="1" thickBot="1">
      <c r="A56" s="779" t="s">
        <v>137</v>
      </c>
      <c r="B56" s="773" t="s">
        <v>260</v>
      </c>
      <c r="C56" s="773">
        <v>14930</v>
      </c>
      <c r="D56" s="773">
        <v>15850</v>
      </c>
      <c r="E56" s="773">
        <v>14320</v>
      </c>
      <c r="F56" s="787">
        <v>3960</v>
      </c>
    </row>
    <row r="57" spans="1:14" ht="14.25" customHeight="1" thickBot="1">
      <c r="A57" s="779" t="s">
        <v>137</v>
      </c>
      <c r="B57" s="773" t="s">
        <v>272</v>
      </c>
      <c r="C57" s="773">
        <v>16160</v>
      </c>
      <c r="D57" s="773">
        <v>16190</v>
      </c>
      <c r="E57" s="773">
        <v>15650</v>
      </c>
      <c r="F57" s="787">
        <v>4200</v>
      </c>
    </row>
    <row r="58" spans="1:14" ht="14.25" customHeight="1" thickBot="1">
      <c r="A58" s="779" t="s">
        <v>137</v>
      </c>
      <c r="B58" s="773" t="s">
        <v>282</v>
      </c>
      <c r="C58" s="773">
        <v>16360</v>
      </c>
      <c r="D58" s="773">
        <v>14050</v>
      </c>
      <c r="E58" s="773">
        <v>16070</v>
      </c>
      <c r="F58" s="787">
        <v>3990</v>
      </c>
    </row>
    <row r="59" spans="1:14" ht="14.25" customHeight="1" thickBot="1">
      <c r="A59" s="779" t="s">
        <v>137</v>
      </c>
      <c r="B59" s="773" t="s">
        <v>292</v>
      </c>
      <c r="C59" s="773">
        <v>14160</v>
      </c>
      <c r="D59" s="773">
        <v>16620</v>
      </c>
      <c r="E59" s="773">
        <v>13940</v>
      </c>
      <c r="F59" s="787">
        <v>4260</v>
      </c>
    </row>
    <row r="60" spans="1:14" ht="14.25" customHeight="1" thickBot="1">
      <c r="A60" s="779" t="s">
        <v>137</v>
      </c>
      <c r="B60" s="773" t="s">
        <v>302</v>
      </c>
      <c r="C60" s="773">
        <v>16750</v>
      </c>
      <c r="D60" s="773">
        <v>13910</v>
      </c>
      <c r="E60" s="773">
        <v>16550</v>
      </c>
      <c r="F60" s="787">
        <v>4550</v>
      </c>
    </row>
    <row r="61" spans="1:14" ht="14.25" customHeight="1" thickBot="1">
      <c r="A61" s="779" t="s">
        <v>137</v>
      </c>
      <c r="B61" s="773" t="s">
        <v>312</v>
      </c>
      <c r="C61" s="773">
        <v>14000</v>
      </c>
      <c r="D61" s="773">
        <v>14550</v>
      </c>
      <c r="E61" s="773">
        <v>13860</v>
      </c>
      <c r="F61" s="791"/>
    </row>
    <row r="62" spans="1:14" ht="14.25" customHeight="1" thickBot="1">
      <c r="A62" s="779" t="s">
        <v>137</v>
      </c>
      <c r="B62" s="773" t="s">
        <v>323</v>
      </c>
      <c r="C62" s="773">
        <v>14660</v>
      </c>
      <c r="D62" s="773">
        <v>17450</v>
      </c>
      <c r="E62" s="773">
        <v>14470</v>
      </c>
      <c r="F62" s="791"/>
    </row>
    <row r="63" spans="1:14" ht="14.25" customHeight="1" thickBot="1">
      <c r="A63" s="779" t="s">
        <v>137</v>
      </c>
      <c r="B63" s="773" t="s">
        <v>334</v>
      </c>
      <c r="C63" s="773">
        <v>17610</v>
      </c>
      <c r="D63" s="773">
        <v>16500</v>
      </c>
      <c r="E63" s="773">
        <v>17330</v>
      </c>
      <c r="F63" s="791"/>
    </row>
    <row r="64" spans="1:14" ht="14.25" customHeight="1" thickBot="1">
      <c r="A64" s="779" t="s">
        <v>137</v>
      </c>
      <c r="B64" s="773" t="s">
        <v>344</v>
      </c>
      <c r="C64" s="773">
        <v>16590</v>
      </c>
      <c r="D64" s="773">
        <v>15130</v>
      </c>
      <c r="E64" s="773">
        <v>16420</v>
      </c>
      <c r="F64" s="791"/>
    </row>
    <row r="65" spans="1:6" s="767" customFormat="1" ht="14.25" customHeight="1" thickBot="1">
      <c r="A65" s="779" t="s">
        <v>137</v>
      </c>
      <c r="B65" s="773" t="s">
        <v>354</v>
      </c>
      <c r="C65" s="773">
        <v>15220</v>
      </c>
      <c r="D65" s="773">
        <v>14660</v>
      </c>
      <c r="E65" s="773">
        <v>15060</v>
      </c>
      <c r="F65" s="787"/>
    </row>
    <row r="66" spans="1:6" s="767" customFormat="1" ht="14.25" customHeight="1" thickBot="1">
      <c r="A66" s="779" t="s">
        <v>137</v>
      </c>
      <c r="B66" s="773" t="s">
        <v>364</v>
      </c>
      <c r="C66" s="773">
        <v>14720</v>
      </c>
      <c r="D66" s="773">
        <v>15970</v>
      </c>
      <c r="E66" s="773">
        <v>14610</v>
      </c>
      <c r="F66" s="787"/>
    </row>
    <row r="67" spans="1:6" s="767" customFormat="1" ht="14.25" customHeight="1" thickBot="1">
      <c r="A67" s="779" t="s">
        <v>137</v>
      </c>
      <c r="B67" s="773" t="s">
        <v>374</v>
      </c>
      <c r="C67" s="773">
        <v>16080</v>
      </c>
      <c r="D67" s="773">
        <v>14840</v>
      </c>
      <c r="E67" s="773">
        <v>15630</v>
      </c>
      <c r="F67" s="787"/>
    </row>
    <row r="68" spans="1:6" s="767" customFormat="1" ht="14.25" customHeight="1" thickBot="1">
      <c r="A68" s="779" t="s">
        <v>137</v>
      </c>
      <c r="B68" s="773" t="s">
        <v>383</v>
      </c>
      <c r="C68" s="773">
        <v>14940</v>
      </c>
      <c r="D68" s="773">
        <v>18000</v>
      </c>
      <c r="E68" s="773">
        <v>14040</v>
      </c>
      <c r="F68" s="787"/>
    </row>
    <row r="69" spans="1:6" s="767" customFormat="1" ht="14.25" customHeight="1" thickBot="1">
      <c r="A69" s="779" t="s">
        <v>137</v>
      </c>
      <c r="B69" s="773" t="s">
        <v>392</v>
      </c>
      <c r="C69" s="773">
        <v>18810</v>
      </c>
      <c r="D69" s="773">
        <v>15100</v>
      </c>
      <c r="E69" s="773">
        <v>14710</v>
      </c>
      <c r="F69" s="787"/>
    </row>
    <row r="70" spans="1:6" s="767" customFormat="1" ht="14.25" customHeight="1" thickBot="1">
      <c r="A70" s="779" t="s">
        <v>137</v>
      </c>
      <c r="B70" s="773" t="s">
        <v>400</v>
      </c>
      <c r="C70" s="773">
        <v>18270</v>
      </c>
      <c r="D70" s="773"/>
      <c r="E70" s="773"/>
      <c r="F70" s="787"/>
    </row>
    <row r="71" spans="1:6" s="767" customFormat="1" ht="14.25" customHeight="1" thickBot="1">
      <c r="A71" s="779" t="s">
        <v>137</v>
      </c>
      <c r="B71" s="773" t="s">
        <v>407</v>
      </c>
      <c r="C71" s="773">
        <v>15230</v>
      </c>
      <c r="D71" s="773"/>
      <c r="E71" s="773"/>
      <c r="F71" s="787"/>
    </row>
    <row r="72" spans="1:6" s="767" customFormat="1" ht="14.25" customHeight="1" thickBot="1">
      <c r="A72" s="779" t="s">
        <v>137</v>
      </c>
      <c r="B72" s="773" t="s">
        <v>414</v>
      </c>
      <c r="C72" s="773"/>
      <c r="D72" s="773"/>
      <c r="E72" s="773"/>
      <c r="F72" s="787">
        <v>4120</v>
      </c>
    </row>
    <row r="73" spans="1:6" s="767" customFormat="1" ht="14.25" customHeight="1" thickBot="1">
      <c r="A73" s="779" t="s">
        <v>137</v>
      </c>
      <c r="B73" s="773" t="s">
        <v>421</v>
      </c>
      <c r="C73" s="773"/>
      <c r="D73" s="773"/>
      <c r="E73" s="773"/>
      <c r="F73" s="787">
        <v>3930</v>
      </c>
    </row>
    <row r="74" spans="1:6" s="767" customFormat="1" ht="14.25" customHeight="1" thickBot="1">
      <c r="A74" s="779" t="s">
        <v>137</v>
      </c>
      <c r="B74" s="773" t="s">
        <v>428</v>
      </c>
      <c r="C74" s="773"/>
      <c r="D74" s="773"/>
      <c r="E74" s="773"/>
      <c r="F74" s="787">
        <v>4060</v>
      </c>
    </row>
    <row r="75" spans="1:6" s="767" customFormat="1" ht="14.25" customHeight="1" thickBot="1">
      <c r="A75" s="779" t="s">
        <v>137</v>
      </c>
      <c r="B75" s="785" t="s">
        <v>435</v>
      </c>
      <c r="C75" s="785"/>
      <c r="D75" s="785"/>
      <c r="E75" s="785"/>
      <c r="F75" s="790">
        <v>3750</v>
      </c>
    </row>
    <row r="76" spans="1:6" s="767" customFormat="1" ht="14.25" customHeight="1" thickBot="1">
      <c r="A76" s="779" t="s">
        <v>522</v>
      </c>
      <c r="B76" s="780" t="s">
        <v>523</v>
      </c>
      <c r="C76" s="780">
        <v>14690</v>
      </c>
      <c r="D76" s="780">
        <v>14640</v>
      </c>
      <c r="E76" s="780">
        <v>14590</v>
      </c>
      <c r="F76" s="781">
        <v>3060</v>
      </c>
    </row>
    <row r="77" spans="1:6" s="767" customFormat="1" ht="14.25" customHeight="1" thickBot="1">
      <c r="A77" s="779" t="s">
        <v>522</v>
      </c>
      <c r="B77" s="773" t="s">
        <v>190</v>
      </c>
      <c r="C77" s="773">
        <v>12550</v>
      </c>
      <c r="D77" s="773">
        <v>12480</v>
      </c>
      <c r="E77" s="773">
        <v>12450</v>
      </c>
      <c r="F77" s="787">
        <v>2590</v>
      </c>
    </row>
    <row r="78" spans="1:6" s="767" customFormat="1" ht="14.25" customHeight="1" thickBot="1">
      <c r="A78" s="779" t="s">
        <v>522</v>
      </c>
      <c r="B78" s="773" t="s">
        <v>203</v>
      </c>
      <c r="C78" s="773">
        <v>14360</v>
      </c>
      <c r="D78" s="773">
        <v>14320</v>
      </c>
      <c r="E78" s="773">
        <v>12510</v>
      </c>
      <c r="F78" s="787">
        <v>2700</v>
      </c>
    </row>
    <row r="79" spans="1:6" s="767" customFormat="1" ht="14.25" customHeight="1" thickBot="1">
      <c r="A79" s="779" t="s">
        <v>522</v>
      </c>
      <c r="B79" s="773" t="s">
        <v>216</v>
      </c>
      <c r="C79" s="773">
        <v>12590</v>
      </c>
      <c r="D79" s="773">
        <v>12540</v>
      </c>
      <c r="E79" s="773">
        <v>12350</v>
      </c>
      <c r="F79" s="787">
        <v>2740</v>
      </c>
    </row>
    <row r="80" spans="1:6" s="767" customFormat="1" ht="14.25" customHeight="1" thickBot="1">
      <c r="A80" s="779" t="s">
        <v>522</v>
      </c>
      <c r="B80" s="773" t="s">
        <v>228</v>
      </c>
      <c r="C80" s="773">
        <v>12450</v>
      </c>
      <c r="D80" s="773">
        <v>12370</v>
      </c>
      <c r="E80" s="773">
        <v>10790</v>
      </c>
      <c r="F80" s="787">
        <v>2290</v>
      </c>
    </row>
    <row r="81" spans="1:6" s="767" customFormat="1" ht="14.25" customHeight="1" thickBot="1">
      <c r="A81" s="779" t="s">
        <v>522</v>
      </c>
      <c r="B81" s="773" t="s">
        <v>239</v>
      </c>
      <c r="C81" s="773">
        <v>14210</v>
      </c>
      <c r="D81" s="773">
        <v>14150</v>
      </c>
      <c r="E81" s="773">
        <v>12730</v>
      </c>
      <c r="F81" s="787">
        <v>2240</v>
      </c>
    </row>
    <row r="82" spans="1:6" s="767" customFormat="1" ht="14.25" customHeight="1" thickBot="1">
      <c r="A82" s="779" t="s">
        <v>522</v>
      </c>
      <c r="B82" s="773" t="s">
        <v>250</v>
      </c>
      <c r="C82" s="773">
        <v>10860</v>
      </c>
      <c r="D82" s="773">
        <v>10820</v>
      </c>
      <c r="E82" s="773">
        <v>14720</v>
      </c>
      <c r="F82" s="787">
        <v>2490</v>
      </c>
    </row>
    <row r="83" spans="1:6" s="767" customFormat="1" ht="14.25" customHeight="1" thickBot="1">
      <c r="A83" s="779" t="s">
        <v>522</v>
      </c>
      <c r="B83" s="773" t="s">
        <v>261</v>
      </c>
      <c r="C83" s="773">
        <v>12810</v>
      </c>
      <c r="D83" s="773">
        <v>12760</v>
      </c>
      <c r="E83" s="773">
        <v>14830</v>
      </c>
      <c r="F83" s="787">
        <v>2450</v>
      </c>
    </row>
    <row r="84" spans="1:6" s="767" customFormat="1" ht="14.25" customHeight="1" thickBot="1">
      <c r="A84" s="779" t="s">
        <v>522</v>
      </c>
      <c r="B84" s="773" t="s">
        <v>273</v>
      </c>
      <c r="C84" s="773">
        <v>14950</v>
      </c>
      <c r="D84" s="773">
        <v>14810</v>
      </c>
      <c r="E84" s="773">
        <v>12590</v>
      </c>
      <c r="F84" s="787">
        <v>2540</v>
      </c>
    </row>
    <row r="85" spans="1:6" s="767" customFormat="1" ht="14.25" customHeight="1" thickBot="1">
      <c r="A85" s="779" t="s">
        <v>522</v>
      </c>
      <c r="B85" s="773" t="s">
        <v>283</v>
      </c>
      <c r="C85" s="773">
        <v>14960</v>
      </c>
      <c r="D85" s="773">
        <v>14890</v>
      </c>
      <c r="E85" s="773">
        <v>12840</v>
      </c>
      <c r="F85" s="787">
        <v>2840</v>
      </c>
    </row>
    <row r="86" spans="1:6" s="767" customFormat="1" ht="14.25" customHeight="1" thickBot="1">
      <c r="A86" s="779" t="s">
        <v>522</v>
      </c>
      <c r="B86" s="773" t="s">
        <v>293</v>
      </c>
      <c r="C86" s="773">
        <v>12730</v>
      </c>
      <c r="D86" s="773">
        <v>12660</v>
      </c>
      <c r="E86" s="773">
        <v>13310</v>
      </c>
      <c r="F86" s="787">
        <v>3140</v>
      </c>
    </row>
    <row r="87" spans="1:6" s="767" customFormat="1" ht="14.25" customHeight="1" thickBot="1">
      <c r="A87" s="779" t="s">
        <v>522</v>
      </c>
      <c r="B87" s="773" t="s">
        <v>303</v>
      </c>
      <c r="C87" s="773">
        <v>12940</v>
      </c>
      <c r="D87" s="773">
        <v>12890</v>
      </c>
      <c r="E87" s="773">
        <v>11580</v>
      </c>
      <c r="F87" s="791"/>
    </row>
    <row r="88" spans="1:6" s="767" customFormat="1" ht="14.25" customHeight="1" thickBot="1">
      <c r="A88" s="779" t="s">
        <v>522</v>
      </c>
      <c r="B88" s="773" t="s">
        <v>313</v>
      </c>
      <c r="C88" s="773">
        <v>13430</v>
      </c>
      <c r="D88" s="773">
        <v>13360</v>
      </c>
      <c r="E88" s="773">
        <v>12790</v>
      </c>
      <c r="F88" s="791"/>
    </row>
    <row r="89" spans="1:6" s="767" customFormat="1" ht="14.25" customHeight="1" thickBot="1">
      <c r="A89" s="779" t="s">
        <v>522</v>
      </c>
      <c r="B89" s="773" t="s">
        <v>324</v>
      </c>
      <c r="C89" s="773">
        <v>11680</v>
      </c>
      <c r="D89" s="773">
        <v>11630</v>
      </c>
      <c r="E89" s="773">
        <v>11320</v>
      </c>
      <c r="F89" s="791"/>
    </row>
    <row r="90" spans="1:6" s="767" customFormat="1" ht="14.25" customHeight="1" thickBot="1">
      <c r="A90" s="779" t="s">
        <v>522</v>
      </c>
      <c r="B90" s="773" t="s">
        <v>335</v>
      </c>
      <c r="C90" s="773">
        <v>12890</v>
      </c>
      <c r="D90" s="773">
        <v>12820</v>
      </c>
      <c r="E90" s="773">
        <v>12710</v>
      </c>
      <c r="F90" s="791"/>
    </row>
    <row r="91" spans="1:6" s="767" customFormat="1" ht="14.25" customHeight="1" thickBot="1">
      <c r="A91" s="779" t="s">
        <v>522</v>
      </c>
      <c r="B91" s="773" t="s">
        <v>345</v>
      </c>
      <c r="C91" s="773">
        <v>11410</v>
      </c>
      <c r="D91" s="773">
        <v>11360</v>
      </c>
      <c r="E91" s="773">
        <v>12670</v>
      </c>
      <c r="F91" s="791"/>
    </row>
    <row r="92" spans="1:6" s="767" customFormat="1" ht="14.25" customHeight="1" thickBot="1">
      <c r="A92" s="779" t="s">
        <v>522</v>
      </c>
      <c r="B92" s="773" t="s">
        <v>355</v>
      </c>
      <c r="C92" s="773">
        <v>12770</v>
      </c>
      <c r="D92" s="773">
        <v>12740</v>
      </c>
      <c r="E92" s="773">
        <v>11970</v>
      </c>
      <c r="F92" s="791"/>
    </row>
    <row r="93" spans="1:6" s="767" customFormat="1" ht="14.25" customHeight="1" thickBot="1">
      <c r="A93" s="779" t="s">
        <v>522</v>
      </c>
      <c r="B93" s="773" t="s">
        <v>365</v>
      </c>
      <c r="C93" s="773">
        <v>12740</v>
      </c>
      <c r="D93" s="773">
        <v>12700</v>
      </c>
      <c r="E93" s="773">
        <v>12540</v>
      </c>
      <c r="F93" s="791"/>
    </row>
    <row r="94" spans="1:6" s="767" customFormat="1" ht="14.25" customHeight="1" thickBot="1">
      <c r="A94" s="779" t="s">
        <v>522</v>
      </c>
      <c r="B94" s="773" t="s">
        <v>375</v>
      </c>
      <c r="C94" s="773">
        <v>12020</v>
      </c>
      <c r="D94" s="773">
        <v>11990</v>
      </c>
      <c r="E94" s="773">
        <v>13110</v>
      </c>
      <c r="F94" s="791"/>
    </row>
    <row r="95" spans="1:6" s="767" customFormat="1" ht="14.25" customHeight="1" thickBot="1">
      <c r="A95" s="779" t="s">
        <v>522</v>
      </c>
      <c r="B95" s="773" t="s">
        <v>384</v>
      </c>
      <c r="C95" s="773">
        <v>12620</v>
      </c>
      <c r="D95" s="773">
        <v>12580</v>
      </c>
      <c r="E95" s="773">
        <v>13160</v>
      </c>
      <c r="F95" s="787"/>
    </row>
    <row r="96" spans="1:6" s="767" customFormat="1" ht="14.25" customHeight="1" thickBot="1">
      <c r="A96" s="779" t="s">
        <v>522</v>
      </c>
      <c r="B96" s="773" t="s">
        <v>393</v>
      </c>
      <c r="C96" s="773">
        <v>13200</v>
      </c>
      <c r="D96" s="773">
        <v>13150</v>
      </c>
      <c r="E96" s="773">
        <v>12900</v>
      </c>
      <c r="F96" s="787"/>
    </row>
    <row r="97" spans="1:6" s="767" customFormat="1" ht="14.25" customHeight="1" thickBot="1">
      <c r="A97" s="779" t="s">
        <v>522</v>
      </c>
      <c r="B97" s="773" t="s">
        <v>401</v>
      </c>
      <c r="C97" s="773">
        <v>13270</v>
      </c>
      <c r="D97" s="773">
        <v>13210</v>
      </c>
      <c r="E97" s="773">
        <v>11080</v>
      </c>
      <c r="F97" s="787"/>
    </row>
    <row r="98" spans="1:6" s="767" customFormat="1" ht="14.25" customHeight="1" thickBot="1">
      <c r="A98" s="779" t="s">
        <v>522</v>
      </c>
      <c r="B98" s="773" t="s">
        <v>408</v>
      </c>
      <c r="C98" s="773">
        <v>13010</v>
      </c>
      <c r="D98" s="773">
        <v>12930</v>
      </c>
      <c r="E98" s="773">
        <v>12840</v>
      </c>
      <c r="F98" s="787"/>
    </row>
    <row r="99" spans="1:6" s="767" customFormat="1" ht="14.25" customHeight="1" thickBot="1">
      <c r="A99" s="779" t="s">
        <v>522</v>
      </c>
      <c r="B99" s="773" t="s">
        <v>415</v>
      </c>
      <c r="C99" s="773">
        <v>11190</v>
      </c>
      <c r="D99" s="773">
        <v>11130</v>
      </c>
      <c r="E99" s="773"/>
      <c r="F99" s="787"/>
    </row>
    <row r="100" spans="1:6" s="767" customFormat="1" ht="14.25" customHeight="1" thickBot="1">
      <c r="A100" s="779" t="s">
        <v>522</v>
      </c>
      <c r="B100" s="773" t="s">
        <v>422</v>
      </c>
      <c r="C100" s="773">
        <v>14280</v>
      </c>
      <c r="D100" s="773">
        <v>14180</v>
      </c>
      <c r="E100" s="773"/>
      <c r="F100" s="787"/>
    </row>
    <row r="101" spans="1:6" s="767" customFormat="1" ht="14.25" customHeight="1" thickBot="1">
      <c r="A101" s="779" t="s">
        <v>522</v>
      </c>
      <c r="B101" s="773" t="s">
        <v>429</v>
      </c>
      <c r="C101" s="773">
        <v>12960</v>
      </c>
      <c r="D101" s="773">
        <v>12890</v>
      </c>
      <c r="E101" s="773"/>
      <c r="F101" s="787"/>
    </row>
    <row r="102" spans="1:6" s="767" customFormat="1" ht="14.25" customHeight="1" thickBot="1">
      <c r="A102" s="779" t="s">
        <v>522</v>
      </c>
      <c r="B102" s="773" t="s">
        <v>436</v>
      </c>
      <c r="C102" s="773"/>
      <c r="D102" s="773"/>
      <c r="E102" s="773"/>
      <c r="F102" s="787">
        <v>3100</v>
      </c>
    </row>
    <row r="103" spans="1:6" s="767" customFormat="1" ht="14.25" customHeight="1" thickBot="1">
      <c r="A103" s="779" t="s">
        <v>522</v>
      </c>
      <c r="B103" s="773" t="s">
        <v>443</v>
      </c>
      <c r="C103" s="773"/>
      <c r="D103" s="773"/>
      <c r="E103" s="773"/>
      <c r="F103" s="787">
        <v>2320</v>
      </c>
    </row>
    <row r="104" spans="1:6" s="767" customFormat="1" ht="14.25" customHeight="1" thickBot="1">
      <c r="A104" s="779" t="s">
        <v>522</v>
      </c>
      <c r="B104" s="773" t="s">
        <v>448</v>
      </c>
      <c r="C104" s="773"/>
      <c r="D104" s="773"/>
      <c r="E104" s="773"/>
      <c r="F104" s="787">
        <v>2320</v>
      </c>
    </row>
    <row r="105" spans="1:6" s="767" customFormat="1" ht="14.25" customHeight="1" thickBot="1">
      <c r="A105" s="779" t="s">
        <v>522</v>
      </c>
      <c r="B105" s="773" t="s">
        <v>452</v>
      </c>
      <c r="C105" s="773"/>
      <c r="D105" s="773"/>
      <c r="E105" s="773"/>
      <c r="F105" s="787">
        <v>2320</v>
      </c>
    </row>
    <row r="106" spans="1:6" s="767" customFormat="1" ht="14.25" customHeight="1" thickBot="1">
      <c r="A106" s="779" t="s">
        <v>522</v>
      </c>
      <c r="B106" s="773" t="s">
        <v>457</v>
      </c>
      <c r="C106" s="773"/>
      <c r="D106" s="773"/>
      <c r="E106" s="773"/>
      <c r="F106" s="787">
        <v>2320</v>
      </c>
    </row>
    <row r="107" spans="1:6" s="767" customFormat="1" ht="14.25" customHeight="1" thickBot="1">
      <c r="A107" s="779" t="s">
        <v>522</v>
      </c>
      <c r="B107" s="773" t="s">
        <v>462</v>
      </c>
      <c r="C107" s="773"/>
      <c r="D107" s="773"/>
      <c r="E107" s="773"/>
      <c r="F107" s="787">
        <v>2280</v>
      </c>
    </row>
    <row r="108" spans="1:6" s="767" customFormat="1" ht="14.25" customHeight="1" thickBot="1">
      <c r="A108" s="779" t="s">
        <v>522</v>
      </c>
      <c r="B108" s="773" t="s">
        <v>467</v>
      </c>
      <c r="C108" s="773"/>
      <c r="D108" s="773"/>
      <c r="E108" s="773"/>
      <c r="F108" s="787">
        <v>2280</v>
      </c>
    </row>
    <row r="109" spans="1:6" s="767" customFormat="1" ht="14.25" customHeight="1" thickBot="1">
      <c r="A109" s="779" t="s">
        <v>522</v>
      </c>
      <c r="B109" s="785" t="s">
        <v>472</v>
      </c>
      <c r="C109" s="785"/>
      <c r="D109" s="785"/>
      <c r="E109" s="785"/>
      <c r="F109" s="790">
        <v>2280</v>
      </c>
    </row>
    <row r="110" spans="1:6" s="767" customFormat="1" ht="14.25" customHeight="1" thickBot="1">
      <c r="A110" s="779" t="s">
        <v>56</v>
      </c>
      <c r="B110" s="780" t="s">
        <v>524</v>
      </c>
      <c r="C110" s="780">
        <v>10520</v>
      </c>
      <c r="D110" s="780">
        <v>10490</v>
      </c>
      <c r="E110" s="780">
        <v>10760</v>
      </c>
      <c r="F110" s="781">
        <v>2160</v>
      </c>
    </row>
    <row r="111" spans="1:6" s="767" customFormat="1" ht="14.25" customHeight="1" thickBot="1">
      <c r="A111" s="779" t="s">
        <v>56</v>
      </c>
      <c r="B111" s="773" t="s">
        <v>191</v>
      </c>
      <c r="C111" s="773">
        <v>10090</v>
      </c>
      <c r="D111" s="773">
        <v>10060</v>
      </c>
      <c r="E111" s="773">
        <v>10300</v>
      </c>
      <c r="F111" s="787">
        <v>2010</v>
      </c>
    </row>
    <row r="112" spans="1:6" s="767" customFormat="1" ht="14.25" customHeight="1" thickBot="1">
      <c r="A112" s="779" t="s">
        <v>56</v>
      </c>
      <c r="B112" s="773" t="s">
        <v>204</v>
      </c>
      <c r="C112" s="773">
        <v>9910</v>
      </c>
      <c r="D112" s="773">
        <v>9850</v>
      </c>
      <c r="E112" s="773">
        <v>9960</v>
      </c>
      <c r="F112" s="787">
        <v>2090</v>
      </c>
    </row>
    <row r="113" spans="1:6" s="767" customFormat="1" ht="14.25" customHeight="1" thickBot="1">
      <c r="A113" s="779" t="s">
        <v>56</v>
      </c>
      <c r="B113" s="773" t="s">
        <v>217</v>
      </c>
      <c r="C113" s="773">
        <v>11430</v>
      </c>
      <c r="D113" s="773">
        <v>11400</v>
      </c>
      <c r="E113" s="773">
        <v>11710</v>
      </c>
      <c r="F113" s="787">
        <v>2050</v>
      </c>
    </row>
    <row r="114" spans="1:6" s="767" customFormat="1" ht="14.25" customHeight="1" thickBot="1">
      <c r="A114" s="779" t="s">
        <v>56</v>
      </c>
      <c r="B114" s="773" t="s">
        <v>229</v>
      </c>
      <c r="C114" s="773">
        <v>11390</v>
      </c>
      <c r="D114" s="773">
        <v>11350</v>
      </c>
      <c r="E114" s="773">
        <v>11640</v>
      </c>
      <c r="F114" s="787">
        <v>1620</v>
      </c>
    </row>
    <row r="115" spans="1:6" s="767" customFormat="1" ht="14.25" customHeight="1" thickBot="1">
      <c r="A115" s="779" t="s">
        <v>56</v>
      </c>
      <c r="B115" s="773" t="s">
        <v>240</v>
      </c>
      <c r="C115" s="773">
        <v>9930</v>
      </c>
      <c r="D115" s="773">
        <v>9900</v>
      </c>
      <c r="E115" s="773">
        <v>10160</v>
      </c>
      <c r="F115" s="787">
        <v>1580</v>
      </c>
    </row>
    <row r="116" spans="1:6" s="767" customFormat="1" ht="14.25" customHeight="1" thickBot="1">
      <c r="A116" s="779" t="s">
        <v>56</v>
      </c>
      <c r="B116" s="773" t="s">
        <v>251</v>
      </c>
      <c r="C116" s="773">
        <v>9150</v>
      </c>
      <c r="D116" s="773">
        <v>9120</v>
      </c>
      <c r="E116" s="773">
        <v>9380</v>
      </c>
      <c r="F116" s="787">
        <v>1750</v>
      </c>
    </row>
    <row r="117" spans="1:6" s="767" customFormat="1" ht="14.25" customHeight="1" thickBot="1">
      <c r="A117" s="779" t="s">
        <v>56</v>
      </c>
      <c r="B117" s="773" t="s">
        <v>262</v>
      </c>
      <c r="C117" s="773">
        <v>10680</v>
      </c>
      <c r="D117" s="773">
        <v>10650</v>
      </c>
      <c r="E117" s="773">
        <v>10970</v>
      </c>
      <c r="F117" s="787">
        <v>1730</v>
      </c>
    </row>
    <row r="118" spans="1:6" s="767" customFormat="1" ht="14.25" customHeight="1" thickBot="1">
      <c r="A118" s="779" t="s">
        <v>56</v>
      </c>
      <c r="B118" s="773" t="s">
        <v>274</v>
      </c>
      <c r="C118" s="773">
        <v>10080</v>
      </c>
      <c r="D118" s="773">
        <v>10050</v>
      </c>
      <c r="E118" s="773">
        <v>10350</v>
      </c>
      <c r="F118" s="787">
        <v>1920</v>
      </c>
    </row>
    <row r="119" spans="1:6" s="767" customFormat="1" ht="14.25" customHeight="1" thickBot="1">
      <c r="A119" s="779" t="s">
        <v>56</v>
      </c>
      <c r="B119" s="773" t="s">
        <v>284</v>
      </c>
      <c r="C119" s="773">
        <v>9450</v>
      </c>
      <c r="D119" s="773">
        <v>9410</v>
      </c>
      <c r="E119" s="773">
        <v>9680</v>
      </c>
      <c r="F119" s="787">
        <v>1880</v>
      </c>
    </row>
    <row r="120" spans="1:6" s="767" customFormat="1" ht="14.25" customHeight="1" thickBot="1">
      <c r="A120" s="779" t="s">
        <v>56</v>
      </c>
      <c r="B120" s="773" t="s">
        <v>294</v>
      </c>
      <c r="C120" s="773">
        <v>8730</v>
      </c>
      <c r="D120" s="773">
        <v>8700</v>
      </c>
      <c r="E120" s="773">
        <v>8950</v>
      </c>
      <c r="F120" s="787">
        <v>1830</v>
      </c>
    </row>
    <row r="121" spans="1:6" s="767" customFormat="1" ht="14.25" customHeight="1" thickBot="1">
      <c r="A121" s="779" t="s">
        <v>56</v>
      </c>
      <c r="B121" s="773" t="s">
        <v>304</v>
      </c>
      <c r="C121" s="773">
        <v>10070</v>
      </c>
      <c r="D121" s="773">
        <v>10040</v>
      </c>
      <c r="E121" s="773">
        <v>10270</v>
      </c>
      <c r="F121" s="787">
        <v>1960</v>
      </c>
    </row>
    <row r="122" spans="1:6" s="767" customFormat="1" ht="14.25" customHeight="1" thickBot="1">
      <c r="A122" s="779" t="s">
        <v>56</v>
      </c>
      <c r="B122" s="773" t="s">
        <v>314</v>
      </c>
      <c r="C122" s="773">
        <v>10500</v>
      </c>
      <c r="D122" s="773">
        <v>10470</v>
      </c>
      <c r="E122" s="773">
        <v>10780</v>
      </c>
      <c r="F122" s="787">
        <v>2180</v>
      </c>
    </row>
    <row r="123" spans="1:6" s="767" customFormat="1" ht="14.25" customHeight="1" thickBot="1">
      <c r="A123" s="779" t="s">
        <v>56</v>
      </c>
      <c r="B123" s="773" t="s">
        <v>325</v>
      </c>
      <c r="C123" s="773">
        <v>10390</v>
      </c>
      <c r="D123" s="773">
        <v>10360</v>
      </c>
      <c r="E123" s="773">
        <v>10660</v>
      </c>
      <c r="F123" s="787">
        <v>2040</v>
      </c>
    </row>
    <row r="124" spans="1:6" s="767" customFormat="1" ht="14.25" customHeight="1" thickBot="1">
      <c r="A124" s="779" t="s">
        <v>56</v>
      </c>
      <c r="B124" s="773" t="s">
        <v>336</v>
      </c>
      <c r="C124" s="773">
        <v>10390</v>
      </c>
      <c r="D124" s="773">
        <v>10360</v>
      </c>
      <c r="E124" s="773">
        <v>10680</v>
      </c>
      <c r="F124" s="791"/>
    </row>
    <row r="125" spans="1:6" s="767" customFormat="1" ht="14.25" customHeight="1" thickBot="1">
      <c r="A125" s="779" t="s">
        <v>56</v>
      </c>
      <c r="B125" s="773" t="s">
        <v>346</v>
      </c>
      <c r="C125" s="773">
        <v>10440</v>
      </c>
      <c r="D125" s="773">
        <v>10410</v>
      </c>
      <c r="E125" s="773">
        <v>10710</v>
      </c>
      <c r="F125" s="791"/>
    </row>
    <row r="126" spans="1:6" s="767" customFormat="1" ht="14.25" customHeight="1" thickBot="1">
      <c r="A126" s="779" t="s">
        <v>56</v>
      </c>
      <c r="B126" s="773" t="s">
        <v>356</v>
      </c>
      <c r="C126" s="773">
        <v>10780</v>
      </c>
      <c r="D126" s="773">
        <v>10750</v>
      </c>
      <c r="E126" s="773">
        <v>11080</v>
      </c>
      <c r="F126" s="791"/>
    </row>
    <row r="127" spans="1:6" s="767" customFormat="1" ht="14.25" customHeight="1" thickBot="1">
      <c r="A127" s="779" t="s">
        <v>56</v>
      </c>
      <c r="B127" s="773" t="s">
        <v>366</v>
      </c>
      <c r="C127" s="773">
        <v>10100</v>
      </c>
      <c r="D127" s="773">
        <v>10070</v>
      </c>
      <c r="E127" s="773">
        <v>10350</v>
      </c>
      <c r="F127" s="791"/>
    </row>
    <row r="128" spans="1:6" s="767" customFormat="1" ht="14.25" customHeight="1" thickBot="1">
      <c r="A128" s="779" t="s">
        <v>56</v>
      </c>
      <c r="B128" s="773" t="s">
        <v>376</v>
      </c>
      <c r="C128" s="773">
        <v>9200</v>
      </c>
      <c r="D128" s="773">
        <v>9160</v>
      </c>
      <c r="E128" s="773">
        <v>9660</v>
      </c>
      <c r="F128" s="791"/>
    </row>
    <row r="129" spans="1:6" s="767" customFormat="1" ht="14.25" customHeight="1" thickBot="1">
      <c r="A129" s="779" t="s">
        <v>56</v>
      </c>
      <c r="B129" s="773" t="s">
        <v>385</v>
      </c>
      <c r="C129" s="773">
        <v>10340</v>
      </c>
      <c r="D129" s="773">
        <v>10310</v>
      </c>
      <c r="E129" s="773">
        <v>10580</v>
      </c>
      <c r="F129" s="791"/>
    </row>
    <row r="130" spans="1:6" s="767" customFormat="1" ht="14.25" customHeight="1" thickBot="1">
      <c r="A130" s="779" t="s">
        <v>56</v>
      </c>
      <c r="B130" s="773" t="s">
        <v>394</v>
      </c>
      <c r="C130" s="773">
        <v>9680</v>
      </c>
      <c r="D130" s="773">
        <v>9660</v>
      </c>
      <c r="E130" s="773">
        <v>9950</v>
      </c>
      <c r="F130" s="791"/>
    </row>
    <row r="131" spans="1:6" s="767" customFormat="1" ht="14.25" customHeight="1" thickBot="1">
      <c r="A131" s="779" t="s">
        <v>56</v>
      </c>
      <c r="B131" s="773" t="s">
        <v>402</v>
      </c>
      <c r="C131" s="773">
        <v>9540</v>
      </c>
      <c r="D131" s="773">
        <v>9510</v>
      </c>
      <c r="E131" s="773">
        <v>9790</v>
      </c>
      <c r="F131" s="791"/>
    </row>
    <row r="132" spans="1:6" s="767" customFormat="1" ht="14.25" customHeight="1" thickBot="1">
      <c r="A132" s="779" t="s">
        <v>56</v>
      </c>
      <c r="B132" s="773" t="s">
        <v>409</v>
      </c>
      <c r="C132" s="773">
        <v>9320</v>
      </c>
      <c r="D132" s="773">
        <v>9290</v>
      </c>
      <c r="E132" s="773">
        <v>9570</v>
      </c>
      <c r="F132" s="791"/>
    </row>
    <row r="133" spans="1:6" s="767" customFormat="1" ht="14.25" customHeight="1" thickBot="1">
      <c r="A133" s="779" t="s">
        <v>56</v>
      </c>
      <c r="B133" s="773" t="s">
        <v>416</v>
      </c>
      <c r="C133" s="773">
        <v>10310</v>
      </c>
      <c r="D133" s="773">
        <v>10280</v>
      </c>
      <c r="E133" s="773">
        <v>10530</v>
      </c>
      <c r="F133" s="791"/>
    </row>
    <row r="134" spans="1:6" s="767" customFormat="1" ht="14.25" customHeight="1" thickBot="1">
      <c r="A134" s="779" t="s">
        <v>56</v>
      </c>
      <c r="B134" s="773" t="s">
        <v>423</v>
      </c>
      <c r="C134" s="773">
        <v>10370</v>
      </c>
      <c r="D134" s="773">
        <v>10310</v>
      </c>
      <c r="E134" s="773">
        <v>10240</v>
      </c>
      <c r="F134" s="787">
        <v>2060</v>
      </c>
    </row>
    <row r="135" spans="1:6" s="767" customFormat="1" ht="14.25" customHeight="1" thickBot="1">
      <c r="A135" s="779" t="s">
        <v>56</v>
      </c>
      <c r="B135" s="773" t="s">
        <v>430</v>
      </c>
      <c r="C135" s="773">
        <v>9300</v>
      </c>
      <c r="D135" s="773">
        <v>9270</v>
      </c>
      <c r="E135" s="773">
        <v>9350</v>
      </c>
      <c r="F135" s="791"/>
    </row>
    <row r="136" spans="1:6" s="767" customFormat="1" ht="14.25" customHeight="1" thickBot="1">
      <c r="A136" s="779" t="s">
        <v>56</v>
      </c>
      <c r="B136" s="773" t="s">
        <v>437</v>
      </c>
      <c r="C136" s="773">
        <v>10160</v>
      </c>
      <c r="D136" s="773">
        <v>10110</v>
      </c>
      <c r="E136" s="773">
        <v>10080</v>
      </c>
      <c r="F136" s="791"/>
    </row>
    <row r="137" spans="1:6" s="767" customFormat="1" ht="14.25" customHeight="1" thickBot="1">
      <c r="A137" s="779" t="s">
        <v>56</v>
      </c>
      <c r="B137" s="773" t="s">
        <v>444</v>
      </c>
      <c r="C137" s="773">
        <v>9200</v>
      </c>
      <c r="D137" s="773">
        <v>9170</v>
      </c>
      <c r="E137" s="773">
        <v>9450</v>
      </c>
      <c r="F137" s="791"/>
    </row>
    <row r="138" spans="1:6" s="767" customFormat="1" ht="14.25" customHeight="1" thickBot="1">
      <c r="A138" s="779" t="s">
        <v>56</v>
      </c>
      <c r="B138" s="773" t="s">
        <v>449</v>
      </c>
      <c r="C138" s="773">
        <v>9690</v>
      </c>
      <c r="D138" s="773">
        <v>9660</v>
      </c>
      <c r="E138" s="773">
        <v>9840</v>
      </c>
      <c r="F138" s="791"/>
    </row>
    <row r="139" spans="1:6" s="767" customFormat="1" ht="14.25" customHeight="1" thickBot="1">
      <c r="A139" s="779" t="s">
        <v>56</v>
      </c>
      <c r="B139" s="773" t="s">
        <v>453</v>
      </c>
      <c r="C139" s="773">
        <v>10290</v>
      </c>
      <c r="D139" s="773">
        <v>10260</v>
      </c>
      <c r="E139" s="773">
        <v>10550</v>
      </c>
      <c r="F139" s="787">
        <v>1700</v>
      </c>
    </row>
    <row r="140" spans="1:6" s="767" customFormat="1" ht="14.25" customHeight="1" thickBot="1">
      <c r="A140" s="779" t="s">
        <v>56</v>
      </c>
      <c r="B140" s="773" t="s">
        <v>458</v>
      </c>
      <c r="C140" s="773">
        <v>9740</v>
      </c>
      <c r="D140" s="773">
        <v>9710</v>
      </c>
      <c r="E140" s="773">
        <v>10000</v>
      </c>
      <c r="F140" s="787">
        <v>2000</v>
      </c>
    </row>
    <row r="141" spans="1:6" s="767" customFormat="1" ht="14.25" customHeight="1" thickBot="1">
      <c r="A141" s="779" t="s">
        <v>56</v>
      </c>
      <c r="B141" s="773" t="s">
        <v>463</v>
      </c>
      <c r="C141" s="773">
        <v>9810</v>
      </c>
      <c r="D141" s="773">
        <v>9770</v>
      </c>
      <c r="E141" s="773">
        <v>10060</v>
      </c>
      <c r="F141" s="791"/>
    </row>
    <row r="142" spans="1:6" s="767" customFormat="1" ht="14.25" customHeight="1" thickBot="1">
      <c r="A142" s="779" t="s">
        <v>56</v>
      </c>
      <c r="B142" s="773" t="s">
        <v>468</v>
      </c>
      <c r="C142" s="773">
        <v>9300</v>
      </c>
      <c r="D142" s="773">
        <v>9270</v>
      </c>
      <c r="E142" s="773">
        <v>9530</v>
      </c>
      <c r="F142" s="791"/>
    </row>
    <row r="143" spans="1:6" s="767" customFormat="1" ht="14.25" customHeight="1" thickBot="1">
      <c r="A143" s="779" t="s">
        <v>56</v>
      </c>
      <c r="B143" s="773" t="s">
        <v>473</v>
      </c>
      <c r="C143" s="773">
        <v>10080</v>
      </c>
      <c r="D143" s="773">
        <v>10050</v>
      </c>
      <c r="E143" s="773">
        <v>10340</v>
      </c>
      <c r="F143" s="791"/>
    </row>
    <row r="144" spans="1:6" s="767" customFormat="1" ht="14.25" customHeight="1" thickBot="1">
      <c r="A144" s="779" t="s">
        <v>56</v>
      </c>
      <c r="B144" s="773" t="s">
        <v>477</v>
      </c>
      <c r="C144" s="773">
        <v>9820</v>
      </c>
      <c r="D144" s="773">
        <v>9750</v>
      </c>
      <c r="E144" s="773">
        <v>9900</v>
      </c>
      <c r="F144" s="791"/>
    </row>
    <row r="145" spans="1:6" s="767" customFormat="1" ht="14.25" customHeight="1" thickBot="1">
      <c r="A145" s="779" t="s">
        <v>56</v>
      </c>
      <c r="B145" s="773" t="s">
        <v>481</v>
      </c>
      <c r="C145" s="773"/>
      <c r="D145" s="773"/>
      <c r="E145" s="773"/>
      <c r="F145" s="787">
        <v>1740</v>
      </c>
    </row>
    <row r="146" spans="1:6" s="767" customFormat="1" ht="14.25" customHeight="1" thickBot="1">
      <c r="A146" s="779" t="s">
        <v>56</v>
      </c>
      <c r="B146" s="773" t="s">
        <v>485</v>
      </c>
      <c r="C146" s="773"/>
      <c r="D146" s="773"/>
      <c r="E146" s="773"/>
      <c r="F146" s="787">
        <v>1740</v>
      </c>
    </row>
    <row r="147" spans="1:6" s="767" customFormat="1" ht="14.25" customHeight="1" thickBot="1">
      <c r="A147" s="779" t="s">
        <v>56</v>
      </c>
      <c r="B147" s="773" t="s">
        <v>489</v>
      </c>
      <c r="C147" s="773"/>
      <c r="D147" s="773"/>
      <c r="E147" s="773"/>
      <c r="F147" s="787">
        <v>1740</v>
      </c>
    </row>
    <row r="148" spans="1:6" s="767" customFormat="1" ht="14.25" customHeight="1" thickBot="1">
      <c r="A148" s="779" t="s">
        <v>56</v>
      </c>
      <c r="B148" s="773" t="s">
        <v>493</v>
      </c>
      <c r="C148" s="773"/>
      <c r="D148" s="773"/>
      <c r="E148" s="773"/>
      <c r="F148" s="787">
        <v>1740</v>
      </c>
    </row>
    <row r="149" spans="1:6" s="767" customFormat="1" ht="14.25" customHeight="1" thickBot="1">
      <c r="A149" s="779" t="s">
        <v>56</v>
      </c>
      <c r="B149" s="773" t="s">
        <v>497</v>
      </c>
      <c r="C149" s="773"/>
      <c r="D149" s="773"/>
      <c r="E149" s="773"/>
      <c r="F149" s="787">
        <v>1740</v>
      </c>
    </row>
    <row r="150" spans="1:6" s="767" customFormat="1" ht="14.25" customHeight="1" thickBot="1">
      <c r="A150" s="779" t="s">
        <v>56</v>
      </c>
      <c r="B150" s="773" t="s">
        <v>500</v>
      </c>
      <c r="C150" s="773"/>
      <c r="D150" s="773"/>
      <c r="E150" s="773"/>
      <c r="F150" s="787">
        <v>1610</v>
      </c>
    </row>
    <row r="151" spans="1:6" s="767" customFormat="1" ht="14.25" customHeight="1" thickBot="1">
      <c r="A151" s="779" t="s">
        <v>56</v>
      </c>
      <c r="B151" s="773" t="s">
        <v>503</v>
      </c>
      <c r="C151" s="773"/>
      <c r="D151" s="773"/>
      <c r="E151" s="773"/>
      <c r="F151" s="787">
        <v>1610</v>
      </c>
    </row>
    <row r="152" spans="1:6" s="767" customFormat="1" ht="14.25" customHeight="1" thickBot="1">
      <c r="A152" s="779" t="s">
        <v>56</v>
      </c>
      <c r="B152" s="773" t="s">
        <v>506</v>
      </c>
      <c r="C152" s="773"/>
      <c r="D152" s="773"/>
      <c r="E152" s="773"/>
      <c r="F152" s="787">
        <v>1610</v>
      </c>
    </row>
    <row r="153" spans="1:6" s="767" customFormat="1" ht="14.25" customHeight="1" thickBot="1">
      <c r="A153" s="779" t="s">
        <v>56</v>
      </c>
      <c r="B153" s="773" t="s">
        <v>509</v>
      </c>
      <c r="C153" s="773"/>
      <c r="D153" s="773"/>
      <c r="E153" s="773"/>
      <c r="F153" s="787">
        <v>1610</v>
      </c>
    </row>
    <row r="154" spans="1:6" s="767" customFormat="1" ht="14.25" customHeight="1" thickBot="1">
      <c r="A154" s="779" t="s">
        <v>56</v>
      </c>
      <c r="B154" s="773" t="s">
        <v>512</v>
      </c>
      <c r="C154" s="773"/>
      <c r="D154" s="773"/>
      <c r="E154" s="773"/>
      <c r="F154" s="787">
        <v>1610</v>
      </c>
    </row>
    <row r="155" spans="1:6" s="767" customFormat="1" ht="14.25" customHeight="1" thickBot="1">
      <c r="A155" s="779" t="s">
        <v>56</v>
      </c>
      <c r="B155" s="773" t="s">
        <v>515</v>
      </c>
      <c r="C155" s="773"/>
      <c r="D155" s="773"/>
      <c r="E155" s="773"/>
      <c r="F155" s="787">
        <v>1800</v>
      </c>
    </row>
    <row r="156" spans="1:6" s="767" customFormat="1" ht="14.25" customHeight="1" thickBot="1">
      <c r="A156" s="779" t="s">
        <v>56</v>
      </c>
      <c r="B156" s="773" t="s">
        <v>517</v>
      </c>
      <c r="C156" s="773"/>
      <c r="D156" s="773"/>
      <c r="E156" s="773"/>
      <c r="F156" s="787">
        <v>1910</v>
      </c>
    </row>
    <row r="157" spans="1:6" s="767" customFormat="1" ht="14.25" customHeight="1" thickBot="1">
      <c r="A157" s="779" t="s">
        <v>56</v>
      </c>
      <c r="B157" s="785" t="s">
        <v>520</v>
      </c>
      <c r="C157" s="785"/>
      <c r="D157" s="785"/>
      <c r="E157" s="785"/>
      <c r="F157" s="790">
        <v>1500</v>
      </c>
    </row>
    <row r="158" spans="1:6" s="767" customFormat="1" ht="14.25" customHeight="1" thickBot="1">
      <c r="A158" s="779" t="s">
        <v>525</v>
      </c>
      <c r="B158" s="780" t="s">
        <v>526</v>
      </c>
      <c r="C158" s="780">
        <v>8170</v>
      </c>
      <c r="D158" s="780">
        <v>8140</v>
      </c>
      <c r="E158" s="780">
        <v>8590</v>
      </c>
      <c r="F158" s="781">
        <v>1450</v>
      </c>
    </row>
    <row r="159" spans="1:6" s="767" customFormat="1" ht="14.25" customHeight="1" thickBot="1">
      <c r="A159" s="779" t="s">
        <v>525</v>
      </c>
      <c r="B159" s="773" t="s">
        <v>192</v>
      </c>
      <c r="C159" s="773">
        <v>7410</v>
      </c>
      <c r="D159" s="773">
        <v>7370</v>
      </c>
      <c r="E159" s="773">
        <v>8030</v>
      </c>
      <c r="F159" s="787">
        <v>1510</v>
      </c>
    </row>
    <row r="160" spans="1:6" s="767" customFormat="1" ht="14.25" customHeight="1" thickBot="1">
      <c r="A160" s="779" t="s">
        <v>525</v>
      </c>
      <c r="B160" s="773" t="s">
        <v>205</v>
      </c>
      <c r="C160" s="773">
        <v>7240</v>
      </c>
      <c r="D160" s="773">
        <v>7210</v>
      </c>
      <c r="E160" s="773">
        <v>7860</v>
      </c>
      <c r="F160" s="787">
        <v>1370</v>
      </c>
    </row>
    <row r="161" spans="1:6" s="767" customFormat="1" ht="14.25" customHeight="1" thickBot="1">
      <c r="A161" s="779" t="s">
        <v>525</v>
      </c>
      <c r="B161" s="773" t="s">
        <v>218</v>
      </c>
      <c r="C161" s="773">
        <v>7720</v>
      </c>
      <c r="D161" s="773">
        <v>7690</v>
      </c>
      <c r="E161" s="773">
        <v>8200</v>
      </c>
      <c r="F161" s="787">
        <v>1190</v>
      </c>
    </row>
    <row r="162" spans="1:6" s="767" customFormat="1" ht="14.25" customHeight="1" thickBot="1">
      <c r="A162" s="779" t="s">
        <v>525</v>
      </c>
      <c r="B162" s="773" t="s">
        <v>230</v>
      </c>
      <c r="C162" s="773">
        <v>6900</v>
      </c>
      <c r="D162" s="773">
        <v>6870</v>
      </c>
      <c r="E162" s="773">
        <v>7500</v>
      </c>
      <c r="F162" s="787">
        <v>1390</v>
      </c>
    </row>
    <row r="163" spans="1:6" s="767" customFormat="1" ht="14.25" customHeight="1" thickBot="1">
      <c r="A163" s="779" t="s">
        <v>525</v>
      </c>
      <c r="B163" s="773" t="s">
        <v>241</v>
      </c>
      <c r="C163" s="773">
        <v>7120</v>
      </c>
      <c r="D163" s="773">
        <v>7090</v>
      </c>
      <c r="E163" s="773">
        <v>7690</v>
      </c>
      <c r="F163" s="787">
        <v>1230</v>
      </c>
    </row>
    <row r="164" spans="1:6" s="767" customFormat="1" ht="14.25" customHeight="1" thickBot="1">
      <c r="A164" s="779" t="s">
        <v>525</v>
      </c>
      <c r="B164" s="773" t="s">
        <v>252</v>
      </c>
      <c r="C164" s="773">
        <v>6560</v>
      </c>
      <c r="D164" s="773">
        <v>6530</v>
      </c>
      <c r="E164" s="773">
        <v>7110</v>
      </c>
      <c r="F164" s="787">
        <v>1340</v>
      </c>
    </row>
    <row r="165" spans="1:6" s="767" customFormat="1" ht="14.25" customHeight="1" thickBot="1">
      <c r="A165" s="779" t="s">
        <v>525</v>
      </c>
      <c r="B165" s="773" t="s">
        <v>263</v>
      </c>
      <c r="C165" s="773">
        <v>7450</v>
      </c>
      <c r="D165" s="773">
        <v>7430</v>
      </c>
      <c r="E165" s="773">
        <v>8110</v>
      </c>
      <c r="F165" s="787">
        <v>1290</v>
      </c>
    </row>
    <row r="166" spans="1:6" s="767" customFormat="1" ht="14.25" customHeight="1" thickBot="1">
      <c r="A166" s="779" t="s">
        <v>525</v>
      </c>
      <c r="B166" s="773" t="s">
        <v>275</v>
      </c>
      <c r="C166" s="773">
        <v>7490</v>
      </c>
      <c r="D166" s="773">
        <v>7460</v>
      </c>
      <c r="E166" s="773">
        <v>8150</v>
      </c>
      <c r="F166" s="787">
        <v>1350</v>
      </c>
    </row>
    <row r="167" spans="1:6" s="767" customFormat="1" ht="14.25" customHeight="1" thickBot="1">
      <c r="A167" s="779" t="s">
        <v>525</v>
      </c>
      <c r="B167" s="773" t="s">
        <v>285</v>
      </c>
      <c r="C167" s="773">
        <v>7540</v>
      </c>
      <c r="D167" s="773">
        <v>7510</v>
      </c>
      <c r="E167" s="773">
        <v>8030</v>
      </c>
      <c r="F167" s="791"/>
    </row>
    <row r="168" spans="1:6" s="767" customFormat="1" ht="14.25" customHeight="1" thickBot="1">
      <c r="A168" s="779" t="s">
        <v>525</v>
      </c>
      <c r="B168" s="773" t="s">
        <v>295</v>
      </c>
      <c r="C168" s="773">
        <v>7210</v>
      </c>
      <c r="D168" s="773">
        <v>7180</v>
      </c>
      <c r="E168" s="773">
        <v>7830</v>
      </c>
      <c r="F168" s="791"/>
    </row>
    <row r="169" spans="1:6" s="767" customFormat="1" ht="14.25" customHeight="1" thickBot="1">
      <c r="A169" s="779" t="s">
        <v>525</v>
      </c>
      <c r="B169" s="773" t="s">
        <v>305</v>
      </c>
      <c r="C169" s="773">
        <v>7040</v>
      </c>
      <c r="D169" s="773">
        <v>7020</v>
      </c>
      <c r="E169" s="773">
        <v>7670</v>
      </c>
      <c r="F169" s="791"/>
    </row>
    <row r="170" spans="1:6" s="767" customFormat="1" ht="14.25" customHeight="1" thickBot="1">
      <c r="A170" s="779" t="s">
        <v>525</v>
      </c>
      <c r="B170" s="773" t="s">
        <v>315</v>
      </c>
      <c r="C170" s="773">
        <v>8040</v>
      </c>
      <c r="D170" s="773">
        <v>7190</v>
      </c>
      <c r="E170" s="773">
        <v>7850</v>
      </c>
      <c r="F170" s="791"/>
    </row>
    <row r="171" spans="1:6" s="767" customFormat="1" ht="14.25" customHeight="1" thickBot="1">
      <c r="A171" s="779" t="s">
        <v>525</v>
      </c>
      <c r="B171" s="773" t="s">
        <v>326</v>
      </c>
      <c r="C171" s="773">
        <v>7860</v>
      </c>
      <c r="D171" s="773">
        <v>7720</v>
      </c>
      <c r="E171" s="773">
        <v>8150</v>
      </c>
      <c r="F171" s="787">
        <v>1110</v>
      </c>
    </row>
    <row r="172" spans="1:6" s="767" customFormat="1" ht="14.25" customHeight="1" thickBot="1">
      <c r="A172" s="779" t="s">
        <v>525</v>
      </c>
      <c r="B172" s="773" t="s">
        <v>337</v>
      </c>
      <c r="C172" s="773">
        <v>7210</v>
      </c>
      <c r="D172" s="773">
        <v>7170</v>
      </c>
      <c r="E172" s="773">
        <v>7320</v>
      </c>
      <c r="F172" s="791"/>
    </row>
    <row r="173" spans="1:6" s="767" customFormat="1" ht="14.25" customHeight="1" thickBot="1">
      <c r="A173" s="779" t="s">
        <v>525</v>
      </c>
      <c r="B173" s="773" t="s">
        <v>347</v>
      </c>
      <c r="C173" s="773">
        <v>6860</v>
      </c>
      <c r="D173" s="773">
        <v>6810</v>
      </c>
      <c r="E173" s="773">
        <v>7440</v>
      </c>
      <c r="F173" s="791"/>
    </row>
    <row r="174" spans="1:6" s="767" customFormat="1" ht="14.25" customHeight="1" thickBot="1">
      <c r="A174" s="779" t="s">
        <v>525</v>
      </c>
      <c r="B174" s="773" t="s">
        <v>357</v>
      </c>
      <c r="C174" s="773">
        <v>7120</v>
      </c>
      <c r="D174" s="773">
        <v>7090</v>
      </c>
      <c r="E174" s="773">
        <v>7500</v>
      </c>
      <c r="F174" s="787">
        <v>1490</v>
      </c>
    </row>
    <row r="175" spans="1:6" s="767" customFormat="1" ht="14.25" customHeight="1" thickBot="1">
      <c r="A175" s="779" t="s">
        <v>525</v>
      </c>
      <c r="B175" s="773" t="s">
        <v>367</v>
      </c>
      <c r="C175" s="773">
        <v>7850</v>
      </c>
      <c r="D175" s="773">
        <v>7820</v>
      </c>
      <c r="E175" s="773">
        <v>8120</v>
      </c>
      <c r="F175" s="787">
        <v>1530</v>
      </c>
    </row>
    <row r="176" spans="1:6" s="767" customFormat="1" ht="14.25" customHeight="1" thickBot="1">
      <c r="A176" s="779" t="s">
        <v>525</v>
      </c>
      <c r="B176" s="773" t="s">
        <v>377</v>
      </c>
      <c r="C176" s="773">
        <v>7620</v>
      </c>
      <c r="D176" s="773">
        <v>7570</v>
      </c>
      <c r="E176" s="773">
        <v>7990</v>
      </c>
      <c r="F176" s="787">
        <v>1480</v>
      </c>
    </row>
    <row r="177" spans="1:6" s="767" customFormat="1" ht="14.25" customHeight="1" thickBot="1">
      <c r="A177" s="779" t="s">
        <v>525</v>
      </c>
      <c r="B177" s="773" t="s">
        <v>386</v>
      </c>
      <c r="C177" s="773">
        <v>8590</v>
      </c>
      <c r="D177" s="773">
        <v>8570</v>
      </c>
      <c r="E177" s="773">
        <v>8740</v>
      </c>
      <c r="F177" s="787">
        <v>1540</v>
      </c>
    </row>
    <row r="178" spans="1:6" s="767" customFormat="1" ht="14.25" customHeight="1" thickBot="1">
      <c r="A178" s="779" t="s">
        <v>525</v>
      </c>
      <c r="B178" s="773" t="s">
        <v>395</v>
      </c>
      <c r="C178" s="773">
        <v>7510</v>
      </c>
      <c r="D178" s="773">
        <v>7470</v>
      </c>
      <c r="E178" s="773">
        <v>8090</v>
      </c>
      <c r="F178" s="787">
        <v>1320</v>
      </c>
    </row>
    <row r="179" spans="1:6" s="767" customFormat="1" ht="14.25" customHeight="1" thickBot="1">
      <c r="A179" s="779" t="s">
        <v>525</v>
      </c>
      <c r="B179" s="773" t="s">
        <v>403</v>
      </c>
      <c r="C179" s="773">
        <v>6380</v>
      </c>
      <c r="D179" s="773">
        <v>6340</v>
      </c>
      <c r="E179" s="773">
        <v>6810</v>
      </c>
      <c r="F179" s="791"/>
    </row>
    <row r="180" spans="1:6" s="767" customFormat="1" ht="14.25" customHeight="1" thickBot="1">
      <c r="A180" s="779" t="s">
        <v>525</v>
      </c>
      <c r="B180" s="773" t="s">
        <v>410</v>
      </c>
      <c r="C180" s="773">
        <v>7830</v>
      </c>
      <c r="D180" s="773">
        <v>7800</v>
      </c>
      <c r="E180" s="773">
        <v>7780</v>
      </c>
      <c r="F180" s="787">
        <v>1440</v>
      </c>
    </row>
    <row r="181" spans="1:6" s="767" customFormat="1" ht="14.25" customHeight="1" thickBot="1">
      <c r="A181" s="779" t="s">
        <v>525</v>
      </c>
      <c r="B181" s="773" t="s">
        <v>417</v>
      </c>
      <c r="C181" s="773">
        <v>7110</v>
      </c>
      <c r="D181" s="773">
        <v>7080</v>
      </c>
      <c r="E181" s="773">
        <v>7730</v>
      </c>
      <c r="F181" s="787">
        <v>1350</v>
      </c>
    </row>
    <row r="182" spans="1:6" s="767" customFormat="1" ht="14.25" customHeight="1" thickBot="1">
      <c r="A182" s="779" t="s">
        <v>525</v>
      </c>
      <c r="B182" s="773" t="s">
        <v>424</v>
      </c>
      <c r="C182" s="773">
        <v>7310</v>
      </c>
      <c r="D182" s="773">
        <v>7280</v>
      </c>
      <c r="E182" s="773">
        <v>7950</v>
      </c>
      <c r="F182" s="787">
        <v>1220</v>
      </c>
    </row>
    <row r="183" spans="1:6" s="767" customFormat="1" ht="14.25" customHeight="1" thickBot="1">
      <c r="A183" s="779" t="s">
        <v>525</v>
      </c>
      <c r="B183" s="773" t="s">
        <v>431</v>
      </c>
      <c r="C183" s="773">
        <v>7470</v>
      </c>
      <c r="D183" s="773">
        <v>7440</v>
      </c>
      <c r="E183" s="773">
        <v>7880</v>
      </c>
      <c r="F183" s="791"/>
    </row>
    <row r="184" spans="1:6" s="767" customFormat="1" ht="14.25" customHeight="1" thickBot="1">
      <c r="A184" s="779" t="s">
        <v>525</v>
      </c>
      <c r="B184" s="773" t="s">
        <v>438</v>
      </c>
      <c r="C184" s="773">
        <v>6960</v>
      </c>
      <c r="D184" s="773">
        <v>6930</v>
      </c>
      <c r="E184" s="773">
        <v>7570</v>
      </c>
      <c r="F184" s="791"/>
    </row>
    <row r="185" spans="1:6" s="767" customFormat="1" ht="14.25" customHeight="1" thickBot="1">
      <c r="A185" s="779" t="s">
        <v>525</v>
      </c>
      <c r="B185" s="773" t="s">
        <v>445</v>
      </c>
      <c r="C185" s="773">
        <v>7260</v>
      </c>
      <c r="D185" s="773">
        <v>7230</v>
      </c>
      <c r="E185" s="773">
        <v>7710</v>
      </c>
      <c r="F185" s="787">
        <v>1360</v>
      </c>
    </row>
    <row r="186" spans="1:6" s="767" customFormat="1" ht="14.25" customHeight="1" thickBot="1">
      <c r="A186" s="779" t="s">
        <v>525</v>
      </c>
      <c r="B186" s="773" t="s">
        <v>450</v>
      </c>
      <c r="C186" s="773"/>
      <c r="D186" s="773"/>
      <c r="E186" s="773"/>
      <c r="F186" s="787">
        <v>1560</v>
      </c>
    </row>
    <row r="187" spans="1:6" s="767" customFormat="1" ht="14.25" customHeight="1" thickBot="1">
      <c r="A187" s="779" t="s">
        <v>525</v>
      </c>
      <c r="B187" s="773" t="s">
        <v>454</v>
      </c>
      <c r="C187" s="773"/>
      <c r="D187" s="773"/>
      <c r="E187" s="773"/>
      <c r="F187" s="787">
        <v>1560</v>
      </c>
    </row>
    <row r="188" spans="1:6" s="767" customFormat="1" ht="14.25" customHeight="1" thickBot="1">
      <c r="A188" s="779" t="s">
        <v>525</v>
      </c>
      <c r="B188" s="773" t="s">
        <v>459</v>
      </c>
      <c r="C188" s="773"/>
      <c r="D188" s="773"/>
      <c r="E188" s="773"/>
      <c r="F188" s="787">
        <v>1560</v>
      </c>
    </row>
    <row r="189" spans="1:6" s="767" customFormat="1" ht="14.25" customHeight="1" thickBot="1">
      <c r="A189" s="779" t="s">
        <v>525</v>
      </c>
      <c r="B189" s="773" t="s">
        <v>464</v>
      </c>
      <c r="C189" s="773"/>
      <c r="D189" s="773"/>
      <c r="E189" s="773"/>
      <c r="F189" s="787">
        <v>1320</v>
      </c>
    </row>
    <row r="190" spans="1:6" s="767" customFormat="1" ht="14.25" customHeight="1" thickBot="1">
      <c r="A190" s="779" t="s">
        <v>525</v>
      </c>
      <c r="B190" s="773" t="s">
        <v>469</v>
      </c>
      <c r="C190" s="773"/>
      <c r="D190" s="773"/>
      <c r="E190" s="773"/>
      <c r="F190" s="787">
        <v>1320</v>
      </c>
    </row>
    <row r="191" spans="1:6" s="767" customFormat="1" ht="14.25" customHeight="1" thickBot="1">
      <c r="A191" s="779" t="s">
        <v>525</v>
      </c>
      <c r="B191" s="773" t="s">
        <v>474</v>
      </c>
      <c r="C191" s="773"/>
      <c r="D191" s="773"/>
      <c r="E191" s="773"/>
      <c r="F191" s="787">
        <v>1320</v>
      </c>
    </row>
    <row r="192" spans="1:6" s="767" customFormat="1" ht="14.25" customHeight="1" thickBot="1">
      <c r="A192" s="779" t="s">
        <v>525</v>
      </c>
      <c r="B192" s="773" t="s">
        <v>478</v>
      </c>
      <c r="C192" s="773"/>
      <c r="D192" s="773"/>
      <c r="E192" s="773"/>
      <c r="F192" s="787">
        <v>1100</v>
      </c>
    </row>
    <row r="193" spans="1:6" s="767" customFormat="1" ht="14.25" customHeight="1" thickBot="1">
      <c r="A193" s="779" t="s">
        <v>525</v>
      </c>
      <c r="B193" s="773" t="s">
        <v>482</v>
      </c>
      <c r="C193" s="773"/>
      <c r="D193" s="773"/>
      <c r="E193" s="773"/>
      <c r="F193" s="787">
        <v>1100</v>
      </c>
    </row>
    <row r="194" spans="1:6" s="767" customFormat="1" ht="14.25" customHeight="1" thickBot="1">
      <c r="A194" s="779" t="s">
        <v>525</v>
      </c>
      <c r="B194" s="773" t="s">
        <v>486</v>
      </c>
      <c r="C194" s="773"/>
      <c r="D194" s="773"/>
      <c r="E194" s="773"/>
      <c r="F194" s="787">
        <v>1080</v>
      </c>
    </row>
    <row r="195" spans="1:6" s="767" customFormat="1" ht="14.25" customHeight="1" thickBot="1">
      <c r="A195" s="779" t="s">
        <v>525</v>
      </c>
      <c r="B195" s="773" t="s">
        <v>490</v>
      </c>
      <c r="C195" s="773"/>
      <c r="D195" s="773"/>
      <c r="E195" s="773"/>
      <c r="F195" s="787">
        <v>1270</v>
      </c>
    </row>
    <row r="196" spans="1:6" s="767" customFormat="1" ht="14.25" customHeight="1" thickBot="1">
      <c r="A196" s="779" t="s">
        <v>525</v>
      </c>
      <c r="B196" s="773" t="s">
        <v>494</v>
      </c>
      <c r="C196" s="773"/>
      <c r="D196" s="773"/>
      <c r="E196" s="773"/>
      <c r="F196" s="787">
        <v>1150</v>
      </c>
    </row>
    <row r="197" spans="1:6" s="767" customFormat="1" ht="14.25" customHeight="1" thickBot="1">
      <c r="A197" s="779" t="s">
        <v>525</v>
      </c>
      <c r="B197" s="773" t="s">
        <v>498</v>
      </c>
      <c r="C197" s="773"/>
      <c r="D197" s="773"/>
      <c r="E197" s="773"/>
      <c r="F197" s="787">
        <v>1330</v>
      </c>
    </row>
    <row r="198" spans="1:6" s="767" customFormat="1" ht="14.25" customHeight="1" thickBot="1">
      <c r="A198" s="779" t="s">
        <v>525</v>
      </c>
      <c r="B198" s="773" t="s">
        <v>501</v>
      </c>
      <c r="C198" s="773"/>
      <c r="D198" s="773"/>
      <c r="E198" s="773"/>
      <c r="F198" s="787">
        <v>1170</v>
      </c>
    </row>
    <row r="199" spans="1:6" s="767" customFormat="1" ht="14.25" customHeight="1" thickBot="1">
      <c r="A199" s="779" t="s">
        <v>525</v>
      </c>
      <c r="B199" s="773" t="s">
        <v>504</v>
      </c>
      <c r="C199" s="773"/>
      <c r="D199" s="773"/>
      <c r="E199" s="773"/>
      <c r="F199" s="787">
        <v>1120</v>
      </c>
    </row>
    <row r="200" spans="1:6" s="767" customFormat="1" ht="14.25" customHeight="1" thickBot="1">
      <c r="A200" s="779" t="s">
        <v>525</v>
      </c>
      <c r="B200" s="773" t="s">
        <v>507</v>
      </c>
      <c r="C200" s="773"/>
      <c r="D200" s="773"/>
      <c r="E200" s="773"/>
      <c r="F200" s="787">
        <v>1120</v>
      </c>
    </row>
    <row r="201" spans="1:6" s="767" customFormat="1" ht="14.25" customHeight="1" thickBot="1">
      <c r="A201" s="779" t="s">
        <v>525</v>
      </c>
      <c r="B201" s="773" t="s">
        <v>510</v>
      </c>
      <c r="C201" s="773"/>
      <c r="D201" s="773"/>
      <c r="E201" s="773"/>
      <c r="F201" s="787">
        <v>1540</v>
      </c>
    </row>
    <row r="202" spans="1:6" s="767" customFormat="1" ht="14.25" customHeight="1" thickBot="1">
      <c r="A202" s="779" t="s">
        <v>525</v>
      </c>
      <c r="B202" s="773" t="s">
        <v>513</v>
      </c>
      <c r="C202" s="773"/>
      <c r="D202" s="773"/>
      <c r="E202" s="773"/>
      <c r="F202" s="787">
        <v>1310</v>
      </c>
    </row>
    <row r="203" spans="1:6" s="767" customFormat="1" ht="14.25" customHeight="1" thickBot="1">
      <c r="A203" s="779" t="s">
        <v>525</v>
      </c>
      <c r="B203" s="773" t="s">
        <v>516</v>
      </c>
      <c r="C203" s="773"/>
      <c r="D203" s="773"/>
      <c r="E203" s="773"/>
      <c r="F203" s="787">
        <v>1310</v>
      </c>
    </row>
    <row r="204" spans="1:6" s="767" customFormat="1" ht="14.25" customHeight="1" thickBot="1">
      <c r="A204" s="779" t="s">
        <v>525</v>
      </c>
      <c r="B204" s="773" t="s">
        <v>518</v>
      </c>
      <c r="C204" s="773"/>
      <c r="D204" s="773"/>
      <c r="E204" s="773"/>
      <c r="F204" s="787">
        <v>1080</v>
      </c>
    </row>
    <row r="205" spans="1:6" s="767" customFormat="1" ht="14.25" customHeight="1" thickBot="1">
      <c r="A205" s="779" t="s">
        <v>525</v>
      </c>
      <c r="B205" s="773" t="s">
        <v>521</v>
      </c>
      <c r="C205" s="773"/>
      <c r="D205" s="773"/>
      <c r="E205" s="773"/>
      <c r="F205" s="787">
        <v>1080</v>
      </c>
    </row>
    <row r="206" spans="1:6" s="767" customFormat="1" ht="14.25" customHeight="1" thickBot="1">
      <c r="A206" s="779" t="s">
        <v>527</v>
      </c>
      <c r="B206" s="780" t="s">
        <v>528</v>
      </c>
      <c r="C206" s="780">
        <v>5450</v>
      </c>
      <c r="D206" s="780">
        <v>5430</v>
      </c>
      <c r="E206" s="780">
        <v>5700</v>
      </c>
      <c r="F206" s="781">
        <v>1020</v>
      </c>
    </row>
    <row r="207" spans="1:6" s="767" customFormat="1" ht="14.25" customHeight="1" thickBot="1">
      <c r="A207" s="779" t="s">
        <v>527</v>
      </c>
      <c r="B207" s="773" t="s">
        <v>193</v>
      </c>
      <c r="C207" s="773">
        <v>5860</v>
      </c>
      <c r="D207" s="773">
        <v>5820</v>
      </c>
      <c r="E207" s="773">
        <v>6050</v>
      </c>
      <c r="F207" s="787">
        <v>1080</v>
      </c>
    </row>
    <row r="208" spans="1:6" s="767" customFormat="1" ht="14.25" customHeight="1" thickBot="1">
      <c r="A208" s="779" t="s">
        <v>527</v>
      </c>
      <c r="B208" s="773" t="s">
        <v>206</v>
      </c>
      <c r="C208" s="773">
        <v>4630</v>
      </c>
      <c r="D208" s="773">
        <v>4600</v>
      </c>
      <c r="E208" s="773">
        <v>4840</v>
      </c>
      <c r="F208" s="787">
        <v>900</v>
      </c>
    </row>
    <row r="209" spans="1:6" s="767" customFormat="1" ht="14.25" customHeight="1" thickBot="1">
      <c r="A209" s="779" t="s">
        <v>527</v>
      </c>
      <c r="B209" s="773" t="s">
        <v>219</v>
      </c>
      <c r="C209" s="773">
        <v>5320</v>
      </c>
      <c r="D209" s="773">
        <v>5270</v>
      </c>
      <c r="E209" s="773">
        <v>5540</v>
      </c>
      <c r="F209" s="787">
        <v>980</v>
      </c>
    </row>
    <row r="210" spans="1:6" s="767" customFormat="1" ht="14.25" customHeight="1" thickBot="1">
      <c r="A210" s="779" t="s">
        <v>527</v>
      </c>
      <c r="B210" s="773" t="s">
        <v>231</v>
      </c>
      <c r="C210" s="773">
        <v>5760</v>
      </c>
      <c r="D210" s="773">
        <v>5710</v>
      </c>
      <c r="E210" s="773">
        <v>6010</v>
      </c>
      <c r="F210" s="787">
        <v>870</v>
      </c>
    </row>
    <row r="211" spans="1:6" s="767" customFormat="1" ht="14.25" customHeight="1" thickBot="1">
      <c r="A211" s="779" t="s">
        <v>527</v>
      </c>
      <c r="B211" s="773" t="s">
        <v>242</v>
      </c>
      <c r="C211" s="773">
        <v>4160</v>
      </c>
      <c r="D211" s="773">
        <v>4100</v>
      </c>
      <c r="E211" s="773">
        <v>4270</v>
      </c>
      <c r="F211" s="787">
        <v>790</v>
      </c>
    </row>
    <row r="212" spans="1:6" s="767" customFormat="1" ht="14.25" customHeight="1" thickBot="1">
      <c r="A212" s="779" t="s">
        <v>527</v>
      </c>
      <c r="B212" s="773" t="s">
        <v>253</v>
      </c>
      <c r="C212" s="773">
        <v>4880</v>
      </c>
      <c r="D212" s="773">
        <v>4850</v>
      </c>
      <c r="E212" s="773">
        <v>5110</v>
      </c>
      <c r="F212" s="787">
        <v>940</v>
      </c>
    </row>
    <row r="213" spans="1:6" s="767" customFormat="1" ht="14.25" customHeight="1" thickBot="1">
      <c r="A213" s="779" t="s">
        <v>527</v>
      </c>
      <c r="B213" s="773" t="s">
        <v>264</v>
      </c>
      <c r="C213" s="773">
        <v>4640</v>
      </c>
      <c r="D213" s="773">
        <v>4590</v>
      </c>
      <c r="E213" s="773">
        <v>4700</v>
      </c>
      <c r="F213" s="787">
        <v>1030</v>
      </c>
    </row>
    <row r="214" spans="1:6" s="767" customFormat="1" ht="14.25" customHeight="1" thickBot="1">
      <c r="A214" s="779" t="s">
        <v>527</v>
      </c>
      <c r="B214" s="773" t="s">
        <v>276</v>
      </c>
      <c r="C214" s="773">
        <v>4540</v>
      </c>
      <c r="D214" s="773">
        <v>4490</v>
      </c>
      <c r="E214" s="773">
        <v>4610</v>
      </c>
      <c r="F214" s="791"/>
    </row>
    <row r="215" spans="1:6" s="767" customFormat="1" ht="14.25" customHeight="1" thickBot="1">
      <c r="A215" s="779" t="s">
        <v>527</v>
      </c>
      <c r="B215" s="773" t="s">
        <v>286</v>
      </c>
      <c r="C215" s="773">
        <v>5280</v>
      </c>
      <c r="D215" s="773">
        <v>5250</v>
      </c>
      <c r="E215" s="773">
        <v>5520</v>
      </c>
      <c r="F215" s="787">
        <v>1000</v>
      </c>
    </row>
    <row r="216" spans="1:6" s="767" customFormat="1" ht="14.25" customHeight="1" thickBot="1">
      <c r="A216" s="779" t="s">
        <v>527</v>
      </c>
      <c r="B216" s="773" t="s">
        <v>296</v>
      </c>
      <c r="C216" s="773">
        <v>5100</v>
      </c>
      <c r="D216" s="773">
        <v>5050</v>
      </c>
      <c r="E216" s="773">
        <v>5300</v>
      </c>
      <c r="F216" s="787">
        <v>950</v>
      </c>
    </row>
    <row r="217" spans="1:6" s="767" customFormat="1" ht="14.25" customHeight="1" thickBot="1">
      <c r="A217" s="779" t="s">
        <v>527</v>
      </c>
      <c r="B217" s="773" t="s">
        <v>306</v>
      </c>
      <c r="C217" s="773">
        <v>5370</v>
      </c>
      <c r="D217" s="773">
        <v>5320</v>
      </c>
      <c r="E217" s="773">
        <v>5410</v>
      </c>
      <c r="F217" s="787">
        <v>950</v>
      </c>
    </row>
    <row r="218" spans="1:6" s="767" customFormat="1" ht="14.25" customHeight="1" thickBot="1">
      <c r="A218" s="779" t="s">
        <v>527</v>
      </c>
      <c r="B218" s="773" t="s">
        <v>316</v>
      </c>
      <c r="C218" s="773">
        <v>5540</v>
      </c>
      <c r="D218" s="773">
        <v>5480</v>
      </c>
      <c r="E218" s="773">
        <v>5740</v>
      </c>
      <c r="F218" s="787">
        <v>1020</v>
      </c>
    </row>
    <row r="219" spans="1:6" s="767" customFormat="1" ht="14.25" customHeight="1" thickBot="1">
      <c r="A219" s="779" t="s">
        <v>527</v>
      </c>
      <c r="B219" s="773" t="s">
        <v>327</v>
      </c>
      <c r="C219" s="773">
        <v>5140</v>
      </c>
      <c r="D219" s="773">
        <v>5100</v>
      </c>
      <c r="E219" s="773">
        <v>5350</v>
      </c>
      <c r="F219" s="787">
        <v>1120</v>
      </c>
    </row>
    <row r="220" spans="1:6" s="767" customFormat="1" ht="14.25" customHeight="1" thickBot="1">
      <c r="A220" s="779" t="s">
        <v>527</v>
      </c>
      <c r="B220" s="773" t="s">
        <v>338</v>
      </c>
      <c r="C220" s="773">
        <v>5040</v>
      </c>
      <c r="D220" s="773">
        <v>5000</v>
      </c>
      <c r="E220" s="773">
        <v>5240</v>
      </c>
      <c r="F220" s="787">
        <v>980</v>
      </c>
    </row>
    <row r="221" spans="1:6" s="767" customFormat="1" ht="14.25" customHeight="1" thickBot="1">
      <c r="A221" s="779" t="s">
        <v>527</v>
      </c>
      <c r="B221" s="773" t="s">
        <v>348</v>
      </c>
      <c r="C221" s="792"/>
      <c r="D221" s="792"/>
      <c r="E221" s="792"/>
      <c r="F221" s="787">
        <v>1070</v>
      </c>
    </row>
    <row r="222" spans="1:6" s="767" customFormat="1" ht="14.25" customHeight="1" thickBot="1">
      <c r="A222" s="779" t="s">
        <v>527</v>
      </c>
      <c r="B222" s="773" t="s">
        <v>358</v>
      </c>
      <c r="C222" s="792"/>
      <c r="D222" s="792"/>
      <c r="E222" s="792"/>
      <c r="F222" s="787">
        <v>870</v>
      </c>
    </row>
    <row r="223" spans="1:6" s="767" customFormat="1" ht="14.25" customHeight="1" thickBot="1">
      <c r="A223" s="779" t="s">
        <v>527</v>
      </c>
      <c r="B223" s="773" t="s">
        <v>368</v>
      </c>
      <c r="C223" s="792"/>
      <c r="D223" s="792"/>
      <c r="E223" s="792"/>
      <c r="F223" s="787">
        <v>940</v>
      </c>
    </row>
    <row r="224" spans="1:6" s="767" customFormat="1" ht="14.25" customHeight="1" thickBot="1">
      <c r="A224" s="779" t="s">
        <v>527</v>
      </c>
      <c r="B224" s="773" t="s">
        <v>378</v>
      </c>
      <c r="C224" s="792"/>
      <c r="D224" s="792"/>
      <c r="E224" s="792"/>
      <c r="F224" s="787">
        <v>990</v>
      </c>
    </row>
    <row r="225" spans="1:6" s="767" customFormat="1" ht="14.25" customHeight="1" thickBot="1">
      <c r="A225" s="779" t="s">
        <v>527</v>
      </c>
      <c r="B225" s="773" t="s">
        <v>387</v>
      </c>
      <c r="C225" s="773">
        <v>5730</v>
      </c>
      <c r="D225" s="773">
        <v>5680</v>
      </c>
      <c r="E225" s="773">
        <v>6020</v>
      </c>
      <c r="F225" s="787">
        <v>1000</v>
      </c>
    </row>
    <row r="226" spans="1:6" s="767" customFormat="1" ht="14.25" customHeight="1" thickBot="1">
      <c r="A226" s="779" t="s">
        <v>527</v>
      </c>
      <c r="B226" s="773" t="s">
        <v>396</v>
      </c>
      <c r="C226" s="773">
        <v>4970</v>
      </c>
      <c r="D226" s="773">
        <v>4940</v>
      </c>
      <c r="E226" s="773">
        <v>5180</v>
      </c>
      <c r="F226" s="787">
        <v>960</v>
      </c>
    </row>
    <row r="227" spans="1:6" s="767" customFormat="1" ht="14.25" customHeight="1" thickBot="1">
      <c r="A227" s="779" t="s">
        <v>527</v>
      </c>
      <c r="B227" s="773" t="s">
        <v>404</v>
      </c>
      <c r="C227" s="773">
        <v>5550</v>
      </c>
      <c r="D227" s="773">
        <v>5500</v>
      </c>
      <c r="E227" s="773">
        <v>5780</v>
      </c>
      <c r="F227" s="787">
        <v>940</v>
      </c>
    </row>
    <row r="228" spans="1:6" s="767" customFormat="1" ht="14.25" customHeight="1" thickBot="1">
      <c r="A228" s="779" t="s">
        <v>527</v>
      </c>
      <c r="B228" s="773" t="s">
        <v>411</v>
      </c>
      <c r="C228" s="773">
        <v>5460</v>
      </c>
      <c r="D228" s="773">
        <v>5420</v>
      </c>
      <c r="E228" s="773">
        <v>5690</v>
      </c>
      <c r="F228" s="787">
        <v>910</v>
      </c>
    </row>
    <row r="229" spans="1:6" s="767" customFormat="1" ht="14.25" customHeight="1" thickBot="1">
      <c r="A229" s="779" t="s">
        <v>527</v>
      </c>
      <c r="B229" s="773" t="s">
        <v>418</v>
      </c>
      <c r="C229" s="773">
        <v>5310</v>
      </c>
      <c r="D229" s="773">
        <v>5270</v>
      </c>
      <c r="E229" s="773">
        <v>5510</v>
      </c>
      <c r="F229" s="791"/>
    </row>
    <row r="230" spans="1:6" s="767" customFormat="1" ht="14.25" customHeight="1" thickBot="1">
      <c r="A230" s="779" t="s">
        <v>527</v>
      </c>
      <c r="B230" s="773" t="s">
        <v>425</v>
      </c>
      <c r="C230" s="773">
        <v>4540</v>
      </c>
      <c r="D230" s="773">
        <v>4500</v>
      </c>
      <c r="E230" s="773">
        <v>4730</v>
      </c>
      <c r="F230" s="791"/>
    </row>
    <row r="231" spans="1:6" s="767" customFormat="1" ht="14.25" customHeight="1" thickBot="1">
      <c r="A231" s="779" t="s">
        <v>527</v>
      </c>
      <c r="B231" s="773" t="s">
        <v>432</v>
      </c>
      <c r="C231" s="773">
        <v>4480</v>
      </c>
      <c r="D231" s="773">
        <v>4410</v>
      </c>
      <c r="E231" s="773">
        <v>4640</v>
      </c>
      <c r="F231" s="791"/>
    </row>
    <row r="232" spans="1:6" s="767" customFormat="1" ht="14.25" customHeight="1" thickBot="1">
      <c r="A232" s="779" t="s">
        <v>527</v>
      </c>
      <c r="B232" s="773" t="s">
        <v>439</v>
      </c>
      <c r="C232" s="773">
        <v>5670</v>
      </c>
      <c r="D232" s="773">
        <v>5600</v>
      </c>
      <c r="E232" s="773">
        <v>5890</v>
      </c>
      <c r="F232" s="787">
        <v>1150</v>
      </c>
    </row>
    <row r="233" spans="1:6" s="767" customFormat="1" ht="14.25" customHeight="1" thickBot="1">
      <c r="A233" s="779" t="s">
        <v>527</v>
      </c>
      <c r="B233" s="773" t="s">
        <v>446</v>
      </c>
      <c r="C233" s="773">
        <v>4590</v>
      </c>
      <c r="D233" s="773">
        <v>4500</v>
      </c>
      <c r="E233" s="773">
        <v>4600</v>
      </c>
      <c r="F233" s="791"/>
    </row>
    <row r="234" spans="1:6" s="767" customFormat="1" ht="14.25" customHeight="1" thickBot="1">
      <c r="A234" s="779" t="s">
        <v>527</v>
      </c>
      <c r="B234" s="773" t="s">
        <v>840</v>
      </c>
      <c r="C234" s="773">
        <v>3990</v>
      </c>
      <c r="D234" s="773">
        <v>3950</v>
      </c>
      <c r="E234" s="773">
        <v>4180</v>
      </c>
      <c r="F234" s="791"/>
    </row>
    <row r="235" spans="1:6" s="767" customFormat="1" ht="14.25" customHeight="1" thickBot="1">
      <c r="A235" s="779" t="s">
        <v>527</v>
      </c>
      <c r="B235" s="773" t="s">
        <v>455</v>
      </c>
      <c r="C235" s="773">
        <v>5590</v>
      </c>
      <c r="D235" s="773">
        <v>5540</v>
      </c>
      <c r="E235" s="773">
        <v>5810</v>
      </c>
      <c r="F235" s="787">
        <v>970</v>
      </c>
    </row>
    <row r="236" spans="1:6" s="767" customFormat="1" ht="14.25" customHeight="1" thickBot="1">
      <c r="A236" s="779" t="s">
        <v>527</v>
      </c>
      <c r="B236" s="773" t="s">
        <v>460</v>
      </c>
      <c r="C236" s="773"/>
      <c r="D236" s="773"/>
      <c r="E236" s="773"/>
      <c r="F236" s="787">
        <v>1020</v>
      </c>
    </row>
    <row r="237" spans="1:6" s="767" customFormat="1" ht="14.25" customHeight="1" thickBot="1">
      <c r="A237" s="779" t="s">
        <v>527</v>
      </c>
      <c r="B237" s="773" t="s">
        <v>465</v>
      </c>
      <c r="C237" s="773"/>
      <c r="D237" s="773"/>
      <c r="E237" s="773"/>
      <c r="F237" s="787">
        <v>960</v>
      </c>
    </row>
    <row r="238" spans="1:6" s="767" customFormat="1" ht="14.25" customHeight="1" thickBot="1">
      <c r="A238" s="779" t="s">
        <v>527</v>
      </c>
      <c r="B238" s="773" t="s">
        <v>470</v>
      </c>
      <c r="C238" s="773"/>
      <c r="D238" s="773"/>
      <c r="E238" s="773"/>
      <c r="F238" s="787">
        <v>960</v>
      </c>
    </row>
    <row r="239" spans="1:6" s="767" customFormat="1" ht="14.25" customHeight="1" thickBot="1">
      <c r="A239" s="779" t="s">
        <v>527</v>
      </c>
      <c r="B239" s="773" t="s">
        <v>475</v>
      </c>
      <c r="C239" s="773"/>
      <c r="D239" s="773"/>
      <c r="E239" s="773"/>
      <c r="F239" s="787">
        <v>960</v>
      </c>
    </row>
    <row r="240" spans="1:6" s="767" customFormat="1" ht="14.25" customHeight="1" thickBot="1">
      <c r="A240" s="779" t="s">
        <v>527</v>
      </c>
      <c r="B240" s="773" t="s">
        <v>479</v>
      </c>
      <c r="C240" s="773"/>
      <c r="D240" s="773"/>
      <c r="E240" s="773"/>
      <c r="F240" s="787">
        <v>990</v>
      </c>
    </row>
    <row r="241" spans="1:6" s="767" customFormat="1" ht="14.25" customHeight="1" thickBot="1">
      <c r="A241" s="779" t="s">
        <v>527</v>
      </c>
      <c r="B241" s="773" t="s">
        <v>483</v>
      </c>
      <c r="C241" s="773"/>
      <c r="D241" s="773"/>
      <c r="E241" s="773"/>
      <c r="F241" s="787">
        <v>1000</v>
      </c>
    </row>
    <row r="242" spans="1:6" s="767" customFormat="1" ht="14.25" customHeight="1" thickBot="1">
      <c r="A242" s="779" t="s">
        <v>527</v>
      </c>
      <c r="B242" s="773" t="s">
        <v>487</v>
      </c>
      <c r="C242" s="773"/>
      <c r="D242" s="773"/>
      <c r="E242" s="773"/>
      <c r="F242" s="787">
        <v>980</v>
      </c>
    </row>
    <row r="243" spans="1:6" s="767" customFormat="1" ht="14.25" customHeight="1" thickBot="1">
      <c r="A243" s="779" t="s">
        <v>527</v>
      </c>
      <c r="B243" s="773" t="s">
        <v>491</v>
      </c>
      <c r="C243" s="773"/>
      <c r="D243" s="773"/>
      <c r="E243" s="773"/>
      <c r="F243" s="787">
        <v>970</v>
      </c>
    </row>
    <row r="244" spans="1:6" s="767" customFormat="1" ht="14.25" customHeight="1" thickBot="1">
      <c r="A244" s="779" t="s">
        <v>527</v>
      </c>
      <c r="B244" s="785" t="s">
        <v>495</v>
      </c>
      <c r="C244" s="785"/>
      <c r="D244" s="785"/>
      <c r="E244" s="785"/>
      <c r="F244" s="790">
        <v>970</v>
      </c>
    </row>
    <row r="245" spans="1:6" s="767" customFormat="1" ht="14.25" customHeight="1" thickBot="1">
      <c r="A245" s="779" t="s">
        <v>529</v>
      </c>
      <c r="B245" s="780" t="s">
        <v>530</v>
      </c>
      <c r="C245" s="780">
        <v>4050</v>
      </c>
      <c r="D245" s="780">
        <v>4020</v>
      </c>
      <c r="E245" s="780">
        <v>4160</v>
      </c>
      <c r="F245" s="781">
        <v>840</v>
      </c>
    </row>
    <row r="246" spans="1:6" s="767" customFormat="1" ht="14.25" customHeight="1" thickBot="1">
      <c r="A246" s="779" t="s">
        <v>529</v>
      </c>
      <c r="B246" s="773" t="s">
        <v>194</v>
      </c>
      <c r="C246" s="773">
        <v>4010</v>
      </c>
      <c r="D246" s="773">
        <v>3960</v>
      </c>
      <c r="E246" s="773">
        <v>4130</v>
      </c>
      <c r="F246" s="787">
        <v>840</v>
      </c>
    </row>
    <row r="247" spans="1:6" s="767" customFormat="1" ht="14.25" customHeight="1" thickBot="1">
      <c r="A247" s="779" t="s">
        <v>529</v>
      </c>
      <c r="B247" s="773" t="s">
        <v>531</v>
      </c>
      <c r="C247" s="773">
        <v>3170</v>
      </c>
      <c r="D247" s="773">
        <v>3140</v>
      </c>
      <c r="E247" s="773">
        <v>3270</v>
      </c>
      <c r="F247" s="787">
        <v>640</v>
      </c>
    </row>
    <row r="248" spans="1:6" s="767" customFormat="1" ht="14.25" customHeight="1" thickBot="1">
      <c r="A248" s="779" t="s">
        <v>529</v>
      </c>
      <c r="B248" s="773" t="s">
        <v>532</v>
      </c>
      <c r="C248" s="773">
        <v>3140</v>
      </c>
      <c r="D248" s="773">
        <v>3120</v>
      </c>
      <c r="E248" s="773">
        <v>3240</v>
      </c>
      <c r="F248" s="787">
        <v>620</v>
      </c>
    </row>
    <row r="249" spans="1:6" s="767" customFormat="1" ht="14.25" customHeight="1" thickBot="1">
      <c r="A249" s="779" t="s">
        <v>529</v>
      </c>
      <c r="B249" s="773" t="s">
        <v>232</v>
      </c>
      <c r="C249" s="773">
        <v>3200</v>
      </c>
      <c r="D249" s="773">
        <v>3100</v>
      </c>
      <c r="E249" s="773">
        <v>3230</v>
      </c>
      <c r="F249" s="787">
        <v>750</v>
      </c>
    </row>
    <row r="250" spans="1:6" s="767" customFormat="1" ht="14.25" customHeight="1" thickBot="1">
      <c r="A250" s="779" t="s">
        <v>529</v>
      </c>
      <c r="B250" s="773" t="s">
        <v>243</v>
      </c>
      <c r="C250" s="773">
        <v>4060</v>
      </c>
      <c r="D250" s="773">
        <v>4000</v>
      </c>
      <c r="E250" s="773">
        <v>4140</v>
      </c>
      <c r="F250" s="787">
        <v>790</v>
      </c>
    </row>
    <row r="251" spans="1:6" s="767" customFormat="1" ht="14.25" customHeight="1" thickBot="1">
      <c r="A251" s="779" t="s">
        <v>529</v>
      </c>
      <c r="B251" s="773" t="s">
        <v>254</v>
      </c>
      <c r="C251" s="773">
        <v>3990</v>
      </c>
      <c r="D251" s="773">
        <v>3970</v>
      </c>
      <c r="E251" s="773">
        <v>4110</v>
      </c>
      <c r="F251" s="787">
        <v>730</v>
      </c>
    </row>
    <row r="252" spans="1:6" s="767" customFormat="1" ht="14.25" customHeight="1" thickBot="1">
      <c r="A252" s="779" t="s">
        <v>529</v>
      </c>
      <c r="B252" s="773" t="s">
        <v>265</v>
      </c>
      <c r="C252" s="773">
        <v>3560</v>
      </c>
      <c r="D252" s="773">
        <v>3530</v>
      </c>
      <c r="E252" s="773">
        <v>3650</v>
      </c>
      <c r="F252" s="787">
        <v>750</v>
      </c>
    </row>
    <row r="253" spans="1:6" s="767" customFormat="1" ht="14.25" customHeight="1" thickBot="1">
      <c r="A253" s="779" t="s">
        <v>529</v>
      </c>
      <c r="B253" s="773" t="s">
        <v>277</v>
      </c>
      <c r="C253" s="773">
        <v>3780</v>
      </c>
      <c r="D253" s="773">
        <v>3750</v>
      </c>
      <c r="E253" s="773">
        <v>3870</v>
      </c>
      <c r="F253" s="787">
        <v>770</v>
      </c>
    </row>
    <row r="254" spans="1:6" s="767" customFormat="1" ht="14.25" customHeight="1" thickBot="1">
      <c r="A254" s="779" t="s">
        <v>529</v>
      </c>
      <c r="B254" s="773" t="s">
        <v>287</v>
      </c>
      <c r="C254" s="792"/>
      <c r="D254" s="792"/>
      <c r="E254" s="792"/>
      <c r="F254" s="787">
        <v>740</v>
      </c>
    </row>
    <row r="255" spans="1:6" s="767" customFormat="1" ht="14.25" customHeight="1" thickBot="1">
      <c r="A255" s="779" t="s">
        <v>529</v>
      </c>
      <c r="B255" s="773" t="s">
        <v>297</v>
      </c>
      <c r="C255" s="792"/>
      <c r="D255" s="792"/>
      <c r="E255" s="792"/>
      <c r="F255" s="787">
        <v>760</v>
      </c>
    </row>
    <row r="256" spans="1:6" s="767" customFormat="1" ht="14.25" customHeight="1" thickBot="1">
      <c r="A256" s="779" t="s">
        <v>529</v>
      </c>
      <c r="B256" s="773" t="s">
        <v>307</v>
      </c>
      <c r="C256" s="773">
        <v>3760</v>
      </c>
      <c r="D256" s="773">
        <v>3730</v>
      </c>
      <c r="E256" s="773">
        <v>3870</v>
      </c>
      <c r="F256" s="787">
        <v>830</v>
      </c>
    </row>
    <row r="257" spans="1:6" s="767" customFormat="1" ht="14.25" customHeight="1" thickBot="1">
      <c r="A257" s="779" t="s">
        <v>529</v>
      </c>
      <c r="B257" s="773" t="s">
        <v>317</v>
      </c>
      <c r="C257" s="773">
        <v>3570</v>
      </c>
      <c r="D257" s="773">
        <v>3540</v>
      </c>
      <c r="E257" s="773">
        <v>3650</v>
      </c>
      <c r="F257" s="787">
        <v>790</v>
      </c>
    </row>
    <row r="258" spans="1:6" s="767" customFormat="1" ht="14.25" customHeight="1" thickBot="1">
      <c r="A258" s="779" t="s">
        <v>529</v>
      </c>
      <c r="B258" s="773" t="s">
        <v>328</v>
      </c>
      <c r="C258" s="773">
        <v>3410</v>
      </c>
      <c r="D258" s="773">
        <v>3380</v>
      </c>
      <c r="E258" s="773">
        <v>3500</v>
      </c>
      <c r="F258" s="787">
        <v>830</v>
      </c>
    </row>
    <row r="259" spans="1:6" s="767" customFormat="1" ht="14.25" customHeight="1" thickBot="1">
      <c r="A259" s="779" t="s">
        <v>529</v>
      </c>
      <c r="B259" s="773" t="s">
        <v>339</v>
      </c>
      <c r="C259" s="773">
        <v>3870</v>
      </c>
      <c r="D259" s="773">
        <v>3840</v>
      </c>
      <c r="E259" s="773">
        <v>3970</v>
      </c>
      <c r="F259" s="787">
        <v>830</v>
      </c>
    </row>
    <row r="260" spans="1:6" s="767" customFormat="1" ht="14.25" customHeight="1" thickBot="1">
      <c r="A260" s="779" t="s">
        <v>529</v>
      </c>
      <c r="B260" s="773" t="s">
        <v>349</v>
      </c>
      <c r="C260" s="773">
        <v>3700</v>
      </c>
      <c r="D260" s="773">
        <v>3660</v>
      </c>
      <c r="E260" s="773">
        <v>3810</v>
      </c>
      <c r="F260" s="787">
        <v>790</v>
      </c>
    </row>
    <row r="261" spans="1:6" s="767" customFormat="1" ht="14.25" customHeight="1" thickBot="1">
      <c r="A261" s="779" t="s">
        <v>529</v>
      </c>
      <c r="B261" s="773" t="s">
        <v>359</v>
      </c>
      <c r="C261" s="773">
        <v>3470</v>
      </c>
      <c r="D261" s="773">
        <v>3430</v>
      </c>
      <c r="E261" s="773">
        <v>3640</v>
      </c>
      <c r="F261" s="787">
        <v>760</v>
      </c>
    </row>
    <row r="262" spans="1:6" s="767" customFormat="1" ht="14.25" customHeight="1" thickBot="1">
      <c r="A262" s="779" t="s">
        <v>529</v>
      </c>
      <c r="B262" s="773" t="s">
        <v>369</v>
      </c>
      <c r="C262" s="773">
        <v>3510</v>
      </c>
      <c r="D262" s="773">
        <v>3470</v>
      </c>
      <c r="E262" s="773">
        <v>3680</v>
      </c>
      <c r="F262" s="791"/>
    </row>
    <row r="263" spans="1:6" s="767" customFormat="1" ht="14.25" customHeight="1" thickBot="1">
      <c r="A263" s="779" t="s">
        <v>529</v>
      </c>
      <c r="B263" s="773" t="s">
        <v>379</v>
      </c>
      <c r="C263" s="773">
        <v>3960</v>
      </c>
      <c r="D263" s="773">
        <v>3930</v>
      </c>
      <c r="E263" s="773">
        <v>4070</v>
      </c>
      <c r="F263" s="787">
        <v>830</v>
      </c>
    </row>
    <row r="264" spans="1:6" s="767" customFormat="1" ht="14.25" customHeight="1" thickBot="1">
      <c r="A264" s="779" t="s">
        <v>529</v>
      </c>
      <c r="B264" s="773" t="s">
        <v>388</v>
      </c>
      <c r="C264" s="773">
        <v>4010</v>
      </c>
      <c r="D264" s="773">
        <v>3980</v>
      </c>
      <c r="E264" s="773">
        <v>4150</v>
      </c>
      <c r="F264" s="787">
        <v>760</v>
      </c>
    </row>
    <row r="265" spans="1:6" s="767" customFormat="1" ht="14.25" customHeight="1" thickBot="1">
      <c r="A265" s="779" t="s">
        <v>529</v>
      </c>
      <c r="B265" s="773" t="s">
        <v>397</v>
      </c>
      <c r="C265" s="773">
        <v>3910</v>
      </c>
      <c r="D265" s="773">
        <v>3890</v>
      </c>
      <c r="E265" s="773">
        <v>4040</v>
      </c>
      <c r="F265" s="787">
        <v>780</v>
      </c>
    </row>
    <row r="266" spans="1:6" s="767" customFormat="1" ht="14.25" customHeight="1" thickBot="1">
      <c r="A266" s="779" t="s">
        <v>529</v>
      </c>
      <c r="B266" s="773" t="s">
        <v>405</v>
      </c>
      <c r="C266" s="773">
        <v>3930</v>
      </c>
      <c r="D266" s="773">
        <v>3900</v>
      </c>
      <c r="E266" s="773">
        <v>4080</v>
      </c>
      <c r="F266" s="787">
        <v>770</v>
      </c>
    </row>
    <row r="267" spans="1:6" s="767" customFormat="1" ht="14.25" customHeight="1" thickBot="1">
      <c r="A267" s="779" t="s">
        <v>529</v>
      </c>
      <c r="B267" s="773" t="s">
        <v>412</v>
      </c>
      <c r="C267" s="773">
        <v>3800</v>
      </c>
      <c r="D267" s="773">
        <v>3780</v>
      </c>
      <c r="E267" s="773">
        <v>3930</v>
      </c>
      <c r="F267" s="791"/>
    </row>
    <row r="268" spans="1:6" s="767" customFormat="1" ht="14.25" customHeight="1" thickBot="1">
      <c r="A268" s="779" t="s">
        <v>529</v>
      </c>
      <c r="B268" s="773" t="s">
        <v>419</v>
      </c>
      <c r="C268" s="773">
        <v>3460</v>
      </c>
      <c r="D268" s="773">
        <v>3430</v>
      </c>
      <c r="E268" s="773">
        <v>3560</v>
      </c>
      <c r="F268" s="787">
        <v>840</v>
      </c>
    </row>
    <row r="269" spans="1:6" s="767" customFormat="1" ht="14.25" customHeight="1" thickBot="1">
      <c r="A269" s="779" t="s">
        <v>529</v>
      </c>
      <c r="B269" s="773" t="s">
        <v>426</v>
      </c>
      <c r="C269" s="773">
        <v>3210</v>
      </c>
      <c r="D269" s="773">
        <v>3190</v>
      </c>
      <c r="E269" s="773">
        <v>3310</v>
      </c>
      <c r="F269" s="787">
        <v>730</v>
      </c>
    </row>
    <row r="270" spans="1:6" s="767" customFormat="1" ht="14.25" customHeight="1" thickBot="1">
      <c r="A270" s="779" t="s">
        <v>529</v>
      </c>
      <c r="B270" s="773" t="s">
        <v>433</v>
      </c>
      <c r="C270" s="773">
        <v>3240</v>
      </c>
      <c r="D270" s="773">
        <v>3210</v>
      </c>
      <c r="E270" s="773">
        <v>3390</v>
      </c>
      <c r="F270" s="787">
        <v>820</v>
      </c>
    </row>
    <row r="271" spans="1:6" s="767" customFormat="1" ht="14.25" customHeight="1" thickBot="1">
      <c r="A271" s="779" t="s">
        <v>529</v>
      </c>
      <c r="B271" s="773" t="s">
        <v>440</v>
      </c>
      <c r="C271" s="773">
        <v>3300</v>
      </c>
      <c r="D271" s="773">
        <v>3270</v>
      </c>
      <c r="E271" s="773">
        <v>3380</v>
      </c>
      <c r="F271" s="787">
        <v>750</v>
      </c>
    </row>
    <row r="272" spans="1:6" s="767" customFormat="1" ht="14.25" customHeight="1" thickBot="1">
      <c r="A272" s="779" t="s">
        <v>529</v>
      </c>
      <c r="B272" s="773" t="s">
        <v>447</v>
      </c>
      <c r="C272" s="792"/>
      <c r="D272" s="792"/>
      <c r="E272" s="792"/>
      <c r="F272" s="787">
        <v>740</v>
      </c>
    </row>
    <row r="273" spans="1:6" s="767" customFormat="1" ht="14.25" customHeight="1" thickBot="1">
      <c r="A273" s="779" t="s">
        <v>529</v>
      </c>
      <c r="B273" s="773" t="s">
        <v>451</v>
      </c>
      <c r="C273" s="773">
        <v>3130</v>
      </c>
      <c r="D273" s="773">
        <v>3100</v>
      </c>
      <c r="E273" s="773">
        <v>3230</v>
      </c>
      <c r="F273" s="787">
        <v>700</v>
      </c>
    </row>
    <row r="274" spans="1:6" s="767" customFormat="1" ht="14.25" customHeight="1" thickBot="1">
      <c r="A274" s="779" t="s">
        <v>529</v>
      </c>
      <c r="B274" s="773" t="s">
        <v>456</v>
      </c>
      <c r="C274" s="773">
        <v>3460</v>
      </c>
      <c r="D274" s="773">
        <v>3430</v>
      </c>
      <c r="E274" s="773">
        <v>3560</v>
      </c>
      <c r="F274" s="787">
        <v>690</v>
      </c>
    </row>
    <row r="275" spans="1:6" s="767" customFormat="1" ht="14.25" customHeight="1" thickBot="1">
      <c r="A275" s="779" t="s">
        <v>529</v>
      </c>
      <c r="B275" s="773" t="s">
        <v>461</v>
      </c>
      <c r="C275" s="773">
        <v>4040</v>
      </c>
      <c r="D275" s="773">
        <v>4020</v>
      </c>
      <c r="E275" s="773">
        <v>4160</v>
      </c>
      <c r="F275" s="787">
        <v>820</v>
      </c>
    </row>
    <row r="276" spans="1:6" s="767" customFormat="1" ht="14.25" customHeight="1" thickBot="1">
      <c r="A276" s="779" t="s">
        <v>529</v>
      </c>
      <c r="B276" s="773" t="s">
        <v>466</v>
      </c>
      <c r="C276" s="773">
        <v>3270</v>
      </c>
      <c r="D276" s="773">
        <v>3240</v>
      </c>
      <c r="E276" s="773">
        <v>3350</v>
      </c>
      <c r="F276" s="787">
        <v>680</v>
      </c>
    </row>
    <row r="277" spans="1:6" s="767" customFormat="1" ht="14.25" customHeight="1" thickBot="1">
      <c r="A277" s="779" t="s">
        <v>529</v>
      </c>
      <c r="B277" s="773" t="s">
        <v>471</v>
      </c>
      <c r="C277" s="773">
        <v>2930</v>
      </c>
      <c r="D277" s="773">
        <v>2900</v>
      </c>
      <c r="E277" s="773">
        <v>3000</v>
      </c>
      <c r="F277" s="787">
        <v>640</v>
      </c>
    </row>
    <row r="278" spans="1:6" s="767" customFormat="1" ht="14.25" customHeight="1" thickBot="1">
      <c r="A278" s="779" t="s">
        <v>529</v>
      </c>
      <c r="B278" s="773" t="s">
        <v>476</v>
      </c>
      <c r="C278" s="773">
        <v>4080</v>
      </c>
      <c r="D278" s="773">
        <v>4030</v>
      </c>
      <c r="E278" s="773">
        <v>4140</v>
      </c>
      <c r="F278" s="787">
        <v>850</v>
      </c>
    </row>
    <row r="279" spans="1:6" s="767" customFormat="1" ht="14.25" customHeight="1" thickBot="1">
      <c r="A279" s="779" t="s">
        <v>529</v>
      </c>
      <c r="B279" s="773" t="s">
        <v>480</v>
      </c>
      <c r="C279" s="773"/>
      <c r="D279" s="773"/>
      <c r="E279" s="773"/>
      <c r="F279" s="787">
        <v>760</v>
      </c>
    </row>
    <row r="280" spans="1:6" s="767" customFormat="1" ht="14.25" customHeight="1" thickBot="1">
      <c r="A280" s="779" t="s">
        <v>529</v>
      </c>
      <c r="B280" s="773" t="s">
        <v>484</v>
      </c>
      <c r="C280" s="773"/>
      <c r="D280" s="773"/>
      <c r="E280" s="773"/>
      <c r="F280" s="787">
        <v>760</v>
      </c>
    </row>
    <row r="281" spans="1:6" s="767" customFormat="1" ht="14.25" customHeight="1" thickBot="1">
      <c r="A281" s="779" t="s">
        <v>529</v>
      </c>
      <c r="B281" s="773" t="s">
        <v>488</v>
      </c>
      <c r="C281" s="773"/>
      <c r="D281" s="773"/>
      <c r="E281" s="773"/>
      <c r="F281" s="787">
        <v>780</v>
      </c>
    </row>
    <row r="282" spans="1:6" s="767" customFormat="1" ht="14.25" customHeight="1" thickBot="1">
      <c r="A282" s="779" t="s">
        <v>529</v>
      </c>
      <c r="B282" s="773" t="s">
        <v>492</v>
      </c>
      <c r="C282" s="773"/>
      <c r="D282" s="773"/>
      <c r="E282" s="773"/>
      <c r="F282" s="787">
        <v>730</v>
      </c>
    </row>
    <row r="283" spans="1:6" s="767" customFormat="1" ht="14.25" customHeight="1" thickBot="1">
      <c r="A283" s="779" t="s">
        <v>529</v>
      </c>
      <c r="B283" s="773" t="s">
        <v>496</v>
      </c>
      <c r="C283" s="773"/>
      <c r="D283" s="773"/>
      <c r="E283" s="773"/>
      <c r="F283" s="787">
        <v>770</v>
      </c>
    </row>
    <row r="284" spans="1:6" s="767" customFormat="1" ht="14.25" customHeight="1" thickBot="1">
      <c r="A284" s="779" t="s">
        <v>529</v>
      </c>
      <c r="B284" s="773" t="s">
        <v>499</v>
      </c>
      <c r="C284" s="773"/>
      <c r="D284" s="773"/>
      <c r="E284" s="773"/>
      <c r="F284" s="787">
        <v>640</v>
      </c>
    </row>
    <row r="285" spans="1:6" s="767" customFormat="1" ht="14.25" customHeight="1" thickBot="1">
      <c r="A285" s="779" t="s">
        <v>529</v>
      </c>
      <c r="B285" s="773" t="s">
        <v>502</v>
      </c>
      <c r="C285" s="773"/>
      <c r="D285" s="773"/>
      <c r="E285" s="773"/>
      <c r="F285" s="787">
        <v>640</v>
      </c>
    </row>
    <row r="286" spans="1:6" s="767" customFormat="1" ht="14.25" customHeight="1" thickBot="1">
      <c r="A286" s="779" t="s">
        <v>529</v>
      </c>
      <c r="B286" s="773" t="s">
        <v>505</v>
      </c>
      <c r="C286" s="773"/>
      <c r="D286" s="773"/>
      <c r="E286" s="773"/>
      <c r="F286" s="787">
        <v>850</v>
      </c>
    </row>
    <row r="287" spans="1:6" s="767" customFormat="1" ht="14.25" customHeight="1" thickBot="1">
      <c r="A287" s="779" t="s">
        <v>529</v>
      </c>
      <c r="B287" s="773" t="s">
        <v>508</v>
      </c>
      <c r="C287" s="773"/>
      <c r="D287" s="773"/>
      <c r="E287" s="773"/>
      <c r="F287" s="787">
        <v>760</v>
      </c>
    </row>
    <row r="288" spans="1:6" s="767" customFormat="1" ht="14.25" customHeight="1" thickBot="1">
      <c r="A288" s="779" t="s">
        <v>529</v>
      </c>
      <c r="B288" s="773" t="s">
        <v>511</v>
      </c>
      <c r="C288" s="773"/>
      <c r="D288" s="773"/>
      <c r="E288" s="773"/>
      <c r="F288" s="787">
        <v>830</v>
      </c>
    </row>
    <row r="289" spans="1:6" s="767" customFormat="1" ht="14.25" customHeight="1" thickBot="1">
      <c r="A289" s="779" t="s">
        <v>529</v>
      </c>
      <c r="B289" s="785" t="s">
        <v>514</v>
      </c>
      <c r="C289" s="785"/>
      <c r="D289" s="785"/>
      <c r="E289" s="785"/>
      <c r="F289" s="790">
        <v>680</v>
      </c>
    </row>
    <row r="290" spans="1:6" s="767" customFormat="1" ht="14.25" customHeight="1" thickBot="1">
      <c r="A290" s="779" t="s">
        <v>533</v>
      </c>
      <c r="B290" s="780" t="s">
        <v>534</v>
      </c>
      <c r="C290" s="780">
        <v>2770</v>
      </c>
      <c r="D290" s="780">
        <v>2740</v>
      </c>
      <c r="E290" s="780">
        <v>2720</v>
      </c>
      <c r="F290" s="793"/>
    </row>
    <row r="291" spans="1:6" s="767" customFormat="1" ht="14.25" customHeight="1" thickBot="1">
      <c r="A291" s="779" t="s">
        <v>533</v>
      </c>
      <c r="B291" s="773" t="s">
        <v>195</v>
      </c>
      <c r="C291" s="773">
        <v>2670</v>
      </c>
      <c r="D291" s="773">
        <v>2640</v>
      </c>
      <c r="E291" s="773">
        <v>2620</v>
      </c>
      <c r="F291" s="791"/>
    </row>
    <row r="292" spans="1:6" s="767" customFormat="1" ht="14.25" customHeight="1" thickBot="1">
      <c r="A292" s="779" t="s">
        <v>533</v>
      </c>
      <c r="B292" s="773" t="s">
        <v>535</v>
      </c>
      <c r="C292" s="773">
        <v>2180</v>
      </c>
      <c r="D292" s="773">
        <v>2140</v>
      </c>
      <c r="E292" s="773">
        <v>2120</v>
      </c>
      <c r="F292" s="787">
        <v>490</v>
      </c>
    </row>
    <row r="293" spans="1:6" s="767" customFormat="1" ht="14.25" customHeight="1" thickBot="1">
      <c r="A293" s="779" t="s">
        <v>533</v>
      </c>
      <c r="B293" s="773" t="s">
        <v>536</v>
      </c>
      <c r="C293" s="773"/>
      <c r="D293" s="773"/>
      <c r="E293" s="773"/>
      <c r="F293" s="787">
        <v>470</v>
      </c>
    </row>
    <row r="294" spans="1:6" s="767" customFormat="1" ht="14.25" customHeight="1" thickBot="1">
      <c r="A294" s="779" t="s">
        <v>533</v>
      </c>
      <c r="B294" s="773" t="s">
        <v>537</v>
      </c>
      <c r="C294" s="773">
        <v>2730</v>
      </c>
      <c r="D294" s="773">
        <v>2700</v>
      </c>
      <c r="E294" s="773">
        <v>2680</v>
      </c>
      <c r="F294" s="787">
        <v>490</v>
      </c>
    </row>
    <row r="295" spans="1:6" s="767" customFormat="1" ht="14.25" customHeight="1" thickBot="1">
      <c r="A295" s="779" t="s">
        <v>533</v>
      </c>
      <c r="B295" s="773" t="s">
        <v>233</v>
      </c>
      <c r="C295" s="773">
        <v>2380</v>
      </c>
      <c r="D295" s="773">
        <v>2350</v>
      </c>
      <c r="E295" s="773">
        <v>2330</v>
      </c>
      <c r="F295" s="787">
        <v>530</v>
      </c>
    </row>
    <row r="296" spans="1:6" s="767" customFormat="1" ht="14.25" customHeight="1" thickBot="1">
      <c r="A296" s="779" t="s">
        <v>533</v>
      </c>
      <c r="B296" s="773" t="s">
        <v>244</v>
      </c>
      <c r="C296" s="773">
        <v>2650</v>
      </c>
      <c r="D296" s="773">
        <v>2620</v>
      </c>
      <c r="E296" s="773">
        <v>2590</v>
      </c>
      <c r="F296" s="787">
        <v>590</v>
      </c>
    </row>
    <row r="297" spans="1:6" s="767" customFormat="1" ht="14.25" customHeight="1" thickBot="1">
      <c r="A297" s="779" t="s">
        <v>533</v>
      </c>
      <c r="B297" s="773" t="s">
        <v>255</v>
      </c>
      <c r="C297" s="773">
        <v>2700</v>
      </c>
      <c r="D297" s="773">
        <v>2670</v>
      </c>
      <c r="E297" s="773">
        <v>2650</v>
      </c>
      <c r="F297" s="787">
        <v>630</v>
      </c>
    </row>
    <row r="298" spans="1:6" s="767" customFormat="1" ht="14.25" customHeight="1" thickBot="1">
      <c r="A298" s="779" t="s">
        <v>533</v>
      </c>
      <c r="B298" s="773" t="s">
        <v>266</v>
      </c>
      <c r="C298" s="773">
        <v>2650</v>
      </c>
      <c r="D298" s="773">
        <v>2620</v>
      </c>
      <c r="E298" s="773">
        <v>2590</v>
      </c>
      <c r="F298" s="787">
        <v>640</v>
      </c>
    </row>
    <row r="299" spans="1:6" s="767" customFormat="1" ht="14.25" customHeight="1" thickBot="1">
      <c r="A299" s="779" t="s">
        <v>533</v>
      </c>
      <c r="B299" s="773" t="s">
        <v>278</v>
      </c>
      <c r="C299" s="773">
        <v>2500</v>
      </c>
      <c r="D299" s="773">
        <v>2480</v>
      </c>
      <c r="E299" s="773">
        <v>2460</v>
      </c>
      <c r="F299" s="791"/>
    </row>
    <row r="300" spans="1:6" s="767" customFormat="1" ht="14.25" customHeight="1" thickBot="1">
      <c r="A300" s="779" t="s">
        <v>533</v>
      </c>
      <c r="B300" s="773" t="s">
        <v>288</v>
      </c>
      <c r="C300" s="773">
        <v>2760</v>
      </c>
      <c r="D300" s="773">
        <v>2730</v>
      </c>
      <c r="E300" s="773">
        <v>2700</v>
      </c>
      <c r="F300" s="787">
        <v>630</v>
      </c>
    </row>
    <row r="301" spans="1:6" s="767" customFormat="1" ht="14.25" customHeight="1" thickBot="1">
      <c r="A301" s="779" t="s">
        <v>533</v>
      </c>
      <c r="B301" s="773" t="s">
        <v>298</v>
      </c>
      <c r="C301" s="773">
        <v>2510</v>
      </c>
      <c r="D301" s="773">
        <v>2480</v>
      </c>
      <c r="E301" s="773">
        <v>2460</v>
      </c>
      <c r="F301" s="791"/>
    </row>
    <row r="302" spans="1:6" s="767" customFormat="1" ht="14.25" customHeight="1" thickBot="1">
      <c r="A302" s="779" t="s">
        <v>533</v>
      </c>
      <c r="B302" s="773" t="s">
        <v>308</v>
      </c>
      <c r="C302" s="773">
        <v>2480</v>
      </c>
      <c r="D302" s="773">
        <v>2450</v>
      </c>
      <c r="E302" s="773">
        <v>2420</v>
      </c>
      <c r="F302" s="787">
        <v>600</v>
      </c>
    </row>
    <row r="303" spans="1:6" s="767" customFormat="1" ht="14.25" customHeight="1" thickBot="1">
      <c r="A303" s="779" t="s">
        <v>533</v>
      </c>
      <c r="B303" s="773" t="s">
        <v>318</v>
      </c>
      <c r="C303" s="773">
        <v>2270</v>
      </c>
      <c r="D303" s="773">
        <v>2240</v>
      </c>
      <c r="E303" s="773">
        <v>2210</v>
      </c>
      <c r="F303" s="787">
        <v>540</v>
      </c>
    </row>
    <row r="304" spans="1:6" s="767" customFormat="1" ht="14.25" customHeight="1" thickBot="1">
      <c r="A304" s="779" t="s">
        <v>533</v>
      </c>
      <c r="B304" s="773" t="s">
        <v>329</v>
      </c>
      <c r="C304" s="773">
        <v>2310</v>
      </c>
      <c r="D304" s="773">
        <v>2290</v>
      </c>
      <c r="E304" s="773">
        <v>2270</v>
      </c>
      <c r="F304" s="791"/>
    </row>
    <row r="305" spans="1:6" s="767" customFormat="1" ht="14.25" customHeight="1" thickBot="1">
      <c r="A305" s="779" t="s">
        <v>533</v>
      </c>
      <c r="B305" s="773" t="s">
        <v>340</v>
      </c>
      <c r="C305" s="773">
        <v>2490</v>
      </c>
      <c r="D305" s="773">
        <v>2470</v>
      </c>
      <c r="E305" s="773">
        <v>2440</v>
      </c>
      <c r="F305" s="787">
        <v>560</v>
      </c>
    </row>
    <row r="306" spans="1:6" s="767" customFormat="1" ht="14.25" customHeight="1" thickBot="1">
      <c r="A306" s="779" t="s">
        <v>533</v>
      </c>
      <c r="B306" s="773" t="s">
        <v>350</v>
      </c>
      <c r="C306" s="773">
        <v>2420</v>
      </c>
      <c r="D306" s="773">
        <v>2400</v>
      </c>
      <c r="E306" s="773">
        <v>2380</v>
      </c>
      <c r="F306" s="791"/>
    </row>
    <row r="307" spans="1:6" s="767" customFormat="1" ht="14.25" customHeight="1" thickBot="1">
      <c r="A307" s="779" t="s">
        <v>533</v>
      </c>
      <c r="B307" s="773" t="s">
        <v>360</v>
      </c>
      <c r="C307" s="773">
        <v>2770</v>
      </c>
      <c r="D307" s="773">
        <v>2740</v>
      </c>
      <c r="E307" s="773">
        <v>2710</v>
      </c>
      <c r="F307" s="787">
        <v>650</v>
      </c>
    </row>
    <row r="308" spans="1:6" s="767" customFormat="1" ht="14.25" customHeight="1" thickBot="1">
      <c r="A308" s="779" t="s">
        <v>533</v>
      </c>
      <c r="B308" s="773" t="s">
        <v>370</v>
      </c>
      <c r="C308" s="773">
        <v>2610</v>
      </c>
      <c r="D308" s="773">
        <v>2580</v>
      </c>
      <c r="E308" s="773">
        <v>2550</v>
      </c>
      <c r="F308" s="787">
        <v>580</v>
      </c>
    </row>
    <row r="309" spans="1:6" s="767" customFormat="1" ht="14.25" customHeight="1" thickBot="1">
      <c r="A309" s="779" t="s">
        <v>533</v>
      </c>
      <c r="B309" s="773" t="s">
        <v>380</v>
      </c>
      <c r="C309" s="773">
        <v>2690</v>
      </c>
      <c r="D309" s="773">
        <v>2670</v>
      </c>
      <c r="E309" s="773">
        <v>2650</v>
      </c>
      <c r="F309" s="791"/>
    </row>
    <row r="310" spans="1:6" s="767" customFormat="1" ht="14.25" customHeight="1" thickBot="1">
      <c r="A310" s="779" t="s">
        <v>533</v>
      </c>
      <c r="B310" s="773" t="s">
        <v>389</v>
      </c>
      <c r="C310" s="773">
        <v>2360</v>
      </c>
      <c r="D310" s="773">
        <v>2330</v>
      </c>
      <c r="E310" s="773">
        <v>2310</v>
      </c>
      <c r="F310" s="787">
        <v>560</v>
      </c>
    </row>
    <row r="311" spans="1:6" s="767" customFormat="1" ht="14.25" customHeight="1" thickBot="1">
      <c r="A311" s="779" t="s">
        <v>533</v>
      </c>
      <c r="B311" s="773" t="s">
        <v>398</v>
      </c>
      <c r="C311" s="773">
        <v>1970</v>
      </c>
      <c r="D311" s="773">
        <v>1950</v>
      </c>
      <c r="E311" s="773">
        <v>1920</v>
      </c>
      <c r="F311" s="787">
        <v>470</v>
      </c>
    </row>
    <row r="312" spans="1:6" s="767" customFormat="1" ht="14.25" customHeight="1" thickBot="1">
      <c r="A312" s="779" t="s">
        <v>533</v>
      </c>
      <c r="B312" s="773" t="s">
        <v>406</v>
      </c>
      <c r="C312" s="773">
        <v>2230</v>
      </c>
      <c r="D312" s="773">
        <v>2200</v>
      </c>
      <c r="E312" s="773">
        <v>2170</v>
      </c>
      <c r="F312" s="787">
        <v>460</v>
      </c>
    </row>
    <row r="313" spans="1:6" s="767" customFormat="1" ht="14.25" customHeight="1" thickBot="1">
      <c r="A313" s="779" t="s">
        <v>533</v>
      </c>
      <c r="B313" s="773" t="s">
        <v>413</v>
      </c>
      <c r="C313" s="773">
        <v>2770</v>
      </c>
      <c r="D313" s="773">
        <v>2740</v>
      </c>
      <c r="E313" s="773">
        <v>2710</v>
      </c>
      <c r="F313" s="787">
        <v>610</v>
      </c>
    </row>
    <row r="314" spans="1:6" s="767" customFormat="1" ht="14.25" customHeight="1" thickBot="1">
      <c r="A314" s="779" t="s">
        <v>533</v>
      </c>
      <c r="B314" s="773" t="s">
        <v>420</v>
      </c>
      <c r="C314" s="773"/>
      <c r="D314" s="773"/>
      <c r="E314" s="773"/>
      <c r="F314" s="787">
        <v>490</v>
      </c>
    </row>
    <row r="315" spans="1:6" s="767" customFormat="1" ht="14.25" customHeight="1" thickBot="1">
      <c r="A315" s="779" t="s">
        <v>533</v>
      </c>
      <c r="B315" s="773" t="s">
        <v>427</v>
      </c>
      <c r="C315" s="773"/>
      <c r="D315" s="773"/>
      <c r="E315" s="773"/>
      <c r="F315" s="787">
        <v>520</v>
      </c>
    </row>
    <row r="316" spans="1:6" s="767" customFormat="1" ht="14.25" customHeight="1" thickBot="1">
      <c r="A316" s="779" t="s">
        <v>533</v>
      </c>
      <c r="B316" s="785" t="s">
        <v>434</v>
      </c>
      <c r="C316" s="785"/>
      <c r="D316" s="785"/>
      <c r="E316" s="785"/>
      <c r="F316" s="790">
        <v>460</v>
      </c>
    </row>
    <row r="317" spans="1:6" s="767" customFormat="1" ht="14.25" customHeight="1" thickBot="1">
      <c r="A317" s="779" t="s">
        <v>320</v>
      </c>
      <c r="B317" s="780" t="s">
        <v>538</v>
      </c>
      <c r="C317" s="780">
        <v>1200</v>
      </c>
      <c r="D317" s="780">
        <v>1180</v>
      </c>
      <c r="E317" s="780">
        <v>1160</v>
      </c>
      <c r="F317" s="781">
        <v>370</v>
      </c>
    </row>
    <row r="318" spans="1:6" s="767" customFormat="1" ht="14.25" customHeight="1" thickBot="1">
      <c r="A318" s="779" t="s">
        <v>320</v>
      </c>
      <c r="B318" s="773" t="s">
        <v>539</v>
      </c>
      <c r="C318" s="773">
        <v>1090</v>
      </c>
      <c r="D318" s="773">
        <v>1060</v>
      </c>
      <c r="E318" s="773">
        <v>1040</v>
      </c>
      <c r="F318" s="791"/>
    </row>
    <row r="319" spans="1:6" s="767" customFormat="1" ht="14.25" customHeight="1" thickBot="1">
      <c r="A319" s="779" t="s">
        <v>320</v>
      </c>
      <c r="B319" s="773" t="s">
        <v>540</v>
      </c>
      <c r="C319" s="773">
        <v>1520</v>
      </c>
      <c r="D319" s="773">
        <v>1470</v>
      </c>
      <c r="E319" s="773">
        <v>1440</v>
      </c>
      <c r="F319" s="787">
        <v>370</v>
      </c>
    </row>
    <row r="320" spans="1:6" s="767" customFormat="1" ht="14.25" customHeight="1" thickBot="1">
      <c r="A320" s="779" t="s">
        <v>320</v>
      </c>
      <c r="B320" s="773" t="s">
        <v>222</v>
      </c>
      <c r="C320" s="773">
        <v>1360</v>
      </c>
      <c r="D320" s="773">
        <v>1300</v>
      </c>
      <c r="E320" s="773">
        <v>1270</v>
      </c>
      <c r="F320" s="791"/>
    </row>
    <row r="321" spans="1:6" s="767" customFormat="1" ht="14.25" customHeight="1" thickBot="1">
      <c r="A321" s="779" t="s">
        <v>320</v>
      </c>
      <c r="B321" s="773" t="s">
        <v>234</v>
      </c>
      <c r="C321" s="773">
        <v>1750</v>
      </c>
      <c r="D321" s="773">
        <v>1690</v>
      </c>
      <c r="E321" s="773">
        <v>1660</v>
      </c>
      <c r="F321" s="791"/>
    </row>
    <row r="322" spans="1:6" s="767" customFormat="1" ht="14.25" customHeight="1" thickBot="1">
      <c r="A322" s="779" t="s">
        <v>320</v>
      </c>
      <c r="B322" s="773" t="s">
        <v>245</v>
      </c>
      <c r="C322" s="773">
        <v>1650</v>
      </c>
      <c r="D322" s="773">
        <v>1610</v>
      </c>
      <c r="E322" s="773">
        <v>1580</v>
      </c>
      <c r="F322" s="787">
        <v>500</v>
      </c>
    </row>
    <row r="323" spans="1:6" s="767" customFormat="1" ht="14.25" customHeight="1" thickBot="1">
      <c r="A323" s="779" t="s">
        <v>320</v>
      </c>
      <c r="B323" s="773" t="s">
        <v>256</v>
      </c>
      <c r="C323" s="773">
        <v>1780</v>
      </c>
      <c r="D323" s="773">
        <v>1740</v>
      </c>
      <c r="E323" s="773">
        <v>1720</v>
      </c>
      <c r="F323" s="791"/>
    </row>
    <row r="324" spans="1:6" s="767" customFormat="1" ht="14.25" customHeight="1" thickBot="1">
      <c r="A324" s="779" t="s">
        <v>320</v>
      </c>
      <c r="B324" s="773" t="s">
        <v>267</v>
      </c>
      <c r="C324" s="773">
        <v>1650</v>
      </c>
      <c r="D324" s="773">
        <v>1610</v>
      </c>
      <c r="E324" s="773">
        <v>1580</v>
      </c>
      <c r="F324" s="791"/>
    </row>
    <row r="325" spans="1:6" s="767" customFormat="1" ht="14.25" customHeight="1" thickBot="1">
      <c r="A325" s="779" t="s">
        <v>320</v>
      </c>
      <c r="B325" s="773" t="s">
        <v>279</v>
      </c>
      <c r="C325" s="773">
        <v>1330</v>
      </c>
      <c r="D325" s="773">
        <v>1270</v>
      </c>
      <c r="E325" s="773">
        <v>1240</v>
      </c>
      <c r="F325" s="787">
        <v>430</v>
      </c>
    </row>
    <row r="326" spans="1:6" s="767" customFormat="1" ht="14.25" customHeight="1" thickBot="1">
      <c r="A326" s="779" t="s">
        <v>320</v>
      </c>
      <c r="B326" s="773" t="s">
        <v>289</v>
      </c>
      <c r="C326" s="773">
        <v>1470</v>
      </c>
      <c r="D326" s="773">
        <v>1430</v>
      </c>
      <c r="E326" s="773">
        <v>1400</v>
      </c>
      <c r="F326" s="791"/>
    </row>
    <row r="327" spans="1:6" s="767" customFormat="1" ht="14.25" customHeight="1" thickBot="1">
      <c r="A327" s="779" t="s">
        <v>320</v>
      </c>
      <c r="B327" s="773" t="s">
        <v>299</v>
      </c>
      <c r="C327" s="773">
        <v>1420</v>
      </c>
      <c r="D327" s="773">
        <v>1380</v>
      </c>
      <c r="E327" s="773">
        <v>1360</v>
      </c>
      <c r="F327" s="787">
        <v>420</v>
      </c>
    </row>
    <row r="328" spans="1:6" s="767" customFormat="1" ht="14.25" customHeight="1" thickBot="1">
      <c r="A328" s="779" t="s">
        <v>320</v>
      </c>
      <c r="B328" s="773" t="s">
        <v>309</v>
      </c>
      <c r="C328" s="773">
        <v>1400</v>
      </c>
      <c r="D328" s="773">
        <v>1360</v>
      </c>
      <c r="E328" s="773">
        <v>1330</v>
      </c>
      <c r="F328" s="787">
        <v>460</v>
      </c>
    </row>
    <row r="329" spans="1:6" s="767" customFormat="1" ht="14.25" customHeight="1" thickBot="1">
      <c r="A329" s="779" t="s">
        <v>320</v>
      </c>
      <c r="B329" s="773" t="s">
        <v>319</v>
      </c>
      <c r="C329" s="773">
        <v>1640</v>
      </c>
      <c r="D329" s="773">
        <v>1610</v>
      </c>
      <c r="E329" s="773">
        <v>1580</v>
      </c>
      <c r="F329" s="787">
        <v>410</v>
      </c>
    </row>
    <row r="330" spans="1:6" s="767" customFormat="1" ht="14.25" customHeight="1" thickBot="1">
      <c r="A330" s="779" t="s">
        <v>320</v>
      </c>
      <c r="B330" s="773" t="s">
        <v>330</v>
      </c>
      <c r="C330" s="773">
        <v>1260</v>
      </c>
      <c r="D330" s="773">
        <v>1220</v>
      </c>
      <c r="E330" s="773">
        <v>1200</v>
      </c>
      <c r="F330" s="791"/>
    </row>
    <row r="331" spans="1:6" s="767" customFormat="1" ht="14.25" customHeight="1" thickBot="1">
      <c r="A331" s="779" t="s">
        <v>320</v>
      </c>
      <c r="B331" s="773" t="s">
        <v>341</v>
      </c>
      <c r="C331" s="773">
        <v>1620</v>
      </c>
      <c r="D331" s="773">
        <v>1560</v>
      </c>
      <c r="E331" s="773">
        <v>1530</v>
      </c>
      <c r="F331" s="787">
        <v>490</v>
      </c>
    </row>
    <row r="332" spans="1:6" s="767" customFormat="1" ht="14.25" customHeight="1" thickBot="1">
      <c r="A332" s="779" t="s">
        <v>320</v>
      </c>
      <c r="B332" s="773" t="s">
        <v>351</v>
      </c>
      <c r="C332" s="773">
        <v>1520</v>
      </c>
      <c r="D332" s="773">
        <v>1470</v>
      </c>
      <c r="E332" s="773">
        <v>1440</v>
      </c>
      <c r="F332" s="787">
        <v>440</v>
      </c>
    </row>
    <row r="333" spans="1:6" s="767" customFormat="1" ht="14.25" customHeight="1" thickBot="1">
      <c r="A333" s="779" t="s">
        <v>320</v>
      </c>
      <c r="B333" s="773" t="s">
        <v>361</v>
      </c>
      <c r="C333" s="773">
        <v>1370</v>
      </c>
      <c r="D333" s="773">
        <v>1320</v>
      </c>
      <c r="E333" s="773">
        <v>1300</v>
      </c>
      <c r="F333" s="787">
        <v>460</v>
      </c>
    </row>
    <row r="334" spans="1:6" s="767" customFormat="1" ht="14.25" customHeight="1" thickBot="1">
      <c r="A334" s="779" t="s">
        <v>320</v>
      </c>
      <c r="B334" s="773" t="s">
        <v>371</v>
      </c>
      <c r="C334" s="773">
        <v>1410</v>
      </c>
      <c r="D334" s="773">
        <v>1340</v>
      </c>
      <c r="E334" s="773">
        <v>1310</v>
      </c>
      <c r="F334" s="787">
        <v>410</v>
      </c>
    </row>
    <row r="335" spans="1:6" s="767" customFormat="1" ht="14.25" customHeight="1" thickBot="1">
      <c r="A335" s="779" t="s">
        <v>320</v>
      </c>
      <c r="B335" s="773" t="s">
        <v>381</v>
      </c>
      <c r="C335" s="773">
        <v>1260</v>
      </c>
      <c r="D335" s="773">
        <v>1220</v>
      </c>
      <c r="E335" s="773">
        <v>1200</v>
      </c>
      <c r="F335" s="791"/>
    </row>
    <row r="336" spans="1:6" s="767" customFormat="1" ht="14.25" customHeight="1" thickBot="1">
      <c r="A336" s="779" t="s">
        <v>320</v>
      </c>
      <c r="B336" s="773" t="s">
        <v>390</v>
      </c>
      <c r="C336" s="773">
        <v>1160</v>
      </c>
      <c r="D336" s="773">
        <v>1140</v>
      </c>
      <c r="E336" s="773">
        <v>1120</v>
      </c>
      <c r="F336" s="787">
        <v>430</v>
      </c>
    </row>
    <row r="337" spans="1:6" s="767" customFormat="1" ht="14.25" customHeight="1" thickBot="1">
      <c r="A337" s="779" t="s">
        <v>320</v>
      </c>
      <c r="B337" s="785" t="s">
        <v>399</v>
      </c>
      <c r="C337" s="785"/>
      <c r="D337" s="785"/>
      <c r="E337" s="785"/>
      <c r="F337" s="790">
        <v>380</v>
      </c>
    </row>
    <row r="338" spans="1:6" s="767" customFormat="1" ht="14.25" customHeight="1" thickBot="1">
      <c r="A338" s="779" t="s">
        <v>331</v>
      </c>
      <c r="B338" s="780" t="s">
        <v>541</v>
      </c>
      <c r="C338" s="780">
        <v>880</v>
      </c>
      <c r="D338" s="780">
        <v>850</v>
      </c>
      <c r="E338" s="780">
        <v>830</v>
      </c>
      <c r="F338" s="793"/>
    </row>
    <row r="339" spans="1:6" s="767" customFormat="1" ht="14.25" customHeight="1" thickBot="1">
      <c r="A339" s="779" t="s">
        <v>331</v>
      </c>
      <c r="B339" s="773" t="s">
        <v>542</v>
      </c>
      <c r="C339" s="773">
        <v>830</v>
      </c>
      <c r="D339" s="773">
        <v>800</v>
      </c>
      <c r="E339" s="773">
        <v>780</v>
      </c>
      <c r="F339" s="791"/>
    </row>
    <row r="340" spans="1:6" s="767" customFormat="1" ht="14.25" customHeight="1" thickBot="1">
      <c r="A340" s="779" t="s">
        <v>331</v>
      </c>
      <c r="B340" s="773" t="s">
        <v>543</v>
      </c>
      <c r="C340" s="773">
        <v>980</v>
      </c>
      <c r="D340" s="773">
        <v>950</v>
      </c>
      <c r="E340" s="773">
        <v>920</v>
      </c>
      <c r="F340" s="791"/>
    </row>
    <row r="341" spans="1:6" s="767" customFormat="1" ht="14.25" customHeight="1" thickBot="1">
      <c r="A341" s="779" t="s">
        <v>331</v>
      </c>
      <c r="B341" s="773" t="s">
        <v>544</v>
      </c>
      <c r="C341" s="773">
        <v>760</v>
      </c>
      <c r="D341" s="773">
        <v>720</v>
      </c>
      <c r="E341" s="773">
        <v>690</v>
      </c>
      <c r="F341" s="787">
        <v>350</v>
      </c>
    </row>
    <row r="342" spans="1:6" s="767" customFormat="1" ht="14.25" customHeight="1" thickBot="1">
      <c r="A342" s="779" t="s">
        <v>331</v>
      </c>
      <c r="B342" s="773" t="s">
        <v>235</v>
      </c>
      <c r="C342" s="773">
        <v>910</v>
      </c>
      <c r="D342" s="773">
        <v>870</v>
      </c>
      <c r="E342" s="773">
        <v>850</v>
      </c>
      <c r="F342" s="787">
        <v>370</v>
      </c>
    </row>
    <row r="343" spans="1:6" s="767" customFormat="1" ht="14.25" customHeight="1" thickBot="1">
      <c r="A343" s="779" t="s">
        <v>331</v>
      </c>
      <c r="B343" s="773" t="s">
        <v>246</v>
      </c>
      <c r="C343" s="773">
        <v>800</v>
      </c>
      <c r="D343" s="773">
        <v>760</v>
      </c>
      <c r="E343" s="773">
        <v>730</v>
      </c>
      <c r="F343" s="787">
        <v>340</v>
      </c>
    </row>
    <row r="344" spans="1:6" s="767" customFormat="1" ht="14.25" customHeight="1" thickBot="1">
      <c r="A344" s="779" t="s">
        <v>331</v>
      </c>
      <c r="B344" s="785" t="s">
        <v>257</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75" t="s">
        <v>658</v>
      </c>
      <c r="B1" s="3575"/>
    </row>
    <row r="2" spans="1:6" ht="14.25" thickBot="1">
      <c r="A2" s="953"/>
      <c r="B2" s="953"/>
    </row>
    <row r="3" spans="1:6" ht="14.25" thickBot="1">
      <c r="A3" s="953"/>
      <c r="B3" s="953"/>
      <c r="C3" s="956" t="s">
        <v>661</v>
      </c>
      <c r="D3" s="956" t="s">
        <v>662</v>
      </c>
      <c r="E3" s="956" t="s">
        <v>663</v>
      </c>
      <c r="F3" s="956" t="s">
        <v>664</v>
      </c>
    </row>
    <row r="4" spans="1:6" ht="14.25" thickBot="1">
      <c r="A4" s="954" t="s">
        <v>659</v>
      </c>
      <c r="B4" s="955" t="s">
        <v>660</v>
      </c>
      <c r="C4" s="956"/>
      <c r="D4" s="956"/>
      <c r="E4" s="956"/>
      <c r="F4" s="956"/>
    </row>
    <row r="5" spans="1:6" ht="14.25" thickBot="1">
      <c r="A5" s="779" t="s">
        <v>665</v>
      </c>
      <c r="B5" s="780" t="s">
        <v>666</v>
      </c>
      <c r="C5" s="957">
        <v>8.8999999999999996E-2</v>
      </c>
      <c r="D5" s="957">
        <v>7.3999999999999996E-2</v>
      </c>
      <c r="E5" s="957">
        <v>7.4999999999999997E-2</v>
      </c>
      <c r="F5" s="958">
        <v>0.1</v>
      </c>
    </row>
    <row r="6" spans="1:6" ht="14.25" thickBot="1">
      <c r="A6" s="779" t="s">
        <v>211</v>
      </c>
      <c r="B6" s="773" t="s">
        <v>667</v>
      </c>
      <c r="C6" s="959">
        <v>0.1</v>
      </c>
      <c r="D6" s="959">
        <v>9.0999999999999998E-2</v>
      </c>
      <c r="E6" s="959">
        <v>9.0999999999999998E-2</v>
      </c>
      <c r="F6" s="960">
        <v>0.1</v>
      </c>
    </row>
    <row r="7" spans="1:6" ht="14.25" thickBot="1">
      <c r="A7" s="779" t="s">
        <v>211</v>
      </c>
      <c r="B7" s="783" t="s">
        <v>200</v>
      </c>
      <c r="C7" s="959">
        <v>8.5999999999999993E-2</v>
      </c>
      <c r="D7" s="959">
        <v>9.6000000000000002E-2</v>
      </c>
      <c r="E7" s="959">
        <v>7.5999999999999998E-2</v>
      </c>
      <c r="F7" s="960">
        <v>0.1</v>
      </c>
    </row>
    <row r="8" spans="1:6" ht="14.25" thickBot="1">
      <c r="A8" s="779" t="s">
        <v>211</v>
      </c>
      <c r="B8" s="773" t="s">
        <v>212</v>
      </c>
      <c r="C8" s="959">
        <v>9.9000000000000005E-2</v>
      </c>
      <c r="D8" s="959">
        <v>9.8000000000000004E-2</v>
      </c>
      <c r="E8" s="959">
        <v>9.8000000000000004E-2</v>
      </c>
      <c r="F8" s="960">
        <v>0.1</v>
      </c>
    </row>
    <row r="9" spans="1:6" ht="14.25" thickBot="1">
      <c r="A9" s="789" t="s">
        <v>211</v>
      </c>
      <c r="B9" s="784" t="s">
        <v>224</v>
      </c>
      <c r="C9" s="961">
        <v>0.05</v>
      </c>
      <c r="D9" s="969"/>
      <c r="E9" s="969"/>
      <c r="F9" s="970"/>
    </row>
    <row r="10" spans="1:6" ht="14.25" thickBot="1">
      <c r="A10" s="779" t="s">
        <v>268</v>
      </c>
      <c r="B10" s="780" t="s">
        <v>668</v>
      </c>
      <c r="C10" s="957">
        <v>8.8999999999999996E-2</v>
      </c>
      <c r="D10" s="957">
        <v>7.2999999999999995E-2</v>
      </c>
      <c r="E10" s="957">
        <v>8.2000000000000003E-2</v>
      </c>
      <c r="F10" s="958">
        <v>0.1</v>
      </c>
    </row>
    <row r="11" spans="1:6" ht="14.25" thickBot="1">
      <c r="A11" s="779" t="s">
        <v>268</v>
      </c>
      <c r="B11" s="783" t="s">
        <v>187</v>
      </c>
      <c r="C11" s="959">
        <v>8.8999999999999996E-2</v>
      </c>
      <c r="D11" s="959">
        <v>7.2999999999999995E-2</v>
      </c>
      <c r="E11" s="959">
        <v>8.2000000000000003E-2</v>
      </c>
      <c r="F11" s="960">
        <v>0.1</v>
      </c>
    </row>
    <row r="12" spans="1:6" ht="14.25" thickBot="1">
      <c r="A12" s="779" t="s">
        <v>268</v>
      </c>
      <c r="B12" s="783" t="s">
        <v>138</v>
      </c>
      <c r="C12" s="959">
        <v>6.0999999999999999E-2</v>
      </c>
      <c r="D12" s="959">
        <v>7.0999999999999994E-2</v>
      </c>
      <c r="E12" s="959">
        <v>9.6000000000000002E-2</v>
      </c>
      <c r="F12" s="960">
        <v>0.1</v>
      </c>
    </row>
    <row r="13" spans="1:6" ht="14.25" thickBot="1">
      <c r="A13" s="779" t="s">
        <v>268</v>
      </c>
      <c r="B13" s="783" t="s">
        <v>213</v>
      </c>
      <c r="C13" s="959">
        <v>6.9000000000000006E-2</v>
      </c>
      <c r="D13" s="959">
        <v>6.5000000000000002E-2</v>
      </c>
      <c r="E13" s="959">
        <v>6.6000000000000003E-2</v>
      </c>
      <c r="F13" s="960">
        <v>0.1</v>
      </c>
    </row>
    <row r="14" spans="1:6" ht="14.25" thickBot="1">
      <c r="A14" s="779" t="s">
        <v>268</v>
      </c>
      <c r="B14" s="783" t="s">
        <v>225</v>
      </c>
      <c r="C14" s="959">
        <v>0.1</v>
      </c>
      <c r="D14" s="959">
        <v>6.5000000000000002E-2</v>
      </c>
      <c r="E14" s="959">
        <v>7.0000000000000007E-2</v>
      </c>
      <c r="F14" s="960">
        <v>0.1</v>
      </c>
    </row>
    <row r="15" spans="1:6" ht="14.25" thickBot="1">
      <c r="A15" s="779" t="s">
        <v>268</v>
      </c>
      <c r="B15" s="783" t="s">
        <v>236</v>
      </c>
      <c r="C15" s="959">
        <v>9.8000000000000004E-2</v>
      </c>
      <c r="D15" s="959">
        <v>8.8999999999999996E-2</v>
      </c>
      <c r="E15" s="959">
        <v>8.8999999999999996E-2</v>
      </c>
      <c r="F15" s="960">
        <v>0.1</v>
      </c>
    </row>
    <row r="16" spans="1:6" ht="14.25" thickBot="1">
      <c r="A16" s="779" t="s">
        <v>268</v>
      </c>
      <c r="B16" s="783" t="s">
        <v>247</v>
      </c>
      <c r="C16" s="959">
        <v>7.0000000000000007E-2</v>
      </c>
      <c r="D16" s="959">
        <v>9.2999999999999999E-2</v>
      </c>
      <c r="E16" s="959">
        <v>9.6000000000000002E-2</v>
      </c>
      <c r="F16" s="960">
        <v>0.1</v>
      </c>
    </row>
    <row r="17" spans="1:6" ht="14.25" thickBot="1">
      <c r="A17" s="779" t="s">
        <v>268</v>
      </c>
      <c r="B17" s="783" t="s">
        <v>258</v>
      </c>
      <c r="C17" s="959">
        <v>9.5000000000000001E-2</v>
      </c>
      <c r="D17" s="959">
        <v>0.1</v>
      </c>
      <c r="E17" s="959">
        <v>0.1</v>
      </c>
      <c r="F17" s="971"/>
    </row>
    <row r="18" spans="1:6" ht="14.25" thickBot="1">
      <c r="A18" s="779" t="s">
        <v>268</v>
      </c>
      <c r="B18" s="783" t="s">
        <v>270</v>
      </c>
      <c r="C18" s="959">
        <v>7.3999999999999996E-2</v>
      </c>
      <c r="D18" s="959">
        <v>9.9000000000000005E-2</v>
      </c>
      <c r="E18" s="959">
        <v>0.1</v>
      </c>
      <c r="F18" s="971"/>
    </row>
    <row r="19" spans="1:6" ht="14.25" thickBot="1">
      <c r="A19" s="779" t="s">
        <v>268</v>
      </c>
      <c r="B19" s="783" t="s">
        <v>280</v>
      </c>
      <c r="C19" s="959">
        <v>9.9000000000000005E-2</v>
      </c>
      <c r="D19" s="959">
        <v>7.5999999999999998E-2</v>
      </c>
      <c r="E19" s="959">
        <v>8.6999999999999994E-2</v>
      </c>
      <c r="F19" s="971"/>
    </row>
    <row r="20" spans="1:6" ht="14.25" thickBot="1">
      <c r="A20" s="779" t="s">
        <v>268</v>
      </c>
      <c r="B20" s="783" t="s">
        <v>290</v>
      </c>
      <c r="C20" s="959">
        <v>9.8000000000000004E-2</v>
      </c>
      <c r="D20" s="959">
        <v>8.5000000000000006E-2</v>
      </c>
      <c r="E20" s="959">
        <v>8.2000000000000003E-2</v>
      </c>
      <c r="F20" s="971"/>
    </row>
    <row r="21" spans="1:6" ht="14.25" thickBot="1">
      <c r="A21" s="779" t="s">
        <v>268</v>
      </c>
      <c r="B21" s="783" t="s">
        <v>300</v>
      </c>
      <c r="C21" s="959">
        <v>6.6000000000000003E-2</v>
      </c>
      <c r="D21" s="959">
        <v>6.4000000000000001E-2</v>
      </c>
      <c r="E21" s="959">
        <v>6.5000000000000002E-2</v>
      </c>
      <c r="F21" s="971"/>
    </row>
    <row r="22" spans="1:6" ht="14.25" thickBot="1">
      <c r="A22" s="779" t="s">
        <v>268</v>
      </c>
      <c r="B22" s="783" t="s">
        <v>669</v>
      </c>
      <c r="C22" s="959">
        <v>0.08</v>
      </c>
      <c r="D22" s="959">
        <v>9.8000000000000004E-2</v>
      </c>
      <c r="E22" s="959">
        <v>9.8000000000000004E-2</v>
      </c>
      <c r="F22" s="971"/>
    </row>
    <row r="23" spans="1:6" ht="14.25" thickBot="1">
      <c r="A23" s="779" t="s">
        <v>268</v>
      </c>
      <c r="B23" s="783" t="s">
        <v>321</v>
      </c>
      <c r="C23" s="959">
        <v>9.9000000000000005E-2</v>
      </c>
      <c r="D23" s="959">
        <v>9.8000000000000004E-2</v>
      </c>
      <c r="E23" s="959">
        <v>9.0999999999999998E-2</v>
      </c>
      <c r="F23" s="971"/>
    </row>
    <row r="24" spans="1:6" ht="14.25" thickBot="1">
      <c r="A24" s="779" t="s">
        <v>268</v>
      </c>
      <c r="B24" s="783" t="s">
        <v>332</v>
      </c>
      <c r="C24" s="959">
        <v>8.8999999999999996E-2</v>
      </c>
      <c r="D24" s="959">
        <v>9.7000000000000003E-2</v>
      </c>
      <c r="E24" s="959">
        <v>7.0000000000000007E-2</v>
      </c>
      <c r="F24" s="971"/>
    </row>
    <row r="25" spans="1:6" ht="14.25" thickBot="1">
      <c r="A25" s="779" t="s">
        <v>268</v>
      </c>
      <c r="B25" s="783" t="s">
        <v>342</v>
      </c>
      <c r="C25" s="959">
        <v>8.8999999999999996E-2</v>
      </c>
      <c r="D25" s="959">
        <v>0.1</v>
      </c>
      <c r="E25" s="959">
        <v>8.1000000000000003E-2</v>
      </c>
      <c r="F25" s="971"/>
    </row>
    <row r="26" spans="1:6" ht="14.25" thickBot="1">
      <c r="A26" s="779" t="s">
        <v>268</v>
      </c>
      <c r="B26" s="783" t="s">
        <v>352</v>
      </c>
      <c r="C26" s="972"/>
      <c r="D26" s="959">
        <v>9.6000000000000002E-2</v>
      </c>
      <c r="E26" s="959">
        <v>9.2999999999999999E-2</v>
      </c>
      <c r="F26" s="971"/>
    </row>
    <row r="27" spans="1:6" ht="14.25" thickBot="1">
      <c r="A27" s="779" t="s">
        <v>268</v>
      </c>
      <c r="B27" s="783" t="s">
        <v>362</v>
      </c>
      <c r="C27" s="972"/>
      <c r="D27" s="959">
        <v>7.5999999999999998E-2</v>
      </c>
      <c r="E27" s="959">
        <v>9.1999999999999998E-2</v>
      </c>
      <c r="F27" s="971"/>
    </row>
    <row r="28" spans="1:6" ht="14.25" thickBot="1">
      <c r="A28" s="789" t="s">
        <v>268</v>
      </c>
      <c r="B28" s="784" t="s">
        <v>372</v>
      </c>
      <c r="C28" s="969"/>
      <c r="D28" s="961">
        <v>7.5999999999999998E-2</v>
      </c>
      <c r="E28" s="961">
        <v>9.1999999999999998E-2</v>
      </c>
      <c r="F28" s="970"/>
    </row>
    <row r="29" spans="1:6" ht="14.25" thickBot="1">
      <c r="A29" s="779" t="s">
        <v>441</v>
      </c>
      <c r="B29" s="780" t="s">
        <v>670</v>
      </c>
      <c r="C29" s="957">
        <v>6.4000000000000001E-2</v>
      </c>
      <c r="D29" s="957">
        <v>6.5000000000000002E-2</v>
      </c>
      <c r="E29" s="957">
        <v>6.9000000000000006E-2</v>
      </c>
      <c r="F29" s="958">
        <v>0.1</v>
      </c>
    </row>
    <row r="30" spans="1:6" ht="14.25" thickBot="1">
      <c r="A30" s="779" t="s">
        <v>441</v>
      </c>
      <c r="B30" s="783" t="s">
        <v>188</v>
      </c>
      <c r="C30" s="959">
        <v>6.4000000000000001E-2</v>
      </c>
      <c r="D30" s="959">
        <v>9.9000000000000005E-2</v>
      </c>
      <c r="E30" s="959">
        <v>0.1</v>
      </c>
      <c r="F30" s="960">
        <v>0.1</v>
      </c>
    </row>
    <row r="31" spans="1:6" ht="14.25" thickBot="1">
      <c r="A31" s="779" t="s">
        <v>441</v>
      </c>
      <c r="B31" s="783" t="s">
        <v>201</v>
      </c>
      <c r="C31" s="959">
        <v>0.1</v>
      </c>
      <c r="D31" s="959">
        <v>9.5000000000000001E-2</v>
      </c>
      <c r="E31" s="959">
        <v>8.8999999999999996E-2</v>
      </c>
      <c r="F31" s="960">
        <v>0.1</v>
      </c>
    </row>
    <row r="32" spans="1:6" ht="14.25" thickBot="1">
      <c r="A32" s="779" t="s">
        <v>441</v>
      </c>
      <c r="B32" s="783" t="s">
        <v>214</v>
      </c>
      <c r="C32" s="959">
        <v>0.05</v>
      </c>
      <c r="D32" s="959">
        <v>0.05</v>
      </c>
      <c r="E32" s="959">
        <v>8.7999999999999995E-2</v>
      </c>
      <c r="F32" s="960">
        <v>0.1</v>
      </c>
    </row>
    <row r="33" spans="1:6" ht="14.25" thickBot="1">
      <c r="A33" s="779" t="s">
        <v>441</v>
      </c>
      <c r="B33" s="783" t="s">
        <v>226</v>
      </c>
      <c r="C33" s="959">
        <v>7.4999999999999997E-2</v>
      </c>
      <c r="D33" s="959">
        <v>9.4E-2</v>
      </c>
      <c r="E33" s="959">
        <v>9.7000000000000003E-2</v>
      </c>
      <c r="F33" s="960">
        <v>0.1</v>
      </c>
    </row>
    <row r="34" spans="1:6" ht="14.25" thickBot="1">
      <c r="A34" s="779" t="s">
        <v>441</v>
      </c>
      <c r="B34" s="783" t="s">
        <v>237</v>
      </c>
      <c r="C34" s="959">
        <v>9.8000000000000004E-2</v>
      </c>
      <c r="D34" s="959">
        <v>8.5999999999999993E-2</v>
      </c>
      <c r="E34" s="959">
        <v>9.7000000000000003E-2</v>
      </c>
      <c r="F34" s="960">
        <v>0.1</v>
      </c>
    </row>
    <row r="35" spans="1:6" ht="14.25" thickBot="1">
      <c r="A35" s="779" t="s">
        <v>441</v>
      </c>
      <c r="B35" s="783" t="s">
        <v>248</v>
      </c>
      <c r="C35" s="959">
        <v>5.8999999999999997E-2</v>
      </c>
      <c r="D35" s="959">
        <v>6.5000000000000002E-2</v>
      </c>
      <c r="E35" s="959">
        <v>7.0000000000000007E-2</v>
      </c>
      <c r="F35" s="960">
        <v>0.1</v>
      </c>
    </row>
    <row r="36" spans="1:6" ht="14.25" thickBot="1">
      <c r="A36" s="779" t="s">
        <v>441</v>
      </c>
      <c r="B36" s="783" t="s">
        <v>259</v>
      </c>
      <c r="C36" s="959">
        <v>6.3E-2</v>
      </c>
      <c r="D36" s="959">
        <v>0.1</v>
      </c>
      <c r="E36" s="959">
        <v>0.1</v>
      </c>
      <c r="F36" s="960">
        <v>0.1</v>
      </c>
    </row>
    <row r="37" spans="1:6" ht="14.25" thickBot="1">
      <c r="A37" s="779" t="s">
        <v>441</v>
      </c>
      <c r="B37" s="783" t="s">
        <v>271</v>
      </c>
      <c r="C37" s="959">
        <v>7.3999999999999996E-2</v>
      </c>
      <c r="D37" s="959">
        <v>0.1</v>
      </c>
      <c r="E37" s="959">
        <v>0.1</v>
      </c>
      <c r="F37" s="960">
        <v>0.1</v>
      </c>
    </row>
    <row r="38" spans="1:6" ht="14.25" thickBot="1">
      <c r="A38" s="779" t="s">
        <v>441</v>
      </c>
      <c r="B38" s="783" t="s">
        <v>281</v>
      </c>
      <c r="C38" s="959">
        <v>0.1</v>
      </c>
      <c r="D38" s="959">
        <v>9.6000000000000002E-2</v>
      </c>
      <c r="E38" s="959">
        <v>9.6000000000000002E-2</v>
      </c>
      <c r="F38" s="971"/>
    </row>
    <row r="39" spans="1:6" ht="14.25" thickBot="1">
      <c r="A39" s="779" t="s">
        <v>441</v>
      </c>
      <c r="B39" s="783" t="s">
        <v>291</v>
      </c>
      <c r="C39" s="959">
        <v>0.1</v>
      </c>
      <c r="D39" s="959">
        <v>9.6000000000000002E-2</v>
      </c>
      <c r="E39" s="959">
        <v>9.6000000000000002E-2</v>
      </c>
      <c r="F39" s="971"/>
    </row>
    <row r="40" spans="1:6" ht="14.25" thickBot="1">
      <c r="A40" s="779" t="s">
        <v>441</v>
      </c>
      <c r="B40" s="783" t="s">
        <v>301</v>
      </c>
      <c r="C40" s="959">
        <v>9.6000000000000002E-2</v>
      </c>
      <c r="D40" s="959">
        <v>0.1</v>
      </c>
      <c r="E40" s="959">
        <v>9.9000000000000005E-2</v>
      </c>
      <c r="F40" s="971"/>
    </row>
    <row r="41" spans="1:6" ht="14.25" thickBot="1">
      <c r="A41" s="779" t="s">
        <v>441</v>
      </c>
      <c r="B41" s="783" t="s">
        <v>311</v>
      </c>
      <c r="C41" s="959">
        <v>9.6000000000000002E-2</v>
      </c>
      <c r="D41" s="959">
        <v>9.8000000000000004E-2</v>
      </c>
      <c r="E41" s="959">
        <v>9.8000000000000004E-2</v>
      </c>
      <c r="F41" s="971"/>
    </row>
    <row r="42" spans="1:6" ht="14.25" thickBot="1">
      <c r="A42" s="779" t="s">
        <v>441</v>
      </c>
      <c r="B42" s="783" t="s">
        <v>322</v>
      </c>
      <c r="C42" s="959">
        <v>0.1</v>
      </c>
      <c r="D42" s="959">
        <v>8.7999999999999995E-2</v>
      </c>
      <c r="E42" s="959">
        <v>0.1</v>
      </c>
      <c r="F42" s="971"/>
    </row>
    <row r="43" spans="1:6" ht="14.25" thickBot="1">
      <c r="A43" s="779" t="s">
        <v>441</v>
      </c>
      <c r="B43" s="783" t="s">
        <v>333</v>
      </c>
      <c r="C43" s="959">
        <v>9.8000000000000004E-2</v>
      </c>
      <c r="D43" s="959">
        <v>9.7000000000000003E-2</v>
      </c>
      <c r="E43" s="959">
        <v>9.6000000000000002E-2</v>
      </c>
      <c r="F43" s="971"/>
    </row>
    <row r="44" spans="1:6" ht="14.25" thickBot="1">
      <c r="A44" s="779" t="s">
        <v>441</v>
      </c>
      <c r="B44" s="783" t="s">
        <v>343</v>
      </c>
      <c r="C44" s="959">
        <v>8.5999999999999993E-2</v>
      </c>
      <c r="D44" s="959">
        <v>7.9000000000000001E-2</v>
      </c>
      <c r="E44" s="959">
        <v>7.0999999999999994E-2</v>
      </c>
      <c r="F44" s="971"/>
    </row>
    <row r="45" spans="1:6" ht="14.25" thickBot="1">
      <c r="A45" s="779" t="s">
        <v>441</v>
      </c>
      <c r="B45" s="783" t="s">
        <v>353</v>
      </c>
      <c r="C45" s="959">
        <v>9.8000000000000004E-2</v>
      </c>
      <c r="D45" s="959">
        <v>9.6000000000000002E-2</v>
      </c>
      <c r="E45" s="959">
        <v>9.6000000000000002E-2</v>
      </c>
      <c r="F45" s="971"/>
    </row>
    <row r="46" spans="1:6" ht="14.25" thickBot="1">
      <c r="A46" s="779" t="s">
        <v>441</v>
      </c>
      <c r="B46" s="783" t="s">
        <v>363</v>
      </c>
      <c r="C46" s="959">
        <v>8.5999999999999993E-2</v>
      </c>
      <c r="D46" s="959">
        <v>9.8000000000000004E-2</v>
      </c>
      <c r="E46" s="959">
        <v>8.7999999999999995E-2</v>
      </c>
      <c r="F46" s="971"/>
    </row>
    <row r="47" spans="1:6" ht="14.25" thickBot="1">
      <c r="A47" s="779" t="s">
        <v>441</v>
      </c>
      <c r="B47" s="783" t="s">
        <v>373</v>
      </c>
      <c r="C47" s="959">
        <v>9.6000000000000002E-2</v>
      </c>
      <c r="D47" s="972"/>
      <c r="E47" s="959">
        <v>6.9000000000000006E-2</v>
      </c>
      <c r="F47" s="971"/>
    </row>
    <row r="48" spans="1:6" ht="14.25" thickBot="1">
      <c r="A48" s="789" t="s">
        <v>441</v>
      </c>
      <c r="B48" s="784" t="s">
        <v>382</v>
      </c>
      <c r="C48" s="961">
        <v>9.8000000000000004E-2</v>
      </c>
      <c r="D48" s="969"/>
      <c r="E48" s="961">
        <v>9.5000000000000001E-2</v>
      </c>
      <c r="F48" s="970"/>
    </row>
    <row r="49" spans="1:6" ht="14.25" thickBot="1">
      <c r="A49" s="779" t="s">
        <v>137</v>
      </c>
      <c r="B49" s="780" t="s">
        <v>671</v>
      </c>
      <c r="C49" s="957">
        <v>9.7000000000000003E-2</v>
      </c>
      <c r="D49" s="957">
        <v>9.5000000000000001E-2</v>
      </c>
      <c r="E49" s="957">
        <v>9.7000000000000003E-2</v>
      </c>
      <c r="F49" s="958">
        <v>0.1</v>
      </c>
    </row>
    <row r="50" spans="1:6" ht="14.25" thickBot="1">
      <c r="A50" s="779" t="s">
        <v>137</v>
      </c>
      <c r="B50" s="773" t="s">
        <v>189</v>
      </c>
      <c r="C50" s="959">
        <v>7.4999999999999997E-2</v>
      </c>
      <c r="D50" s="959">
        <v>9.5000000000000001E-2</v>
      </c>
      <c r="E50" s="959">
        <v>0.1</v>
      </c>
      <c r="F50" s="960">
        <v>0.1</v>
      </c>
    </row>
    <row r="51" spans="1:6" ht="14.25" thickBot="1">
      <c r="A51" s="779" t="s">
        <v>137</v>
      </c>
      <c r="B51" s="773" t="s">
        <v>202</v>
      </c>
      <c r="C51" s="959">
        <v>9.8000000000000004E-2</v>
      </c>
      <c r="D51" s="959">
        <v>8.8999999999999996E-2</v>
      </c>
      <c r="E51" s="959">
        <v>0.1</v>
      </c>
      <c r="F51" s="960">
        <v>0.1</v>
      </c>
    </row>
    <row r="52" spans="1:6" ht="14.25" thickBot="1">
      <c r="A52" s="779" t="s">
        <v>137</v>
      </c>
      <c r="B52" s="773" t="s">
        <v>215</v>
      </c>
      <c r="C52" s="959">
        <v>9.8000000000000004E-2</v>
      </c>
      <c r="D52" s="959">
        <v>9.7000000000000003E-2</v>
      </c>
      <c r="E52" s="959">
        <v>8.1000000000000003E-2</v>
      </c>
      <c r="F52" s="960">
        <v>0.1</v>
      </c>
    </row>
    <row r="53" spans="1:6" ht="14.25" thickBot="1">
      <c r="A53" s="779" t="s">
        <v>137</v>
      </c>
      <c r="B53" s="773" t="s">
        <v>227</v>
      </c>
      <c r="C53" s="959">
        <v>9.7000000000000003E-2</v>
      </c>
      <c r="D53" s="959">
        <v>7.5999999999999998E-2</v>
      </c>
      <c r="E53" s="959">
        <v>7.0999999999999994E-2</v>
      </c>
      <c r="F53" s="960">
        <v>0.1</v>
      </c>
    </row>
    <row r="54" spans="1:6" ht="14.25" thickBot="1">
      <c r="A54" s="779" t="s">
        <v>137</v>
      </c>
      <c r="B54" s="773" t="s">
        <v>238</v>
      </c>
      <c r="C54" s="959">
        <v>7.5999999999999998E-2</v>
      </c>
      <c r="D54" s="959">
        <v>0.1</v>
      </c>
      <c r="E54" s="959">
        <v>9.9000000000000005E-2</v>
      </c>
      <c r="F54" s="960">
        <v>0.1</v>
      </c>
    </row>
    <row r="55" spans="1:6" ht="14.25" thickBot="1">
      <c r="A55" s="779" t="s">
        <v>137</v>
      </c>
      <c r="B55" s="773" t="s">
        <v>249</v>
      </c>
      <c r="C55" s="959">
        <v>0.1</v>
      </c>
      <c r="D55" s="959">
        <v>0.1</v>
      </c>
      <c r="E55" s="959">
        <v>9.6000000000000002E-2</v>
      </c>
      <c r="F55" s="960">
        <v>0.1</v>
      </c>
    </row>
    <row r="56" spans="1:6" ht="14.25" thickBot="1">
      <c r="A56" s="779" t="s">
        <v>137</v>
      </c>
      <c r="B56" s="773" t="s">
        <v>260</v>
      </c>
      <c r="C56" s="959">
        <v>0.1</v>
      </c>
      <c r="D56" s="959">
        <v>9.6000000000000002E-2</v>
      </c>
      <c r="E56" s="959">
        <v>5.1999999999999998E-2</v>
      </c>
      <c r="F56" s="960">
        <v>0.1</v>
      </c>
    </row>
    <row r="57" spans="1:6" ht="14.25" thickBot="1">
      <c r="A57" s="779" t="s">
        <v>137</v>
      </c>
      <c r="B57" s="773" t="s">
        <v>272</v>
      </c>
      <c r="C57" s="959">
        <v>9.7000000000000003E-2</v>
      </c>
      <c r="D57" s="959">
        <v>9.6000000000000002E-2</v>
      </c>
      <c r="E57" s="959">
        <v>9.6000000000000002E-2</v>
      </c>
      <c r="F57" s="960">
        <v>0.1</v>
      </c>
    </row>
    <row r="58" spans="1:6" ht="14.25" thickBot="1">
      <c r="A58" s="779" t="s">
        <v>137</v>
      </c>
      <c r="B58" s="773" t="s">
        <v>282</v>
      </c>
      <c r="C58" s="959">
        <v>9.6000000000000002E-2</v>
      </c>
      <c r="D58" s="959">
        <v>9.9000000000000005E-2</v>
      </c>
      <c r="E58" s="959">
        <v>9.6000000000000002E-2</v>
      </c>
      <c r="F58" s="960">
        <v>0.1</v>
      </c>
    </row>
    <row r="59" spans="1:6" ht="14.25" thickBot="1">
      <c r="A59" s="779" t="s">
        <v>137</v>
      </c>
      <c r="B59" s="773" t="s">
        <v>292</v>
      </c>
      <c r="C59" s="959">
        <v>7.1999999999999995E-2</v>
      </c>
      <c r="D59" s="959">
        <v>9.6000000000000002E-2</v>
      </c>
      <c r="E59" s="959">
        <v>7.0999999999999994E-2</v>
      </c>
      <c r="F59" s="960">
        <v>0.1</v>
      </c>
    </row>
    <row r="60" spans="1:6" ht="14.25" thickBot="1">
      <c r="A60" s="779" t="s">
        <v>137</v>
      </c>
      <c r="B60" s="773" t="s">
        <v>302</v>
      </c>
      <c r="C60" s="959">
        <v>9.6000000000000002E-2</v>
      </c>
      <c r="D60" s="959">
        <v>8.8999999999999996E-2</v>
      </c>
      <c r="E60" s="959">
        <v>9.6000000000000002E-2</v>
      </c>
      <c r="F60" s="960">
        <v>0.1</v>
      </c>
    </row>
    <row r="61" spans="1:6" ht="14.25" thickBot="1">
      <c r="A61" s="779" t="s">
        <v>137</v>
      </c>
      <c r="B61" s="773" t="s">
        <v>312</v>
      </c>
      <c r="C61" s="959">
        <v>8.8999999999999996E-2</v>
      </c>
      <c r="D61" s="959">
        <v>9.8000000000000004E-2</v>
      </c>
      <c r="E61" s="959">
        <v>8.7999999999999995E-2</v>
      </c>
      <c r="F61" s="971"/>
    </row>
    <row r="62" spans="1:6" ht="14.25" thickBot="1">
      <c r="A62" s="779" t="s">
        <v>137</v>
      </c>
      <c r="B62" s="773" t="s">
        <v>323</v>
      </c>
      <c r="C62" s="959">
        <v>9.8000000000000004E-2</v>
      </c>
      <c r="D62" s="959">
        <v>9.2999999999999999E-2</v>
      </c>
      <c r="E62" s="959">
        <v>9.7000000000000003E-2</v>
      </c>
      <c r="F62" s="971"/>
    </row>
    <row r="63" spans="1:6" ht="14.25" thickBot="1">
      <c r="A63" s="779" t="s">
        <v>137</v>
      </c>
      <c r="B63" s="773" t="s">
        <v>334</v>
      </c>
      <c r="C63" s="959">
        <v>9.6000000000000002E-2</v>
      </c>
      <c r="D63" s="959">
        <v>9.8000000000000004E-2</v>
      </c>
      <c r="E63" s="959">
        <v>0.09</v>
      </c>
      <c r="F63" s="971"/>
    </row>
    <row r="64" spans="1:6" ht="14.25" thickBot="1">
      <c r="A64" s="779" t="s">
        <v>137</v>
      </c>
      <c r="B64" s="773" t="s">
        <v>344</v>
      </c>
      <c r="C64" s="959">
        <v>9.9000000000000005E-2</v>
      </c>
      <c r="D64" s="959">
        <v>9.7000000000000003E-2</v>
      </c>
      <c r="E64" s="959">
        <v>9.9000000000000005E-2</v>
      </c>
      <c r="F64" s="971"/>
    </row>
    <row r="65" spans="1:6" ht="14.25" thickBot="1">
      <c r="A65" s="779" t="s">
        <v>137</v>
      </c>
      <c r="B65" s="773" t="s">
        <v>354</v>
      </c>
      <c r="C65" s="959">
        <v>9.8000000000000004E-2</v>
      </c>
      <c r="D65" s="959">
        <v>9.6000000000000002E-2</v>
      </c>
      <c r="E65" s="959">
        <v>9.6000000000000002E-2</v>
      </c>
      <c r="F65" s="971"/>
    </row>
    <row r="66" spans="1:6" ht="14.25" thickBot="1">
      <c r="A66" s="779" t="s">
        <v>137</v>
      </c>
      <c r="B66" s="773" t="s">
        <v>364</v>
      </c>
      <c r="C66" s="959">
        <v>9.6000000000000002E-2</v>
      </c>
      <c r="D66" s="959">
        <v>9.1999999999999998E-2</v>
      </c>
      <c r="E66" s="959">
        <v>9.6000000000000002E-2</v>
      </c>
      <c r="F66" s="971"/>
    </row>
    <row r="67" spans="1:6" ht="14.25" thickBot="1">
      <c r="A67" s="779" t="s">
        <v>137</v>
      </c>
      <c r="B67" s="773" t="s">
        <v>374</v>
      </c>
      <c r="C67" s="959">
        <v>9.4E-2</v>
      </c>
      <c r="D67" s="959">
        <v>0.1</v>
      </c>
      <c r="E67" s="959">
        <v>8.7999999999999995E-2</v>
      </c>
      <c r="F67" s="971"/>
    </row>
    <row r="68" spans="1:6" ht="14.25" thickBot="1">
      <c r="A68" s="779" t="s">
        <v>137</v>
      </c>
      <c r="B68" s="773" t="s">
        <v>383</v>
      </c>
      <c r="C68" s="959">
        <v>0.1</v>
      </c>
      <c r="D68" s="959">
        <v>8.7999999999999995E-2</v>
      </c>
      <c r="E68" s="959">
        <v>9.7000000000000003E-2</v>
      </c>
      <c r="F68" s="971"/>
    </row>
    <row r="69" spans="1:6" ht="14.25" thickBot="1">
      <c r="A69" s="779" t="s">
        <v>137</v>
      </c>
      <c r="B69" s="773" t="s">
        <v>392</v>
      </c>
      <c r="C69" s="959">
        <v>6.4000000000000001E-2</v>
      </c>
      <c r="D69" s="959">
        <v>0.1</v>
      </c>
      <c r="E69" s="959">
        <v>0.1</v>
      </c>
      <c r="F69" s="971"/>
    </row>
    <row r="70" spans="1:6" ht="14.25" thickBot="1">
      <c r="A70" s="779" t="s">
        <v>137</v>
      </c>
      <c r="B70" s="773" t="s">
        <v>400</v>
      </c>
      <c r="C70" s="959">
        <v>9.0999999999999998E-2</v>
      </c>
      <c r="D70" s="972"/>
      <c r="E70" s="972"/>
      <c r="F70" s="971"/>
    </row>
    <row r="71" spans="1:6" ht="14.25" thickBot="1">
      <c r="A71" s="779" t="s">
        <v>137</v>
      </c>
      <c r="B71" s="773" t="s">
        <v>407</v>
      </c>
      <c r="C71" s="959">
        <v>0.1</v>
      </c>
      <c r="D71" s="972"/>
      <c r="E71" s="972"/>
      <c r="F71" s="971"/>
    </row>
    <row r="72" spans="1:6" ht="14.25" thickBot="1">
      <c r="A72" s="779" t="s">
        <v>137</v>
      </c>
      <c r="B72" s="773" t="s">
        <v>672</v>
      </c>
      <c r="C72" s="972"/>
      <c r="D72" s="972"/>
      <c r="E72" s="972"/>
      <c r="F72" s="960">
        <v>0.05</v>
      </c>
    </row>
    <row r="73" spans="1:6" ht="14.25" thickBot="1">
      <c r="A73" s="779" t="s">
        <v>137</v>
      </c>
      <c r="B73" s="773" t="s">
        <v>673</v>
      </c>
      <c r="C73" s="972"/>
      <c r="D73" s="972"/>
      <c r="E73" s="972"/>
      <c r="F73" s="960">
        <v>0.05</v>
      </c>
    </row>
    <row r="74" spans="1:6" ht="14.25" thickBot="1">
      <c r="A74" s="779" t="s">
        <v>137</v>
      </c>
      <c r="B74" s="773" t="s">
        <v>674</v>
      </c>
      <c r="C74" s="972"/>
      <c r="D74" s="972"/>
      <c r="E74" s="972"/>
      <c r="F74" s="960">
        <v>0.05</v>
      </c>
    </row>
    <row r="75" spans="1:6" ht="14.25" thickBot="1">
      <c r="A75" s="789" t="s">
        <v>137</v>
      </c>
      <c r="B75" s="785" t="s">
        <v>675</v>
      </c>
      <c r="C75" s="969"/>
      <c r="D75" s="969"/>
      <c r="E75" s="969"/>
      <c r="F75" s="962">
        <v>0.05</v>
      </c>
    </row>
    <row r="76" spans="1:6" ht="14.25" thickBot="1">
      <c r="A76" s="779" t="s">
        <v>522</v>
      </c>
      <c r="B76" s="780" t="s">
        <v>676</v>
      </c>
      <c r="C76" s="957">
        <v>0.1</v>
      </c>
      <c r="D76" s="957">
        <v>0.1</v>
      </c>
      <c r="E76" s="957">
        <v>0.1</v>
      </c>
      <c r="F76" s="958">
        <v>0.1</v>
      </c>
    </row>
    <row r="77" spans="1:6" ht="14.25" thickBot="1">
      <c r="A77" s="779" t="s">
        <v>522</v>
      </c>
      <c r="B77" s="773" t="s">
        <v>190</v>
      </c>
      <c r="C77" s="959">
        <v>8.7999999999999995E-2</v>
      </c>
      <c r="D77" s="959">
        <v>8.6999999999999994E-2</v>
      </c>
      <c r="E77" s="959">
        <v>7.9000000000000001E-2</v>
      </c>
      <c r="F77" s="960">
        <v>0.1</v>
      </c>
    </row>
    <row r="78" spans="1:6" ht="14.25" thickBot="1">
      <c r="A78" s="779" t="s">
        <v>522</v>
      </c>
      <c r="B78" s="773" t="s">
        <v>203</v>
      </c>
      <c r="C78" s="959">
        <v>8.6999999999999994E-2</v>
      </c>
      <c r="D78" s="959">
        <v>8.4000000000000005E-2</v>
      </c>
      <c r="E78" s="959">
        <v>9.6000000000000002E-2</v>
      </c>
      <c r="F78" s="960">
        <v>0.1</v>
      </c>
    </row>
    <row r="79" spans="1:6" ht="14.25" thickBot="1">
      <c r="A79" s="779" t="s">
        <v>522</v>
      </c>
      <c r="B79" s="773" t="s">
        <v>216</v>
      </c>
      <c r="C79" s="959">
        <v>9.8000000000000004E-2</v>
      </c>
      <c r="D79" s="959">
        <v>9.8000000000000004E-2</v>
      </c>
      <c r="E79" s="959">
        <v>9.0999999999999998E-2</v>
      </c>
      <c r="F79" s="960">
        <v>0.1</v>
      </c>
    </row>
    <row r="80" spans="1:6" ht="14.25" thickBot="1">
      <c r="A80" s="779" t="s">
        <v>522</v>
      </c>
      <c r="B80" s="773" t="s">
        <v>228</v>
      </c>
      <c r="C80" s="959">
        <v>9.6000000000000002E-2</v>
      </c>
      <c r="D80" s="959">
        <v>9.6000000000000002E-2</v>
      </c>
      <c r="E80" s="959">
        <v>0.1</v>
      </c>
      <c r="F80" s="960">
        <v>0.1</v>
      </c>
    </row>
    <row r="81" spans="1:6" ht="14.25" thickBot="1">
      <c r="A81" s="779" t="s">
        <v>522</v>
      </c>
      <c r="B81" s="773" t="s">
        <v>239</v>
      </c>
      <c r="C81" s="959">
        <v>9.9000000000000005E-2</v>
      </c>
      <c r="D81" s="959">
        <v>9.9000000000000005E-2</v>
      </c>
      <c r="E81" s="959">
        <v>9.8000000000000004E-2</v>
      </c>
      <c r="F81" s="960">
        <v>0.1</v>
      </c>
    </row>
    <row r="82" spans="1:6" ht="14.25" thickBot="1">
      <c r="A82" s="779" t="s">
        <v>522</v>
      </c>
      <c r="B82" s="773" t="s">
        <v>250</v>
      </c>
      <c r="C82" s="959">
        <v>9.9000000000000005E-2</v>
      </c>
      <c r="D82" s="959">
        <v>9.9000000000000005E-2</v>
      </c>
      <c r="E82" s="959">
        <v>9.7000000000000003E-2</v>
      </c>
      <c r="F82" s="960">
        <v>0.1</v>
      </c>
    </row>
    <row r="83" spans="1:6" ht="14.25" thickBot="1">
      <c r="A83" s="779" t="s">
        <v>522</v>
      </c>
      <c r="B83" s="773" t="s">
        <v>261</v>
      </c>
      <c r="C83" s="959">
        <v>9.8000000000000004E-2</v>
      </c>
      <c r="D83" s="959">
        <v>9.8000000000000004E-2</v>
      </c>
      <c r="E83" s="959">
        <v>9.8000000000000004E-2</v>
      </c>
      <c r="F83" s="960">
        <v>0.1</v>
      </c>
    </row>
    <row r="84" spans="1:6" ht="14.25" thickBot="1">
      <c r="A84" s="779" t="s">
        <v>522</v>
      </c>
      <c r="B84" s="773" t="s">
        <v>273</v>
      </c>
      <c r="C84" s="959">
        <v>9.9000000000000005E-2</v>
      </c>
      <c r="D84" s="959">
        <v>9.9000000000000005E-2</v>
      </c>
      <c r="E84" s="959">
        <v>9.9000000000000005E-2</v>
      </c>
      <c r="F84" s="960">
        <v>0.1</v>
      </c>
    </row>
    <row r="85" spans="1:6" ht="14.25" thickBot="1">
      <c r="A85" s="779" t="s">
        <v>522</v>
      </c>
      <c r="B85" s="773" t="s">
        <v>283</v>
      </c>
      <c r="C85" s="959">
        <v>9.9000000000000005E-2</v>
      </c>
      <c r="D85" s="959">
        <v>9.9000000000000005E-2</v>
      </c>
      <c r="E85" s="959">
        <v>9.9000000000000005E-2</v>
      </c>
      <c r="F85" s="960">
        <v>0.1</v>
      </c>
    </row>
    <row r="86" spans="1:6" ht="14.25" thickBot="1">
      <c r="A86" s="779" t="s">
        <v>522</v>
      </c>
      <c r="B86" s="773" t="s">
        <v>293</v>
      </c>
      <c r="C86" s="959">
        <v>0.1</v>
      </c>
      <c r="D86" s="959">
        <v>0.1</v>
      </c>
      <c r="E86" s="959">
        <v>7.6999999999999999E-2</v>
      </c>
      <c r="F86" s="960">
        <v>0.1</v>
      </c>
    </row>
    <row r="87" spans="1:6" ht="14.25" thickBot="1">
      <c r="A87" s="779" t="s">
        <v>522</v>
      </c>
      <c r="B87" s="773" t="s">
        <v>303</v>
      </c>
      <c r="C87" s="959">
        <v>0.1</v>
      </c>
      <c r="D87" s="959">
        <v>0.1</v>
      </c>
      <c r="E87" s="959">
        <v>9.8000000000000004E-2</v>
      </c>
      <c r="F87" s="971"/>
    </row>
    <row r="88" spans="1:6" ht="14.25" thickBot="1">
      <c r="A88" s="779" t="s">
        <v>522</v>
      </c>
      <c r="B88" s="773" t="s">
        <v>313</v>
      </c>
      <c r="C88" s="959">
        <v>9.1999999999999998E-2</v>
      </c>
      <c r="D88" s="959">
        <v>8.5000000000000006E-2</v>
      </c>
      <c r="E88" s="959">
        <v>9.6000000000000002E-2</v>
      </c>
      <c r="F88" s="971"/>
    </row>
    <row r="89" spans="1:6" ht="14.25" thickBot="1">
      <c r="A89" s="779" t="s">
        <v>522</v>
      </c>
      <c r="B89" s="773" t="s">
        <v>324</v>
      </c>
      <c r="C89" s="959">
        <v>0.1</v>
      </c>
      <c r="D89" s="959">
        <v>0.1</v>
      </c>
      <c r="E89" s="959">
        <v>9.7000000000000003E-2</v>
      </c>
      <c r="F89" s="971"/>
    </row>
    <row r="90" spans="1:6" ht="14.25" thickBot="1">
      <c r="A90" s="779" t="s">
        <v>522</v>
      </c>
      <c r="B90" s="773" t="s">
        <v>335</v>
      </c>
      <c r="C90" s="959">
        <v>9.8000000000000004E-2</v>
      </c>
      <c r="D90" s="959">
        <v>9.8000000000000004E-2</v>
      </c>
      <c r="E90" s="959">
        <v>8.7999999999999995E-2</v>
      </c>
      <c r="F90" s="971"/>
    </row>
    <row r="91" spans="1:6" ht="14.25" thickBot="1">
      <c r="A91" s="779" t="s">
        <v>522</v>
      </c>
      <c r="B91" s="773" t="s">
        <v>345</v>
      </c>
      <c r="C91" s="959">
        <v>9.9000000000000005E-2</v>
      </c>
      <c r="D91" s="959">
        <v>9.9000000000000005E-2</v>
      </c>
      <c r="E91" s="959">
        <v>9.0999999999999998E-2</v>
      </c>
      <c r="F91" s="971"/>
    </row>
    <row r="92" spans="1:6" ht="14.25" thickBot="1">
      <c r="A92" s="779" t="s">
        <v>522</v>
      </c>
      <c r="B92" s="773" t="s">
        <v>355</v>
      </c>
      <c r="C92" s="959">
        <v>9.6000000000000002E-2</v>
      </c>
      <c r="D92" s="959">
        <v>9.6000000000000002E-2</v>
      </c>
      <c r="E92" s="959">
        <v>7.2999999999999995E-2</v>
      </c>
      <c r="F92" s="971"/>
    </row>
    <row r="93" spans="1:6" ht="14.25" thickBot="1">
      <c r="A93" s="779" t="s">
        <v>522</v>
      </c>
      <c r="B93" s="773" t="s">
        <v>365</v>
      </c>
      <c r="C93" s="959">
        <v>9.6000000000000002E-2</v>
      </c>
      <c r="D93" s="959">
        <v>9.6000000000000002E-2</v>
      </c>
      <c r="E93" s="959">
        <v>9.9000000000000005E-2</v>
      </c>
      <c r="F93" s="971"/>
    </row>
    <row r="94" spans="1:6" ht="14.25" thickBot="1">
      <c r="A94" s="779" t="s">
        <v>522</v>
      </c>
      <c r="B94" s="773" t="s">
        <v>375</v>
      </c>
      <c r="C94" s="959">
        <v>7.5999999999999998E-2</v>
      </c>
      <c r="D94" s="959">
        <v>7.3999999999999996E-2</v>
      </c>
      <c r="E94" s="959">
        <v>9.7000000000000003E-2</v>
      </c>
      <c r="F94" s="971"/>
    </row>
    <row r="95" spans="1:6" ht="14.25" thickBot="1">
      <c r="A95" s="779" t="s">
        <v>522</v>
      </c>
      <c r="B95" s="773" t="s">
        <v>384</v>
      </c>
      <c r="C95" s="959">
        <v>9.9000000000000005E-2</v>
      </c>
      <c r="D95" s="959">
        <v>9.4E-2</v>
      </c>
      <c r="E95" s="959">
        <v>9.6000000000000002E-2</v>
      </c>
      <c r="F95" s="971"/>
    </row>
    <row r="96" spans="1:6" ht="14.25" thickBot="1">
      <c r="A96" s="779" t="s">
        <v>522</v>
      </c>
      <c r="B96" s="773" t="s">
        <v>393</v>
      </c>
      <c r="C96" s="959">
        <v>9.9000000000000005E-2</v>
      </c>
      <c r="D96" s="959">
        <v>9.9000000000000005E-2</v>
      </c>
      <c r="E96" s="959">
        <v>9.9000000000000005E-2</v>
      </c>
      <c r="F96" s="971"/>
    </row>
    <row r="97" spans="1:6" ht="14.25" thickBot="1">
      <c r="A97" s="779" t="s">
        <v>522</v>
      </c>
      <c r="B97" s="773" t="s">
        <v>401</v>
      </c>
      <c r="C97" s="959">
        <v>9.8000000000000004E-2</v>
      </c>
      <c r="D97" s="959">
        <v>9.8000000000000004E-2</v>
      </c>
      <c r="E97" s="959">
        <v>9.7000000000000003E-2</v>
      </c>
      <c r="F97" s="971"/>
    </row>
    <row r="98" spans="1:6" ht="14.25" thickBot="1">
      <c r="A98" s="779" t="s">
        <v>522</v>
      </c>
      <c r="B98" s="773" t="s">
        <v>408</v>
      </c>
      <c r="C98" s="959">
        <v>0.1</v>
      </c>
      <c r="D98" s="959">
        <v>0.1</v>
      </c>
      <c r="E98" s="959">
        <v>9.7000000000000003E-2</v>
      </c>
      <c r="F98" s="971"/>
    </row>
    <row r="99" spans="1:6" ht="14.25" thickBot="1">
      <c r="A99" s="779" t="s">
        <v>522</v>
      </c>
      <c r="B99" s="773" t="s">
        <v>415</v>
      </c>
      <c r="C99" s="959">
        <v>0.1</v>
      </c>
      <c r="D99" s="959">
        <v>0.1</v>
      </c>
      <c r="E99" s="972"/>
      <c r="F99" s="971"/>
    </row>
    <row r="100" spans="1:6" ht="14.25" thickBot="1">
      <c r="A100" s="779" t="s">
        <v>522</v>
      </c>
      <c r="B100" s="773" t="s">
        <v>422</v>
      </c>
      <c r="C100" s="959">
        <v>0.09</v>
      </c>
      <c r="D100" s="959">
        <v>8.8999999999999996E-2</v>
      </c>
      <c r="E100" s="972"/>
      <c r="F100" s="971"/>
    </row>
    <row r="101" spans="1:6" ht="14.25" thickBot="1">
      <c r="A101" s="779" t="s">
        <v>522</v>
      </c>
      <c r="B101" s="773" t="s">
        <v>429</v>
      </c>
      <c r="C101" s="959">
        <v>9.8000000000000004E-2</v>
      </c>
      <c r="D101" s="959">
        <v>9.7000000000000003E-2</v>
      </c>
      <c r="E101" s="972"/>
      <c r="F101" s="971"/>
    </row>
    <row r="102" spans="1:6" ht="14.25" thickBot="1">
      <c r="A102" s="779" t="s">
        <v>522</v>
      </c>
      <c r="B102" s="773" t="s">
        <v>677</v>
      </c>
      <c r="C102" s="972"/>
      <c r="D102" s="972"/>
      <c r="E102" s="972"/>
      <c r="F102" s="960">
        <v>0.05</v>
      </c>
    </row>
    <row r="103" spans="1:6" ht="24.75" thickBot="1">
      <c r="A103" s="779" t="s">
        <v>522</v>
      </c>
      <c r="B103" s="773" t="s">
        <v>678</v>
      </c>
      <c r="C103" s="972"/>
      <c r="D103" s="972"/>
      <c r="E103" s="972"/>
      <c r="F103" s="960">
        <v>0.05</v>
      </c>
    </row>
    <row r="104" spans="1:6" ht="14.25" thickBot="1">
      <c r="A104" s="779" t="s">
        <v>522</v>
      </c>
      <c r="B104" s="773" t="s">
        <v>679</v>
      </c>
      <c r="C104" s="972"/>
      <c r="D104" s="972"/>
      <c r="E104" s="972"/>
      <c r="F104" s="960">
        <v>0.05</v>
      </c>
    </row>
    <row r="105" spans="1:6" ht="14.25" thickBot="1">
      <c r="A105" s="779" t="s">
        <v>522</v>
      </c>
      <c r="B105" s="773" t="s">
        <v>680</v>
      </c>
      <c r="C105" s="972"/>
      <c r="D105" s="972"/>
      <c r="E105" s="972"/>
      <c r="F105" s="960">
        <v>0.05</v>
      </c>
    </row>
    <row r="106" spans="1:6" ht="14.25" thickBot="1">
      <c r="A106" s="779" t="s">
        <v>522</v>
      </c>
      <c r="B106" s="773" t="s">
        <v>681</v>
      </c>
      <c r="C106" s="972"/>
      <c r="D106" s="972"/>
      <c r="E106" s="972"/>
      <c r="F106" s="960">
        <v>0.05</v>
      </c>
    </row>
    <row r="107" spans="1:6" ht="24.75" thickBot="1">
      <c r="A107" s="779" t="s">
        <v>522</v>
      </c>
      <c r="B107" s="773" t="s">
        <v>682</v>
      </c>
      <c r="C107" s="972"/>
      <c r="D107" s="972"/>
      <c r="E107" s="972"/>
      <c r="F107" s="960">
        <v>0.05</v>
      </c>
    </row>
    <row r="108" spans="1:6" ht="24.75" thickBot="1">
      <c r="A108" s="779" t="s">
        <v>522</v>
      </c>
      <c r="B108" s="773" t="s">
        <v>683</v>
      </c>
      <c r="C108" s="972"/>
      <c r="D108" s="972"/>
      <c r="E108" s="972"/>
      <c r="F108" s="960">
        <v>0.05</v>
      </c>
    </row>
    <row r="109" spans="1:6" ht="24.75" thickBot="1">
      <c r="A109" s="789" t="s">
        <v>522</v>
      </c>
      <c r="B109" s="785" t="s">
        <v>684</v>
      </c>
      <c r="C109" s="969"/>
      <c r="D109" s="969"/>
      <c r="E109" s="969"/>
      <c r="F109" s="962">
        <v>0.05</v>
      </c>
    </row>
    <row r="110" spans="1:6" ht="14.25" thickBot="1">
      <c r="A110" s="779" t="s">
        <v>56</v>
      </c>
      <c r="B110" s="780" t="s">
        <v>685</v>
      </c>
      <c r="C110" s="957">
        <v>0.129</v>
      </c>
      <c r="D110" s="957">
        <v>0.129</v>
      </c>
      <c r="E110" s="957">
        <v>0.126</v>
      </c>
      <c r="F110" s="958">
        <v>0.13</v>
      </c>
    </row>
    <row r="111" spans="1:6" ht="14.25" thickBot="1">
      <c r="A111" s="779" t="s">
        <v>56</v>
      </c>
      <c r="B111" s="773" t="s">
        <v>191</v>
      </c>
      <c r="C111" s="959">
        <v>0.11</v>
      </c>
      <c r="D111" s="959">
        <v>0.11</v>
      </c>
      <c r="E111" s="959">
        <v>9.9000000000000005E-2</v>
      </c>
      <c r="F111" s="960">
        <v>0.128</v>
      </c>
    </row>
    <row r="112" spans="1:6" ht="14.25" thickBot="1">
      <c r="A112" s="779" t="s">
        <v>56</v>
      </c>
      <c r="B112" s="773" t="s">
        <v>204</v>
      </c>
      <c r="C112" s="959">
        <v>0.125</v>
      </c>
      <c r="D112" s="959">
        <v>0.125</v>
      </c>
      <c r="E112" s="959">
        <v>0.12</v>
      </c>
      <c r="F112" s="960">
        <v>0.125</v>
      </c>
    </row>
    <row r="113" spans="1:6" ht="14.25" thickBot="1">
      <c r="A113" s="779" t="s">
        <v>56</v>
      </c>
      <c r="B113" s="773" t="s">
        <v>217</v>
      </c>
      <c r="C113" s="959">
        <v>0.13</v>
      </c>
      <c r="D113" s="959">
        <v>0.13</v>
      </c>
      <c r="E113" s="959">
        <v>0.13</v>
      </c>
      <c r="F113" s="960">
        <v>0.13</v>
      </c>
    </row>
    <row r="114" spans="1:6" ht="14.25" thickBot="1">
      <c r="A114" s="779" t="s">
        <v>56</v>
      </c>
      <c r="B114" s="773" t="s">
        <v>229</v>
      </c>
      <c r="C114" s="959">
        <v>0.123</v>
      </c>
      <c r="D114" s="959">
        <v>0.123</v>
      </c>
      <c r="E114" s="959">
        <v>0.12</v>
      </c>
      <c r="F114" s="960">
        <v>0.13</v>
      </c>
    </row>
    <row r="115" spans="1:6" ht="14.25" thickBot="1">
      <c r="A115" s="779" t="s">
        <v>56</v>
      </c>
      <c r="B115" s="773" t="s">
        <v>240</v>
      </c>
      <c r="C115" s="959">
        <v>0.125</v>
      </c>
      <c r="D115" s="959">
        <v>0.125</v>
      </c>
      <c r="E115" s="959">
        <v>0.11700000000000001</v>
      </c>
      <c r="F115" s="960">
        <v>0.13</v>
      </c>
    </row>
    <row r="116" spans="1:6" ht="14.25" thickBot="1">
      <c r="A116" s="779" t="s">
        <v>56</v>
      </c>
      <c r="B116" s="773" t="s">
        <v>251</v>
      </c>
      <c r="C116" s="959">
        <v>0.11700000000000001</v>
      </c>
      <c r="D116" s="959">
        <v>0.11700000000000001</v>
      </c>
      <c r="E116" s="959">
        <v>8.7999999999999995E-2</v>
      </c>
      <c r="F116" s="960">
        <v>0.13</v>
      </c>
    </row>
    <row r="117" spans="1:6" ht="14.25" thickBot="1">
      <c r="A117" s="779" t="s">
        <v>56</v>
      </c>
      <c r="B117" s="773" t="s">
        <v>262</v>
      </c>
      <c r="C117" s="959">
        <v>0.13</v>
      </c>
      <c r="D117" s="959">
        <v>0.13</v>
      </c>
      <c r="E117" s="959">
        <v>0.129</v>
      </c>
      <c r="F117" s="960">
        <v>0.13</v>
      </c>
    </row>
    <row r="118" spans="1:6" ht="14.25" thickBot="1">
      <c r="A118" s="779" t="s">
        <v>56</v>
      </c>
      <c r="B118" s="773" t="s">
        <v>274</v>
      </c>
      <c r="C118" s="959">
        <v>0.123</v>
      </c>
      <c r="D118" s="959">
        <v>0.123</v>
      </c>
      <c r="E118" s="959">
        <v>0.11600000000000001</v>
      </c>
      <c r="F118" s="960">
        <v>0.13</v>
      </c>
    </row>
    <row r="119" spans="1:6" ht="14.25" thickBot="1">
      <c r="A119" s="779" t="s">
        <v>56</v>
      </c>
      <c r="B119" s="773" t="s">
        <v>284</v>
      </c>
      <c r="C119" s="959">
        <v>0.127</v>
      </c>
      <c r="D119" s="959">
        <v>0.127</v>
      </c>
      <c r="E119" s="959">
        <v>0.124</v>
      </c>
      <c r="F119" s="960">
        <v>0.13</v>
      </c>
    </row>
    <row r="120" spans="1:6" ht="14.25" thickBot="1">
      <c r="A120" s="779" t="s">
        <v>56</v>
      </c>
      <c r="B120" s="773" t="s">
        <v>294</v>
      </c>
      <c r="C120" s="959">
        <v>0.125</v>
      </c>
      <c r="D120" s="959">
        <v>0.125</v>
      </c>
      <c r="E120" s="959">
        <v>0.122</v>
      </c>
      <c r="F120" s="960">
        <v>0.13</v>
      </c>
    </row>
    <row r="121" spans="1:6" ht="14.25" thickBot="1">
      <c r="A121" s="779" t="s">
        <v>56</v>
      </c>
      <c r="B121" s="773" t="s">
        <v>304</v>
      </c>
      <c r="C121" s="959">
        <v>0.13</v>
      </c>
      <c r="D121" s="959">
        <v>0.13</v>
      </c>
      <c r="E121" s="959">
        <v>0.13</v>
      </c>
      <c r="F121" s="960">
        <v>0.13</v>
      </c>
    </row>
    <row r="122" spans="1:6" ht="14.25" thickBot="1">
      <c r="A122" s="779" t="s">
        <v>56</v>
      </c>
      <c r="B122" s="773" t="s">
        <v>314</v>
      </c>
      <c r="C122" s="959">
        <v>0.13</v>
      </c>
      <c r="D122" s="959">
        <v>0.13</v>
      </c>
      <c r="E122" s="959">
        <v>0.125</v>
      </c>
      <c r="F122" s="960">
        <v>0.13</v>
      </c>
    </row>
    <row r="123" spans="1:6" ht="14.25" thickBot="1">
      <c r="A123" s="779" t="s">
        <v>56</v>
      </c>
      <c r="B123" s="773" t="s">
        <v>325</v>
      </c>
      <c r="C123" s="959">
        <v>0.129</v>
      </c>
      <c r="D123" s="959">
        <v>0.129</v>
      </c>
      <c r="E123" s="959">
        <v>0.123</v>
      </c>
      <c r="F123" s="960">
        <v>0.13</v>
      </c>
    </row>
    <row r="124" spans="1:6" ht="14.25" thickBot="1">
      <c r="A124" s="779" t="s">
        <v>56</v>
      </c>
      <c r="B124" s="773" t="s">
        <v>336</v>
      </c>
      <c r="C124" s="959">
        <v>0.10199999999999999</v>
      </c>
      <c r="D124" s="959">
        <v>0.10100000000000001</v>
      </c>
      <c r="E124" s="959">
        <v>0.08</v>
      </c>
      <c r="F124" s="971"/>
    </row>
    <row r="125" spans="1:6" ht="14.25" thickBot="1">
      <c r="A125" s="779" t="s">
        <v>56</v>
      </c>
      <c r="B125" s="773" t="s">
        <v>346</v>
      </c>
      <c r="C125" s="959">
        <v>0.13</v>
      </c>
      <c r="D125" s="959">
        <v>0.13</v>
      </c>
      <c r="E125" s="959">
        <v>0.129</v>
      </c>
      <c r="F125" s="971"/>
    </row>
    <row r="126" spans="1:6" ht="14.25" thickBot="1">
      <c r="A126" s="779" t="s">
        <v>56</v>
      </c>
      <c r="B126" s="773" t="s">
        <v>356</v>
      </c>
      <c r="C126" s="959">
        <v>0.13</v>
      </c>
      <c r="D126" s="959">
        <v>0.13</v>
      </c>
      <c r="E126" s="959">
        <v>0.126</v>
      </c>
      <c r="F126" s="971"/>
    </row>
    <row r="127" spans="1:6" ht="14.25" thickBot="1">
      <c r="A127" s="779" t="s">
        <v>56</v>
      </c>
      <c r="B127" s="773" t="s">
        <v>366</v>
      </c>
      <c r="C127" s="959">
        <v>0.125</v>
      </c>
      <c r="D127" s="959">
        <v>0.125</v>
      </c>
      <c r="E127" s="959">
        <v>0.121</v>
      </c>
      <c r="F127" s="971"/>
    </row>
    <row r="128" spans="1:6" ht="14.25" thickBot="1">
      <c r="A128" s="779" t="s">
        <v>56</v>
      </c>
      <c r="B128" s="773" t="s">
        <v>376</v>
      </c>
      <c r="C128" s="959">
        <v>0.12</v>
      </c>
      <c r="D128" s="959">
        <v>0.12</v>
      </c>
      <c r="E128" s="959">
        <v>0.105</v>
      </c>
      <c r="F128" s="971"/>
    </row>
    <row r="129" spans="1:6" ht="14.25" thickBot="1">
      <c r="A129" s="779" t="s">
        <v>56</v>
      </c>
      <c r="B129" s="773" t="s">
        <v>385</v>
      </c>
      <c r="C129" s="959">
        <v>0.13</v>
      </c>
      <c r="D129" s="959">
        <v>0.13</v>
      </c>
      <c r="E129" s="959">
        <v>0.126</v>
      </c>
      <c r="F129" s="971"/>
    </row>
    <row r="130" spans="1:6" ht="14.25" thickBot="1">
      <c r="A130" s="779" t="s">
        <v>56</v>
      </c>
      <c r="B130" s="773" t="s">
        <v>394</v>
      </c>
      <c r="C130" s="959">
        <v>0.125</v>
      </c>
      <c r="D130" s="959">
        <v>0.125</v>
      </c>
      <c r="E130" s="959">
        <v>0.122</v>
      </c>
      <c r="F130" s="971"/>
    </row>
    <row r="131" spans="1:6" ht="14.25" thickBot="1">
      <c r="A131" s="779" t="s">
        <v>56</v>
      </c>
      <c r="B131" s="773" t="s">
        <v>402</v>
      </c>
      <c r="C131" s="959">
        <v>0.127</v>
      </c>
      <c r="D131" s="959">
        <v>0.126</v>
      </c>
      <c r="E131" s="959">
        <v>0.123</v>
      </c>
      <c r="F131" s="971"/>
    </row>
    <row r="132" spans="1:6" ht="14.25" thickBot="1">
      <c r="A132" s="779" t="s">
        <v>56</v>
      </c>
      <c r="B132" s="773" t="s">
        <v>409</v>
      </c>
      <c r="C132" s="959">
        <v>9.0999999999999998E-2</v>
      </c>
      <c r="D132" s="959">
        <v>0.121</v>
      </c>
      <c r="E132" s="959">
        <v>9.9000000000000005E-2</v>
      </c>
      <c r="F132" s="971"/>
    </row>
    <row r="133" spans="1:6" ht="14.25" thickBot="1">
      <c r="A133" s="779" t="s">
        <v>56</v>
      </c>
      <c r="B133" s="773" t="s">
        <v>416</v>
      </c>
      <c r="C133" s="959">
        <v>0.13</v>
      </c>
      <c r="D133" s="959">
        <v>0.13</v>
      </c>
      <c r="E133" s="959">
        <v>0.129</v>
      </c>
      <c r="F133" s="971"/>
    </row>
    <row r="134" spans="1:6" ht="14.25" thickBot="1">
      <c r="A134" s="779" t="s">
        <v>56</v>
      </c>
      <c r="B134" s="773" t="s">
        <v>686</v>
      </c>
      <c r="C134" s="959">
        <v>6.8000000000000005E-2</v>
      </c>
      <c r="D134" s="959">
        <v>6.5000000000000002E-2</v>
      </c>
      <c r="E134" s="959">
        <v>6.5000000000000002E-2</v>
      </c>
      <c r="F134" s="960">
        <v>0.13</v>
      </c>
    </row>
    <row r="135" spans="1:6" ht="14.25" thickBot="1">
      <c r="A135" s="779" t="s">
        <v>56</v>
      </c>
      <c r="B135" s="773" t="s">
        <v>430</v>
      </c>
      <c r="C135" s="959">
        <v>0.123</v>
      </c>
      <c r="D135" s="959">
        <v>0.123</v>
      </c>
      <c r="E135" s="959">
        <v>0.11</v>
      </c>
      <c r="F135" s="971"/>
    </row>
    <row r="136" spans="1:6" ht="14.25" thickBot="1">
      <c r="A136" s="779" t="s">
        <v>56</v>
      </c>
      <c r="B136" s="773" t="s">
        <v>437</v>
      </c>
      <c r="C136" s="959">
        <v>0.13</v>
      </c>
      <c r="D136" s="959">
        <v>0.13</v>
      </c>
      <c r="E136" s="959">
        <v>0.125</v>
      </c>
      <c r="F136" s="971"/>
    </row>
    <row r="137" spans="1:6" ht="14.25" thickBot="1">
      <c r="A137" s="779" t="s">
        <v>56</v>
      </c>
      <c r="B137" s="773" t="s">
        <v>444</v>
      </c>
      <c r="C137" s="959">
        <v>0.121</v>
      </c>
      <c r="D137" s="959">
        <v>0.122</v>
      </c>
      <c r="E137" s="959">
        <v>0.115</v>
      </c>
      <c r="F137" s="971"/>
    </row>
    <row r="138" spans="1:6" ht="14.25" thickBot="1">
      <c r="A138" s="779" t="s">
        <v>56</v>
      </c>
      <c r="B138" s="773" t="s">
        <v>687</v>
      </c>
      <c r="C138" s="959">
        <v>0.105</v>
      </c>
      <c r="D138" s="959">
        <v>0.125</v>
      </c>
      <c r="E138" s="959">
        <v>0.112</v>
      </c>
      <c r="F138" s="971"/>
    </row>
    <row r="139" spans="1:6" ht="14.25" thickBot="1">
      <c r="A139" s="779" t="s">
        <v>56</v>
      </c>
      <c r="B139" s="773" t="s">
        <v>688</v>
      </c>
      <c r="C139" s="959">
        <v>0.127</v>
      </c>
      <c r="D139" s="959">
        <v>0.127</v>
      </c>
      <c r="E139" s="959">
        <v>0.122</v>
      </c>
      <c r="F139" s="960">
        <v>0.13</v>
      </c>
    </row>
    <row r="140" spans="1:6" ht="14.25" thickBot="1">
      <c r="A140" s="779" t="s">
        <v>56</v>
      </c>
      <c r="B140" s="773" t="s">
        <v>689</v>
      </c>
      <c r="C140" s="959">
        <v>0.125</v>
      </c>
      <c r="D140" s="959">
        <v>0.125</v>
      </c>
      <c r="E140" s="959">
        <v>0.11899999999999999</v>
      </c>
      <c r="F140" s="960">
        <v>0.13</v>
      </c>
    </row>
    <row r="141" spans="1:6" ht="14.25" thickBot="1">
      <c r="A141" s="779" t="s">
        <v>56</v>
      </c>
      <c r="B141" s="773" t="s">
        <v>463</v>
      </c>
      <c r="C141" s="959">
        <v>0.125</v>
      </c>
      <c r="D141" s="959">
        <v>0.125</v>
      </c>
      <c r="E141" s="959">
        <v>0.11700000000000001</v>
      </c>
      <c r="F141" s="971"/>
    </row>
    <row r="142" spans="1:6" ht="14.25" thickBot="1">
      <c r="A142" s="779" t="s">
        <v>56</v>
      </c>
      <c r="B142" s="773" t="s">
        <v>468</v>
      </c>
      <c r="C142" s="959">
        <v>0.125</v>
      </c>
      <c r="D142" s="959">
        <v>0.125</v>
      </c>
      <c r="E142" s="959">
        <v>0.115</v>
      </c>
      <c r="F142" s="971"/>
    </row>
    <row r="143" spans="1:6" ht="14.25" thickBot="1">
      <c r="A143" s="779" t="s">
        <v>56</v>
      </c>
      <c r="B143" s="773" t="s">
        <v>473</v>
      </c>
      <c r="C143" s="959">
        <v>0.121</v>
      </c>
      <c r="D143" s="959">
        <v>0.121</v>
      </c>
      <c r="E143" s="959">
        <v>0.108</v>
      </c>
      <c r="F143" s="971"/>
    </row>
    <row r="144" spans="1:6" ht="14.25" thickBot="1">
      <c r="A144" s="779" t="s">
        <v>56</v>
      </c>
      <c r="B144" s="963" t="s">
        <v>690</v>
      </c>
      <c r="C144" s="964">
        <v>0.126</v>
      </c>
      <c r="D144" s="964">
        <v>0.126</v>
      </c>
      <c r="E144" s="964">
        <v>0.121</v>
      </c>
      <c r="F144" s="971"/>
    </row>
    <row r="145" spans="1:6" ht="14.25" thickBot="1">
      <c r="A145" s="789" t="s">
        <v>56</v>
      </c>
      <c r="B145" s="965" t="s">
        <v>691</v>
      </c>
      <c r="C145" s="973"/>
      <c r="D145" s="973"/>
      <c r="E145" s="973"/>
      <c r="F145" s="966">
        <v>0.05</v>
      </c>
    </row>
    <row r="146" spans="1:6" ht="24.75" thickBot="1">
      <c r="A146" s="967" t="s">
        <v>56</v>
      </c>
      <c r="B146" s="783" t="s">
        <v>692</v>
      </c>
      <c r="C146" s="972"/>
      <c r="D146" s="972"/>
      <c r="E146" s="972"/>
      <c r="F146" s="968">
        <v>0.05</v>
      </c>
    </row>
    <row r="147" spans="1:6" ht="24.75" thickBot="1">
      <c r="A147" s="779" t="s">
        <v>56</v>
      </c>
      <c r="B147" s="773" t="s">
        <v>693</v>
      </c>
      <c r="C147" s="972"/>
      <c r="D147" s="972"/>
      <c r="E147" s="972"/>
      <c r="F147" s="960">
        <v>0.05</v>
      </c>
    </row>
    <row r="148" spans="1:6" ht="24.75" thickBot="1">
      <c r="A148" s="779" t="s">
        <v>56</v>
      </c>
      <c r="B148" s="773" t="s">
        <v>694</v>
      </c>
      <c r="C148" s="972"/>
      <c r="D148" s="972"/>
      <c r="E148" s="972"/>
      <c r="F148" s="960">
        <v>0.05</v>
      </c>
    </row>
    <row r="149" spans="1:6" ht="24.75" thickBot="1">
      <c r="A149" s="779" t="s">
        <v>56</v>
      </c>
      <c r="B149" s="773" t="s">
        <v>695</v>
      </c>
      <c r="C149" s="972"/>
      <c r="D149" s="972"/>
      <c r="E149" s="972"/>
      <c r="F149" s="960">
        <v>0.05</v>
      </c>
    </row>
    <row r="150" spans="1:6" ht="24.75" thickBot="1">
      <c r="A150" s="779" t="s">
        <v>56</v>
      </c>
      <c r="B150" s="773" t="s">
        <v>696</v>
      </c>
      <c r="C150" s="972"/>
      <c r="D150" s="972"/>
      <c r="E150" s="972"/>
      <c r="F150" s="960">
        <v>0.05</v>
      </c>
    </row>
    <row r="151" spans="1:6" ht="24.75" thickBot="1">
      <c r="A151" s="779" t="s">
        <v>56</v>
      </c>
      <c r="B151" s="773" t="s">
        <v>697</v>
      </c>
      <c r="C151" s="972"/>
      <c r="D151" s="972"/>
      <c r="E151" s="972"/>
      <c r="F151" s="960">
        <v>0.05</v>
      </c>
    </row>
    <row r="152" spans="1:6" ht="24.75" thickBot="1">
      <c r="A152" s="779" t="s">
        <v>56</v>
      </c>
      <c r="B152" s="773" t="s">
        <v>506</v>
      </c>
      <c r="C152" s="972"/>
      <c r="D152" s="972"/>
      <c r="E152" s="972"/>
      <c r="F152" s="960">
        <v>0.05</v>
      </c>
    </row>
    <row r="153" spans="1:6" ht="14.25" thickBot="1">
      <c r="A153" s="779" t="s">
        <v>56</v>
      </c>
      <c r="B153" s="773" t="s">
        <v>698</v>
      </c>
      <c r="C153" s="972"/>
      <c r="D153" s="972"/>
      <c r="E153" s="972"/>
      <c r="F153" s="960">
        <v>0.05</v>
      </c>
    </row>
    <row r="154" spans="1:6" ht="14.25" thickBot="1">
      <c r="A154" s="779" t="s">
        <v>56</v>
      </c>
      <c r="B154" s="773" t="s">
        <v>699</v>
      </c>
      <c r="C154" s="972"/>
      <c r="D154" s="972"/>
      <c r="E154" s="972"/>
      <c r="F154" s="960">
        <v>0.05</v>
      </c>
    </row>
    <row r="155" spans="1:6" ht="24.75" thickBot="1">
      <c r="A155" s="779" t="s">
        <v>56</v>
      </c>
      <c r="B155" s="773" t="s">
        <v>700</v>
      </c>
      <c r="C155" s="972"/>
      <c r="D155" s="972"/>
      <c r="E155" s="972"/>
      <c r="F155" s="960">
        <v>0.05</v>
      </c>
    </row>
    <row r="156" spans="1:6" ht="24.75" thickBot="1">
      <c r="A156" s="779" t="s">
        <v>56</v>
      </c>
      <c r="B156" s="773" t="s">
        <v>701</v>
      </c>
      <c r="C156" s="972"/>
      <c r="D156" s="972"/>
      <c r="E156" s="972"/>
      <c r="F156" s="960">
        <v>0.05</v>
      </c>
    </row>
    <row r="157" spans="1:6" ht="14.25" thickBot="1">
      <c r="A157" s="789" t="s">
        <v>56</v>
      </c>
      <c r="B157" s="785" t="s">
        <v>702</v>
      </c>
      <c r="C157" s="969"/>
      <c r="D157" s="969"/>
      <c r="E157" s="969"/>
      <c r="F157" s="962">
        <v>0.05</v>
      </c>
    </row>
    <row r="158" spans="1:6" ht="14.25" thickBot="1">
      <c r="A158" s="779" t="s">
        <v>525</v>
      </c>
      <c r="B158" s="780" t="s">
        <v>703</v>
      </c>
      <c r="C158" s="957">
        <v>0.13</v>
      </c>
      <c r="D158" s="957">
        <v>0.13</v>
      </c>
      <c r="E158" s="957">
        <v>0.13</v>
      </c>
      <c r="F158" s="958">
        <v>0.13</v>
      </c>
    </row>
    <row r="159" spans="1:6" ht="14.25" thickBot="1">
      <c r="A159" s="779" t="s">
        <v>525</v>
      </c>
      <c r="B159" s="773" t="s">
        <v>192</v>
      </c>
      <c r="C159" s="959">
        <v>0.13</v>
      </c>
      <c r="D159" s="959">
        <v>0.13</v>
      </c>
      <c r="E159" s="959">
        <v>0.13</v>
      </c>
      <c r="F159" s="960">
        <v>0.13</v>
      </c>
    </row>
    <row r="160" spans="1:6" ht="14.25" thickBot="1">
      <c r="A160" s="779" t="s">
        <v>525</v>
      </c>
      <c r="B160" s="773" t="s">
        <v>205</v>
      </c>
      <c r="C160" s="959">
        <v>0.13</v>
      </c>
      <c r="D160" s="959">
        <v>0.13</v>
      </c>
      <c r="E160" s="959">
        <v>0.129</v>
      </c>
      <c r="F160" s="960">
        <v>0.13</v>
      </c>
    </row>
    <row r="161" spans="1:6" ht="14.25" thickBot="1">
      <c r="A161" s="779" t="s">
        <v>525</v>
      </c>
      <c r="B161" s="773" t="s">
        <v>218</v>
      </c>
      <c r="C161" s="959">
        <v>0.128</v>
      </c>
      <c r="D161" s="959">
        <v>0.128</v>
      </c>
      <c r="E161" s="959">
        <v>0.125</v>
      </c>
      <c r="F161" s="960">
        <v>0.13</v>
      </c>
    </row>
    <row r="162" spans="1:6" ht="14.25" thickBot="1">
      <c r="A162" s="779" t="s">
        <v>525</v>
      </c>
      <c r="B162" s="773" t="s">
        <v>230</v>
      </c>
      <c r="C162" s="959">
        <v>0.122</v>
      </c>
      <c r="D162" s="959">
        <v>0.122</v>
      </c>
      <c r="E162" s="959">
        <v>0.126</v>
      </c>
      <c r="F162" s="960">
        <v>0.122</v>
      </c>
    </row>
    <row r="163" spans="1:6" ht="14.25" thickBot="1">
      <c r="A163" s="779" t="s">
        <v>525</v>
      </c>
      <c r="B163" s="773" t="s">
        <v>241</v>
      </c>
      <c r="C163" s="959">
        <v>0.13</v>
      </c>
      <c r="D163" s="959">
        <v>0.13</v>
      </c>
      <c r="E163" s="959">
        <v>0.125</v>
      </c>
      <c r="F163" s="960">
        <v>0.13</v>
      </c>
    </row>
    <row r="164" spans="1:6" ht="14.25" thickBot="1">
      <c r="A164" s="779" t="s">
        <v>525</v>
      </c>
      <c r="B164" s="773" t="s">
        <v>252</v>
      </c>
      <c r="C164" s="959">
        <v>0.13</v>
      </c>
      <c r="D164" s="959">
        <v>0.13</v>
      </c>
      <c r="E164" s="959">
        <v>0.13</v>
      </c>
      <c r="F164" s="960">
        <v>0.13</v>
      </c>
    </row>
    <row r="165" spans="1:6" ht="14.25" thickBot="1">
      <c r="A165" s="779" t="s">
        <v>525</v>
      </c>
      <c r="B165" s="773" t="s">
        <v>263</v>
      </c>
      <c r="C165" s="959">
        <v>0.13</v>
      </c>
      <c r="D165" s="959">
        <v>0.13</v>
      </c>
      <c r="E165" s="959">
        <v>0.124</v>
      </c>
      <c r="F165" s="960">
        <v>0.13</v>
      </c>
    </row>
    <row r="166" spans="1:6" ht="14.25" thickBot="1">
      <c r="A166" s="779" t="s">
        <v>525</v>
      </c>
      <c r="B166" s="773" t="s">
        <v>275</v>
      </c>
      <c r="C166" s="959">
        <v>0.13</v>
      </c>
      <c r="D166" s="959">
        <v>0.13</v>
      </c>
      <c r="E166" s="959">
        <v>0.13</v>
      </c>
      <c r="F166" s="960">
        <v>0.13</v>
      </c>
    </row>
    <row r="167" spans="1:6" ht="14.25" thickBot="1">
      <c r="A167" s="779" t="s">
        <v>525</v>
      </c>
      <c r="B167" s="773" t="s">
        <v>285</v>
      </c>
      <c r="C167" s="959">
        <v>0.125</v>
      </c>
      <c r="D167" s="959">
        <v>0.125</v>
      </c>
      <c r="E167" s="959">
        <v>0.121</v>
      </c>
      <c r="F167" s="971"/>
    </row>
    <row r="168" spans="1:6" ht="14.25" thickBot="1">
      <c r="A168" s="779" t="s">
        <v>525</v>
      </c>
      <c r="B168" s="773" t="s">
        <v>295</v>
      </c>
      <c r="C168" s="959">
        <v>0.13</v>
      </c>
      <c r="D168" s="959">
        <v>0.13</v>
      </c>
      <c r="E168" s="959">
        <v>0.126</v>
      </c>
      <c r="F168" s="971"/>
    </row>
    <row r="169" spans="1:6" ht="14.25" thickBot="1">
      <c r="A169" s="779" t="s">
        <v>525</v>
      </c>
      <c r="B169" s="773" t="s">
        <v>305</v>
      </c>
      <c r="C169" s="959">
        <v>0.128</v>
      </c>
      <c r="D169" s="959">
        <v>0.129</v>
      </c>
      <c r="E169" s="959">
        <v>0.13</v>
      </c>
      <c r="F169" s="971"/>
    </row>
    <row r="170" spans="1:6" ht="14.25" thickBot="1">
      <c r="A170" s="779" t="s">
        <v>525</v>
      </c>
      <c r="B170" s="773" t="s">
        <v>315</v>
      </c>
      <c r="C170" s="959">
        <v>0.14099999999999999</v>
      </c>
      <c r="D170" s="959">
        <v>0.13</v>
      </c>
      <c r="E170" s="959">
        <v>0.125</v>
      </c>
      <c r="F170" s="971"/>
    </row>
    <row r="171" spans="1:6" ht="14.25" thickBot="1">
      <c r="A171" s="779" t="s">
        <v>525</v>
      </c>
      <c r="B171" s="773" t="s">
        <v>704</v>
      </c>
      <c r="C171" s="959">
        <v>0.127</v>
      </c>
      <c r="D171" s="959">
        <v>0.126</v>
      </c>
      <c r="E171" s="959">
        <v>0.126</v>
      </c>
      <c r="F171" s="960">
        <v>0.11799999999999999</v>
      </c>
    </row>
    <row r="172" spans="1:6" ht="14.25" thickBot="1">
      <c r="A172" s="779" t="s">
        <v>525</v>
      </c>
      <c r="B172" s="773" t="s">
        <v>705</v>
      </c>
      <c r="C172" s="959">
        <v>0.13</v>
      </c>
      <c r="D172" s="959">
        <v>0.13</v>
      </c>
      <c r="E172" s="959">
        <v>0.13</v>
      </c>
      <c r="F172" s="971"/>
    </row>
    <row r="173" spans="1:6" ht="14.25" thickBot="1">
      <c r="A173" s="779" t="s">
        <v>525</v>
      </c>
      <c r="B173" s="773" t="s">
        <v>347</v>
      </c>
      <c r="C173" s="959">
        <v>0.13</v>
      </c>
      <c r="D173" s="959">
        <v>0.13</v>
      </c>
      <c r="E173" s="959">
        <v>0.13</v>
      </c>
      <c r="F173" s="971"/>
    </row>
    <row r="174" spans="1:6" ht="14.25" thickBot="1">
      <c r="A174" s="779" t="s">
        <v>525</v>
      </c>
      <c r="B174" s="773" t="s">
        <v>706</v>
      </c>
      <c r="C174" s="959">
        <v>0.13</v>
      </c>
      <c r="D174" s="959">
        <v>0.13</v>
      </c>
      <c r="E174" s="959">
        <v>0.13</v>
      </c>
      <c r="F174" s="960">
        <v>0.13</v>
      </c>
    </row>
    <row r="175" spans="1:6" ht="14.25" thickBot="1">
      <c r="A175" s="779" t="s">
        <v>525</v>
      </c>
      <c r="B175" s="773" t="s">
        <v>707</v>
      </c>
      <c r="C175" s="959">
        <v>0.13</v>
      </c>
      <c r="D175" s="959">
        <v>0.13</v>
      </c>
      <c r="E175" s="959">
        <v>0.13</v>
      </c>
      <c r="F175" s="960">
        <v>0.13</v>
      </c>
    </row>
    <row r="176" spans="1:6" ht="14.25" thickBot="1">
      <c r="A176" s="779" t="s">
        <v>525</v>
      </c>
      <c r="B176" s="773" t="s">
        <v>377</v>
      </c>
      <c r="C176" s="959">
        <v>0.13</v>
      </c>
      <c r="D176" s="959">
        <v>0.13</v>
      </c>
      <c r="E176" s="959">
        <v>0.13</v>
      </c>
      <c r="F176" s="960">
        <v>0.13</v>
      </c>
    </row>
    <row r="177" spans="1:6" ht="14.25" thickBot="1">
      <c r="A177" s="779" t="s">
        <v>525</v>
      </c>
      <c r="B177" s="773" t="s">
        <v>708</v>
      </c>
      <c r="C177" s="959">
        <v>0.13</v>
      </c>
      <c r="D177" s="959">
        <v>0.13</v>
      </c>
      <c r="E177" s="959">
        <v>0.13</v>
      </c>
      <c r="F177" s="960">
        <v>0.13</v>
      </c>
    </row>
    <row r="178" spans="1:6" ht="14.25" thickBot="1">
      <c r="A178" s="779" t="s">
        <v>525</v>
      </c>
      <c r="B178" s="773" t="s">
        <v>395</v>
      </c>
      <c r="C178" s="959">
        <v>0.13</v>
      </c>
      <c r="D178" s="959">
        <v>0.13</v>
      </c>
      <c r="E178" s="959">
        <v>0.13</v>
      </c>
      <c r="F178" s="960">
        <v>0.127</v>
      </c>
    </row>
    <row r="179" spans="1:6" ht="14.25" thickBot="1">
      <c r="A179" s="779" t="s">
        <v>525</v>
      </c>
      <c r="B179" s="773" t="s">
        <v>403</v>
      </c>
      <c r="C179" s="959">
        <v>0.13</v>
      </c>
      <c r="D179" s="959">
        <v>0.13</v>
      </c>
      <c r="E179" s="959">
        <v>0.13</v>
      </c>
      <c r="F179" s="971"/>
    </row>
    <row r="180" spans="1:6" ht="14.25" thickBot="1">
      <c r="A180" s="779" t="s">
        <v>525</v>
      </c>
      <c r="B180" s="773" t="s">
        <v>709</v>
      </c>
      <c r="C180" s="959">
        <v>0.13</v>
      </c>
      <c r="D180" s="959">
        <v>0.13</v>
      </c>
      <c r="E180" s="959">
        <v>0.125</v>
      </c>
      <c r="F180" s="960">
        <v>0.13</v>
      </c>
    </row>
    <row r="181" spans="1:6" ht="14.25" thickBot="1">
      <c r="A181" s="779" t="s">
        <v>525</v>
      </c>
      <c r="B181" s="773" t="s">
        <v>417</v>
      </c>
      <c r="C181" s="959">
        <v>0.122</v>
      </c>
      <c r="D181" s="959">
        <v>0.123</v>
      </c>
      <c r="E181" s="959">
        <v>0.126</v>
      </c>
      <c r="F181" s="960">
        <v>0.121</v>
      </c>
    </row>
    <row r="182" spans="1:6" ht="14.25" thickBot="1">
      <c r="A182" s="779" t="s">
        <v>525</v>
      </c>
      <c r="B182" s="773" t="s">
        <v>424</v>
      </c>
      <c r="C182" s="959">
        <v>0.125</v>
      </c>
      <c r="D182" s="959">
        <v>0.125</v>
      </c>
      <c r="E182" s="959">
        <v>0.11700000000000001</v>
      </c>
      <c r="F182" s="960">
        <v>0.13</v>
      </c>
    </row>
    <row r="183" spans="1:6" ht="14.25" thickBot="1">
      <c r="A183" s="779" t="s">
        <v>525</v>
      </c>
      <c r="B183" s="773" t="s">
        <v>431</v>
      </c>
      <c r="C183" s="959">
        <v>0.127</v>
      </c>
      <c r="D183" s="959">
        <v>0.127</v>
      </c>
      <c r="E183" s="959">
        <v>0.128</v>
      </c>
      <c r="F183" s="971"/>
    </row>
    <row r="184" spans="1:6" ht="14.25" thickBot="1">
      <c r="A184" s="779" t="s">
        <v>525</v>
      </c>
      <c r="B184" s="773" t="s">
        <v>438</v>
      </c>
      <c r="C184" s="959">
        <v>0.125</v>
      </c>
      <c r="D184" s="959">
        <v>0.125</v>
      </c>
      <c r="E184" s="959">
        <v>0.127</v>
      </c>
      <c r="F184" s="971"/>
    </row>
    <row r="185" spans="1:6" ht="14.25" thickBot="1">
      <c r="A185" s="779" t="s">
        <v>525</v>
      </c>
      <c r="B185" s="773" t="s">
        <v>710</v>
      </c>
      <c r="C185" s="959">
        <v>0.127</v>
      </c>
      <c r="D185" s="959">
        <v>0.127</v>
      </c>
      <c r="E185" s="959">
        <v>0.128</v>
      </c>
      <c r="F185" s="960">
        <v>0.13</v>
      </c>
    </row>
    <row r="186" spans="1:6" ht="24.75" thickBot="1">
      <c r="A186" s="779" t="s">
        <v>525</v>
      </c>
      <c r="B186" s="773" t="s">
        <v>711</v>
      </c>
      <c r="C186" s="972"/>
      <c r="D186" s="972"/>
      <c r="E186" s="972"/>
      <c r="F186" s="960">
        <v>0.05</v>
      </c>
    </row>
    <row r="187" spans="1:6" ht="14.25" thickBot="1">
      <c r="A187" s="779" t="s">
        <v>525</v>
      </c>
      <c r="B187" s="773" t="s">
        <v>712</v>
      </c>
      <c r="C187" s="972"/>
      <c r="D187" s="972"/>
      <c r="E187" s="972"/>
      <c r="F187" s="960">
        <v>0.05</v>
      </c>
    </row>
    <row r="188" spans="1:6" ht="14.25" thickBot="1">
      <c r="A188" s="779" t="s">
        <v>525</v>
      </c>
      <c r="B188" s="773" t="s">
        <v>713</v>
      </c>
      <c r="C188" s="972"/>
      <c r="D188" s="972"/>
      <c r="E188" s="972"/>
      <c r="F188" s="960">
        <v>0.05</v>
      </c>
    </row>
    <row r="189" spans="1:6" ht="24.75" thickBot="1">
      <c r="A189" s="779" t="s">
        <v>525</v>
      </c>
      <c r="B189" s="773" t="s">
        <v>714</v>
      </c>
      <c r="C189" s="972"/>
      <c r="D189" s="972"/>
      <c r="E189" s="972"/>
      <c r="F189" s="960">
        <v>0.05</v>
      </c>
    </row>
    <row r="190" spans="1:6" ht="24.75" thickBot="1">
      <c r="A190" s="779" t="s">
        <v>525</v>
      </c>
      <c r="B190" s="773" t="s">
        <v>715</v>
      </c>
      <c r="C190" s="972"/>
      <c r="D190" s="972"/>
      <c r="E190" s="972"/>
      <c r="F190" s="960">
        <v>0.05</v>
      </c>
    </row>
    <row r="191" spans="1:6" ht="24.75" thickBot="1">
      <c r="A191" s="779" t="s">
        <v>525</v>
      </c>
      <c r="B191" s="773" t="s">
        <v>716</v>
      </c>
      <c r="C191" s="972"/>
      <c r="D191" s="972"/>
      <c r="E191" s="972"/>
      <c r="F191" s="960">
        <v>0.05</v>
      </c>
    </row>
    <row r="192" spans="1:6" ht="24.75" thickBot="1">
      <c r="A192" s="779" t="s">
        <v>525</v>
      </c>
      <c r="B192" s="773" t="s">
        <v>717</v>
      </c>
      <c r="C192" s="972"/>
      <c r="D192" s="972"/>
      <c r="E192" s="972"/>
      <c r="F192" s="960">
        <v>0.05</v>
      </c>
    </row>
    <row r="193" spans="1:6" ht="24.75" thickBot="1">
      <c r="A193" s="779" t="s">
        <v>525</v>
      </c>
      <c r="B193" s="773" t="s">
        <v>718</v>
      </c>
      <c r="C193" s="972"/>
      <c r="D193" s="972"/>
      <c r="E193" s="972"/>
      <c r="F193" s="960">
        <v>0.05</v>
      </c>
    </row>
    <row r="194" spans="1:6" ht="24.75" thickBot="1">
      <c r="A194" s="779" t="s">
        <v>525</v>
      </c>
      <c r="B194" s="773" t="s">
        <v>719</v>
      </c>
      <c r="C194" s="972"/>
      <c r="D194" s="972"/>
      <c r="E194" s="972"/>
      <c r="F194" s="960">
        <v>0.05</v>
      </c>
    </row>
    <row r="195" spans="1:6" ht="14.25" thickBot="1">
      <c r="A195" s="779" t="s">
        <v>525</v>
      </c>
      <c r="B195" s="773" t="s">
        <v>720</v>
      </c>
      <c r="C195" s="972"/>
      <c r="D195" s="972"/>
      <c r="E195" s="972"/>
      <c r="F195" s="960">
        <v>0.05</v>
      </c>
    </row>
    <row r="196" spans="1:6" ht="24.75" thickBot="1">
      <c r="A196" s="779" t="s">
        <v>525</v>
      </c>
      <c r="B196" s="773" t="s">
        <v>721</v>
      </c>
      <c r="C196" s="972"/>
      <c r="D196" s="972"/>
      <c r="E196" s="972"/>
      <c r="F196" s="960">
        <v>0.05</v>
      </c>
    </row>
    <row r="197" spans="1:6" ht="24.75" thickBot="1">
      <c r="A197" s="779" t="s">
        <v>525</v>
      </c>
      <c r="B197" s="773" t="s">
        <v>722</v>
      </c>
      <c r="C197" s="972"/>
      <c r="D197" s="972"/>
      <c r="E197" s="972"/>
      <c r="F197" s="960">
        <v>0.05</v>
      </c>
    </row>
    <row r="198" spans="1:6" ht="24.75" thickBot="1">
      <c r="A198" s="779" t="s">
        <v>525</v>
      </c>
      <c r="B198" s="773" t="s">
        <v>723</v>
      </c>
      <c r="C198" s="972"/>
      <c r="D198" s="972"/>
      <c r="E198" s="972"/>
      <c r="F198" s="960">
        <v>0.05</v>
      </c>
    </row>
    <row r="199" spans="1:6" ht="24.75" thickBot="1">
      <c r="A199" s="779" t="s">
        <v>525</v>
      </c>
      <c r="B199" s="773" t="s">
        <v>724</v>
      </c>
      <c r="C199" s="972"/>
      <c r="D199" s="972"/>
      <c r="E199" s="972"/>
      <c r="F199" s="960">
        <v>0.05</v>
      </c>
    </row>
    <row r="200" spans="1:6" ht="24.75" thickBot="1">
      <c r="A200" s="779" t="s">
        <v>525</v>
      </c>
      <c r="B200" s="773" t="s">
        <v>725</v>
      </c>
      <c r="C200" s="972"/>
      <c r="D200" s="972"/>
      <c r="E200" s="972"/>
      <c r="F200" s="960">
        <v>0.05</v>
      </c>
    </row>
    <row r="201" spans="1:6" ht="24.75" thickBot="1">
      <c r="A201" s="779" t="s">
        <v>525</v>
      </c>
      <c r="B201" s="773" t="s">
        <v>726</v>
      </c>
      <c r="C201" s="972"/>
      <c r="D201" s="972"/>
      <c r="E201" s="972"/>
      <c r="F201" s="960">
        <v>0.05</v>
      </c>
    </row>
    <row r="202" spans="1:6" ht="24.75" thickBot="1">
      <c r="A202" s="779" t="s">
        <v>525</v>
      </c>
      <c r="B202" s="773" t="s">
        <v>727</v>
      </c>
      <c r="C202" s="972"/>
      <c r="D202" s="972"/>
      <c r="E202" s="972"/>
      <c r="F202" s="960">
        <v>0.05</v>
      </c>
    </row>
    <row r="203" spans="1:6" ht="24.75" thickBot="1">
      <c r="A203" s="779" t="s">
        <v>525</v>
      </c>
      <c r="B203" s="773" t="s">
        <v>728</v>
      </c>
      <c r="C203" s="972"/>
      <c r="D203" s="972"/>
      <c r="E203" s="972"/>
      <c r="F203" s="960">
        <v>0.05</v>
      </c>
    </row>
    <row r="204" spans="1:6" ht="14.25" thickBot="1">
      <c r="A204" s="779" t="s">
        <v>525</v>
      </c>
      <c r="B204" s="773" t="s">
        <v>729</v>
      </c>
      <c r="C204" s="972"/>
      <c r="D204" s="972"/>
      <c r="E204" s="972"/>
      <c r="F204" s="960">
        <v>0.05</v>
      </c>
    </row>
    <row r="205" spans="1:6" ht="14.25" thickBot="1">
      <c r="A205" s="789" t="s">
        <v>525</v>
      </c>
      <c r="B205" s="785" t="s">
        <v>730</v>
      </c>
      <c r="C205" s="969"/>
      <c r="D205" s="969"/>
      <c r="E205" s="969"/>
      <c r="F205" s="962">
        <v>0.05</v>
      </c>
    </row>
    <row r="206" spans="1:6" ht="14.25" thickBot="1">
      <c r="A206" s="779" t="s">
        <v>527</v>
      </c>
      <c r="B206" s="780" t="s">
        <v>731</v>
      </c>
      <c r="C206" s="957">
        <v>0.15</v>
      </c>
      <c r="D206" s="957">
        <v>0.15</v>
      </c>
      <c r="E206" s="957">
        <v>0.15</v>
      </c>
      <c r="F206" s="958">
        <v>0.15</v>
      </c>
    </row>
    <row r="207" spans="1:6" ht="14.25" thickBot="1">
      <c r="A207" s="779" t="s">
        <v>527</v>
      </c>
      <c r="B207" s="773" t="s">
        <v>193</v>
      </c>
      <c r="C207" s="959">
        <v>0.15</v>
      </c>
      <c r="D207" s="959">
        <v>0.15</v>
      </c>
      <c r="E207" s="959">
        <v>0.15</v>
      </c>
      <c r="F207" s="960">
        <v>0.14399999999999999</v>
      </c>
    </row>
    <row r="208" spans="1:6" ht="14.25" thickBot="1">
      <c r="A208" s="779" t="s">
        <v>527</v>
      </c>
      <c r="B208" s="773" t="s">
        <v>206</v>
      </c>
      <c r="C208" s="959">
        <v>0.15</v>
      </c>
      <c r="D208" s="959">
        <v>0.15</v>
      </c>
      <c r="E208" s="959">
        <v>0.15</v>
      </c>
      <c r="F208" s="960">
        <v>0.15</v>
      </c>
    </row>
    <row r="209" spans="1:6" ht="14.25" thickBot="1">
      <c r="A209" s="779" t="s">
        <v>527</v>
      </c>
      <c r="B209" s="773" t="s">
        <v>219</v>
      </c>
      <c r="C209" s="959">
        <v>0.13700000000000001</v>
      </c>
      <c r="D209" s="959">
        <v>0.13700000000000001</v>
      </c>
      <c r="E209" s="959">
        <v>0.14000000000000001</v>
      </c>
      <c r="F209" s="960">
        <v>0.11700000000000001</v>
      </c>
    </row>
    <row r="210" spans="1:6" ht="14.25" thickBot="1">
      <c r="A210" s="779" t="s">
        <v>527</v>
      </c>
      <c r="B210" s="773" t="s">
        <v>732</v>
      </c>
      <c r="C210" s="959">
        <v>0.15</v>
      </c>
      <c r="D210" s="959">
        <v>0.15</v>
      </c>
      <c r="E210" s="959">
        <v>0.15</v>
      </c>
      <c r="F210" s="960">
        <v>0.13800000000000001</v>
      </c>
    </row>
    <row r="211" spans="1:6" ht="14.25" thickBot="1">
      <c r="A211" s="779" t="s">
        <v>527</v>
      </c>
      <c r="B211" s="773" t="s">
        <v>733</v>
      </c>
      <c r="C211" s="959">
        <v>0.13700000000000001</v>
      </c>
      <c r="D211" s="959">
        <v>0.13500000000000001</v>
      </c>
      <c r="E211" s="959">
        <v>0.13600000000000001</v>
      </c>
      <c r="F211" s="960">
        <v>0.1</v>
      </c>
    </row>
    <row r="212" spans="1:6" ht="14.25" thickBot="1">
      <c r="A212" s="779" t="s">
        <v>527</v>
      </c>
      <c r="B212" s="773" t="s">
        <v>734</v>
      </c>
      <c r="C212" s="959">
        <v>0.15</v>
      </c>
      <c r="D212" s="959">
        <v>0.15</v>
      </c>
      <c r="E212" s="959">
        <v>0.14799999999999999</v>
      </c>
      <c r="F212" s="960">
        <v>0.13600000000000001</v>
      </c>
    </row>
    <row r="213" spans="1:6" ht="14.25" thickBot="1">
      <c r="A213" s="779" t="s">
        <v>527</v>
      </c>
      <c r="B213" s="773" t="s">
        <v>264</v>
      </c>
      <c r="C213" s="959">
        <v>0.15</v>
      </c>
      <c r="D213" s="959">
        <v>0.15</v>
      </c>
      <c r="E213" s="959">
        <v>0.15</v>
      </c>
      <c r="F213" s="960">
        <v>0.13800000000000001</v>
      </c>
    </row>
    <row r="214" spans="1:6" ht="14.25" thickBot="1">
      <c r="A214" s="779" t="s">
        <v>527</v>
      </c>
      <c r="B214" s="773" t="s">
        <v>276</v>
      </c>
      <c r="C214" s="959">
        <v>9.0999999999999998E-2</v>
      </c>
      <c r="D214" s="959">
        <v>0.09</v>
      </c>
      <c r="E214" s="959">
        <v>9.1999999999999998E-2</v>
      </c>
      <c r="F214" s="971"/>
    </row>
    <row r="215" spans="1:6" ht="14.25" thickBot="1">
      <c r="A215" s="779" t="s">
        <v>527</v>
      </c>
      <c r="B215" s="773" t="s">
        <v>735</v>
      </c>
      <c r="C215" s="959">
        <v>0.15</v>
      </c>
      <c r="D215" s="959">
        <v>0.15</v>
      </c>
      <c r="E215" s="959">
        <v>0.15</v>
      </c>
      <c r="F215" s="960">
        <v>0.15</v>
      </c>
    </row>
    <row r="216" spans="1:6" ht="14.25" thickBot="1">
      <c r="A216" s="779" t="s">
        <v>527</v>
      </c>
      <c r="B216" s="773" t="s">
        <v>296</v>
      </c>
      <c r="C216" s="959">
        <v>0.14699999999999999</v>
      </c>
      <c r="D216" s="959">
        <v>0.14699999999999999</v>
      </c>
      <c r="E216" s="959">
        <v>0.15</v>
      </c>
      <c r="F216" s="960">
        <v>0.14000000000000001</v>
      </c>
    </row>
    <row r="217" spans="1:6" ht="14.25" thickBot="1">
      <c r="A217" s="779" t="s">
        <v>527</v>
      </c>
      <c r="B217" s="773" t="s">
        <v>306</v>
      </c>
      <c r="C217" s="959">
        <v>0.15</v>
      </c>
      <c r="D217" s="959">
        <v>0.15</v>
      </c>
      <c r="E217" s="959">
        <v>0.15</v>
      </c>
      <c r="F217" s="960">
        <v>0.15</v>
      </c>
    </row>
    <row r="218" spans="1:6" ht="14.25" thickBot="1">
      <c r="A218" s="779" t="s">
        <v>527</v>
      </c>
      <c r="B218" s="773" t="s">
        <v>736</v>
      </c>
      <c r="C218" s="959">
        <v>0.15</v>
      </c>
      <c r="D218" s="959">
        <v>0.15</v>
      </c>
      <c r="E218" s="959">
        <v>0.15</v>
      </c>
      <c r="F218" s="960">
        <v>0.15</v>
      </c>
    </row>
    <row r="219" spans="1:6" ht="14.25" thickBot="1">
      <c r="A219" s="779" t="s">
        <v>527</v>
      </c>
      <c r="B219" s="773" t="s">
        <v>327</v>
      </c>
      <c r="C219" s="959">
        <v>0.15</v>
      </c>
      <c r="D219" s="959">
        <v>0.15</v>
      </c>
      <c r="E219" s="959">
        <v>0.15</v>
      </c>
      <c r="F219" s="960">
        <v>0.14799999999999999</v>
      </c>
    </row>
    <row r="220" spans="1:6" ht="14.25" thickBot="1">
      <c r="A220" s="779" t="s">
        <v>527</v>
      </c>
      <c r="B220" s="773" t="s">
        <v>737</v>
      </c>
      <c r="C220" s="959">
        <v>0.15</v>
      </c>
      <c r="D220" s="959">
        <v>0.15</v>
      </c>
      <c r="E220" s="959">
        <v>0.15</v>
      </c>
      <c r="F220" s="960">
        <v>0.15</v>
      </c>
    </row>
    <row r="221" spans="1:6" ht="14.25" thickBot="1">
      <c r="A221" s="779" t="s">
        <v>527</v>
      </c>
      <c r="B221" s="773" t="s">
        <v>348</v>
      </c>
      <c r="C221" s="959"/>
      <c r="D221" s="972"/>
      <c r="E221" s="972"/>
      <c r="F221" s="960">
        <v>0.14799999999999999</v>
      </c>
    </row>
    <row r="222" spans="1:6" ht="14.25" thickBot="1">
      <c r="A222" s="779" t="s">
        <v>527</v>
      </c>
      <c r="B222" s="773" t="s">
        <v>358</v>
      </c>
      <c r="C222" s="959"/>
      <c r="D222" s="972"/>
      <c r="E222" s="972"/>
      <c r="F222" s="960">
        <v>0.1</v>
      </c>
    </row>
    <row r="223" spans="1:6" ht="14.25" thickBot="1">
      <c r="A223" s="779" t="s">
        <v>527</v>
      </c>
      <c r="B223" s="773" t="s">
        <v>368</v>
      </c>
      <c r="C223" s="959"/>
      <c r="D223" s="972"/>
      <c r="E223" s="972"/>
      <c r="F223" s="960">
        <v>0.15</v>
      </c>
    </row>
    <row r="224" spans="1:6" ht="14.25" thickBot="1">
      <c r="A224" s="779" t="s">
        <v>527</v>
      </c>
      <c r="B224" s="773" t="s">
        <v>378</v>
      </c>
      <c r="C224" s="959"/>
      <c r="D224" s="972"/>
      <c r="E224" s="972"/>
      <c r="F224" s="960">
        <v>0.15</v>
      </c>
    </row>
    <row r="225" spans="1:6" ht="14.25" thickBot="1">
      <c r="A225" s="779" t="s">
        <v>527</v>
      </c>
      <c r="B225" s="773" t="s">
        <v>738</v>
      </c>
      <c r="C225" s="959">
        <v>0.15</v>
      </c>
      <c r="D225" s="959">
        <v>0.15</v>
      </c>
      <c r="E225" s="959">
        <v>0.15</v>
      </c>
      <c r="F225" s="960">
        <v>0.15</v>
      </c>
    </row>
    <row r="226" spans="1:6" ht="14.25" thickBot="1">
      <c r="A226" s="779" t="s">
        <v>527</v>
      </c>
      <c r="B226" s="773" t="s">
        <v>396</v>
      </c>
      <c r="C226" s="959">
        <v>0.15</v>
      </c>
      <c r="D226" s="959">
        <v>0.15</v>
      </c>
      <c r="E226" s="959">
        <v>0.15</v>
      </c>
      <c r="F226" s="960">
        <v>0.14799999999999999</v>
      </c>
    </row>
    <row r="227" spans="1:6" ht="14.25" thickBot="1">
      <c r="A227" s="779" t="s">
        <v>527</v>
      </c>
      <c r="B227" s="773" t="s">
        <v>739</v>
      </c>
      <c r="C227" s="959">
        <v>0.15</v>
      </c>
      <c r="D227" s="959">
        <v>0.15</v>
      </c>
      <c r="E227" s="959">
        <v>0.15</v>
      </c>
      <c r="F227" s="960">
        <v>0.15</v>
      </c>
    </row>
    <row r="228" spans="1:6" ht="14.25" thickBot="1">
      <c r="A228" s="779" t="s">
        <v>527</v>
      </c>
      <c r="B228" s="773" t="s">
        <v>411</v>
      </c>
      <c r="C228" s="959">
        <v>0.15</v>
      </c>
      <c r="D228" s="959">
        <v>0.15</v>
      </c>
      <c r="E228" s="959">
        <v>0.15</v>
      </c>
      <c r="F228" s="960">
        <v>0.15</v>
      </c>
    </row>
    <row r="229" spans="1:6" ht="14.25" thickBot="1">
      <c r="A229" s="779" t="s">
        <v>527</v>
      </c>
      <c r="B229" s="773" t="s">
        <v>418</v>
      </c>
      <c r="C229" s="959">
        <v>0.15</v>
      </c>
      <c r="D229" s="959">
        <v>0.15</v>
      </c>
      <c r="E229" s="959">
        <v>0.15</v>
      </c>
      <c r="F229" s="971"/>
    </row>
    <row r="230" spans="1:6" ht="14.25" thickBot="1">
      <c r="A230" s="779" t="s">
        <v>527</v>
      </c>
      <c r="B230" s="773" t="s">
        <v>425</v>
      </c>
      <c r="C230" s="959">
        <v>0.14499999999999999</v>
      </c>
      <c r="D230" s="959">
        <v>0.14499999999999999</v>
      </c>
      <c r="E230" s="959">
        <v>0.14399999999999999</v>
      </c>
      <c r="F230" s="971"/>
    </row>
    <row r="231" spans="1:6" ht="14.25" thickBot="1">
      <c r="A231" s="779" t="s">
        <v>527</v>
      </c>
      <c r="B231" s="773" t="s">
        <v>740</v>
      </c>
      <c r="C231" s="959">
        <v>0.128</v>
      </c>
      <c r="D231" s="959">
        <v>0.125</v>
      </c>
      <c r="E231" s="959">
        <v>0.13200000000000001</v>
      </c>
      <c r="F231" s="971"/>
    </row>
    <row r="232" spans="1:6" ht="14.25" thickBot="1">
      <c r="A232" s="779" t="s">
        <v>527</v>
      </c>
      <c r="B232" s="773" t="s">
        <v>741</v>
      </c>
      <c r="C232" s="959">
        <v>0.14499999999999999</v>
      </c>
      <c r="D232" s="959">
        <v>0.14399999999999999</v>
      </c>
      <c r="E232" s="959">
        <v>0.14599999999999999</v>
      </c>
      <c r="F232" s="960">
        <v>0.13800000000000001</v>
      </c>
    </row>
    <row r="233" spans="1:6" ht="14.25" thickBot="1">
      <c r="A233" s="779" t="s">
        <v>527</v>
      </c>
      <c r="B233" s="773" t="s">
        <v>742</v>
      </c>
      <c r="C233" s="959">
        <v>0.14499999999999999</v>
      </c>
      <c r="D233" s="959">
        <v>0.14299999999999999</v>
      </c>
      <c r="E233" s="959">
        <v>0.14199999999999999</v>
      </c>
      <c r="F233" s="971"/>
    </row>
    <row r="234" spans="1:6" ht="14.25" thickBot="1">
      <c r="A234" s="779" t="s">
        <v>527</v>
      </c>
      <c r="B234" s="773" t="s">
        <v>743</v>
      </c>
      <c r="C234" s="959">
        <v>0.14000000000000001</v>
      </c>
      <c r="D234" s="959">
        <v>0.14000000000000001</v>
      </c>
      <c r="E234" s="959">
        <v>0.14399999999999999</v>
      </c>
      <c r="F234" s="971"/>
    </row>
    <row r="235" spans="1:6" ht="14.25" thickBot="1">
      <c r="A235" s="779" t="s">
        <v>527</v>
      </c>
      <c r="B235" s="773" t="s">
        <v>744</v>
      </c>
      <c r="C235" s="959">
        <v>0.14099999999999999</v>
      </c>
      <c r="D235" s="959">
        <v>0.14199999999999999</v>
      </c>
      <c r="E235" s="959">
        <v>0.14499999999999999</v>
      </c>
      <c r="F235" s="960">
        <v>0.15</v>
      </c>
    </row>
    <row r="236" spans="1:6" ht="14.25" thickBot="1">
      <c r="A236" s="779" t="s">
        <v>527</v>
      </c>
      <c r="B236" s="773" t="s">
        <v>460</v>
      </c>
      <c r="C236" s="972"/>
      <c r="D236" s="972"/>
      <c r="E236" s="972"/>
      <c r="F236" s="960">
        <v>0.14299999999999999</v>
      </c>
    </row>
    <row r="237" spans="1:6" ht="24.75" thickBot="1">
      <c r="A237" s="779" t="s">
        <v>527</v>
      </c>
      <c r="B237" s="773" t="s">
        <v>745</v>
      </c>
      <c r="C237" s="972"/>
      <c r="D237" s="972"/>
      <c r="E237" s="972"/>
      <c r="F237" s="960">
        <v>0.05</v>
      </c>
    </row>
    <row r="238" spans="1:6" ht="24.75" thickBot="1">
      <c r="A238" s="779" t="s">
        <v>527</v>
      </c>
      <c r="B238" s="773" t="s">
        <v>746</v>
      </c>
      <c r="C238" s="972"/>
      <c r="D238" s="972"/>
      <c r="E238" s="972"/>
      <c r="F238" s="960">
        <v>0.05</v>
      </c>
    </row>
    <row r="239" spans="1:6" ht="24.75" thickBot="1">
      <c r="A239" s="779" t="s">
        <v>527</v>
      </c>
      <c r="B239" s="773" t="s">
        <v>747</v>
      </c>
      <c r="C239" s="972"/>
      <c r="D239" s="972"/>
      <c r="E239" s="972"/>
      <c r="F239" s="960">
        <v>0.05</v>
      </c>
    </row>
    <row r="240" spans="1:6" ht="24.75" thickBot="1">
      <c r="A240" s="779" t="s">
        <v>527</v>
      </c>
      <c r="B240" s="773" t="s">
        <v>748</v>
      </c>
      <c r="C240" s="972"/>
      <c r="D240" s="972"/>
      <c r="E240" s="972"/>
      <c r="F240" s="960">
        <v>0.05</v>
      </c>
    </row>
    <row r="241" spans="1:6" ht="24.75" thickBot="1">
      <c r="A241" s="779" t="s">
        <v>527</v>
      </c>
      <c r="B241" s="773" t="s">
        <v>749</v>
      </c>
      <c r="C241" s="972"/>
      <c r="D241" s="972"/>
      <c r="E241" s="972"/>
      <c r="F241" s="960">
        <v>0.05</v>
      </c>
    </row>
    <row r="242" spans="1:6" ht="24.75" thickBot="1">
      <c r="A242" s="779" t="s">
        <v>527</v>
      </c>
      <c r="B242" s="773" t="s">
        <v>750</v>
      </c>
      <c r="C242" s="972"/>
      <c r="D242" s="972"/>
      <c r="E242" s="972"/>
      <c r="F242" s="960">
        <v>0.05</v>
      </c>
    </row>
    <row r="243" spans="1:6" ht="24.75" thickBot="1">
      <c r="A243" s="779" t="s">
        <v>527</v>
      </c>
      <c r="B243" s="773" t="s">
        <v>751</v>
      </c>
      <c r="C243" s="972"/>
      <c r="D243" s="972"/>
      <c r="E243" s="972"/>
      <c r="F243" s="960">
        <v>0.05</v>
      </c>
    </row>
    <row r="244" spans="1:6" ht="24.75" thickBot="1">
      <c r="A244" s="789" t="s">
        <v>527</v>
      </c>
      <c r="B244" s="785" t="s">
        <v>752</v>
      </c>
      <c r="C244" s="969"/>
      <c r="D244" s="969"/>
      <c r="E244" s="969"/>
      <c r="F244" s="962">
        <v>0.05</v>
      </c>
    </row>
    <row r="245" spans="1:6" ht="14.25" thickBot="1">
      <c r="A245" s="779" t="s">
        <v>529</v>
      </c>
      <c r="B245" s="780" t="s">
        <v>753</v>
      </c>
      <c r="C245" s="957">
        <v>0.15</v>
      </c>
      <c r="D245" s="957">
        <v>0.15</v>
      </c>
      <c r="E245" s="957">
        <v>0.15</v>
      </c>
      <c r="F245" s="958">
        <v>0.14299999999999999</v>
      </c>
    </row>
    <row r="246" spans="1:6" ht="14.25" thickBot="1">
      <c r="A246" s="779" t="s">
        <v>529</v>
      </c>
      <c r="B246" s="773" t="s">
        <v>194</v>
      </c>
      <c r="C246" s="959">
        <v>0.15</v>
      </c>
      <c r="D246" s="959">
        <v>0.15</v>
      </c>
      <c r="E246" s="959">
        <v>0.15</v>
      </c>
      <c r="F246" s="960">
        <v>0.114</v>
      </c>
    </row>
    <row r="247" spans="1:6" ht="14.25" thickBot="1">
      <c r="A247" s="779" t="s">
        <v>529</v>
      </c>
      <c r="B247" s="773" t="s">
        <v>754</v>
      </c>
      <c r="C247" s="959">
        <v>0.15</v>
      </c>
      <c r="D247" s="959">
        <v>0.15</v>
      </c>
      <c r="E247" s="959">
        <v>0.15</v>
      </c>
      <c r="F247" s="960">
        <v>0.15</v>
      </c>
    </row>
    <row r="248" spans="1:6" ht="14.25" thickBot="1">
      <c r="A248" s="779" t="s">
        <v>529</v>
      </c>
      <c r="B248" s="773" t="s">
        <v>755</v>
      </c>
      <c r="C248" s="959">
        <v>0.15</v>
      </c>
      <c r="D248" s="959">
        <v>0.15</v>
      </c>
      <c r="E248" s="959">
        <v>0.15</v>
      </c>
      <c r="F248" s="960">
        <v>0.14000000000000001</v>
      </c>
    </row>
    <row r="249" spans="1:6" ht="14.25" thickBot="1">
      <c r="A249" s="779" t="s">
        <v>529</v>
      </c>
      <c r="B249" s="773" t="s">
        <v>756</v>
      </c>
      <c r="C249" s="959">
        <v>0.15</v>
      </c>
      <c r="D249" s="959">
        <v>0.14899999999999999</v>
      </c>
      <c r="E249" s="959">
        <v>0.15</v>
      </c>
      <c r="F249" s="960">
        <v>0.1</v>
      </c>
    </row>
    <row r="250" spans="1:6" ht="14.25" thickBot="1">
      <c r="A250" s="779" t="s">
        <v>529</v>
      </c>
      <c r="B250" s="773" t="s">
        <v>757</v>
      </c>
      <c r="C250" s="959">
        <v>0.15</v>
      </c>
      <c r="D250" s="959">
        <v>0.15</v>
      </c>
      <c r="E250" s="959">
        <v>0.15</v>
      </c>
      <c r="F250" s="960">
        <v>0.14399999999999999</v>
      </c>
    </row>
    <row r="251" spans="1:6" ht="14.25" thickBot="1">
      <c r="A251" s="779" t="s">
        <v>529</v>
      </c>
      <c r="B251" s="773" t="s">
        <v>254</v>
      </c>
      <c r="C251" s="959">
        <v>0.15</v>
      </c>
      <c r="D251" s="959">
        <v>0.15</v>
      </c>
      <c r="E251" s="959">
        <v>0.15</v>
      </c>
      <c r="F251" s="960">
        <v>0.14299999999999999</v>
      </c>
    </row>
    <row r="252" spans="1:6" ht="14.25" thickBot="1">
      <c r="A252" s="779" t="s">
        <v>529</v>
      </c>
      <c r="B252" s="773" t="s">
        <v>265</v>
      </c>
      <c r="C252" s="959">
        <v>0.15</v>
      </c>
      <c r="D252" s="959">
        <v>0.15</v>
      </c>
      <c r="E252" s="959">
        <v>0.15</v>
      </c>
      <c r="F252" s="960">
        <v>0.1</v>
      </c>
    </row>
    <row r="253" spans="1:6" ht="14.25" thickBot="1">
      <c r="A253" s="779" t="s">
        <v>529</v>
      </c>
      <c r="B253" s="773" t="s">
        <v>277</v>
      </c>
      <c r="C253" s="959">
        <v>0.15</v>
      </c>
      <c r="D253" s="959">
        <v>0.15</v>
      </c>
      <c r="E253" s="959">
        <v>0.15</v>
      </c>
      <c r="F253" s="960">
        <v>0.1</v>
      </c>
    </row>
    <row r="254" spans="1:6" ht="14.25" thickBot="1">
      <c r="A254" s="779" t="s">
        <v>529</v>
      </c>
      <c r="B254" s="773" t="s">
        <v>287</v>
      </c>
      <c r="C254" s="972"/>
      <c r="D254" s="972"/>
      <c r="E254" s="972"/>
      <c r="F254" s="960">
        <v>0.15</v>
      </c>
    </row>
    <row r="255" spans="1:6" ht="14.25" thickBot="1">
      <c r="A255" s="779" t="s">
        <v>529</v>
      </c>
      <c r="B255" s="773" t="s">
        <v>297</v>
      </c>
      <c r="C255" s="972"/>
      <c r="D255" s="972"/>
      <c r="E255" s="972"/>
      <c r="F255" s="960">
        <v>0.14299999999999999</v>
      </c>
    </row>
    <row r="256" spans="1:6" ht="14.25" thickBot="1">
      <c r="A256" s="779" t="s">
        <v>529</v>
      </c>
      <c r="B256" s="773" t="s">
        <v>758</v>
      </c>
      <c r="C256" s="959">
        <v>0.14599999999999999</v>
      </c>
      <c r="D256" s="959">
        <v>0.14699999999999999</v>
      </c>
      <c r="E256" s="959">
        <v>0.15</v>
      </c>
      <c r="F256" s="960">
        <v>0.13200000000000001</v>
      </c>
    </row>
    <row r="257" spans="1:6" ht="14.25" thickBot="1">
      <c r="A257" s="779" t="s">
        <v>529</v>
      </c>
      <c r="B257" s="773" t="s">
        <v>317</v>
      </c>
      <c r="C257" s="959">
        <v>0.15</v>
      </c>
      <c r="D257" s="959">
        <v>0.15</v>
      </c>
      <c r="E257" s="959">
        <v>0.15</v>
      </c>
      <c r="F257" s="960">
        <v>0.13900000000000001</v>
      </c>
    </row>
    <row r="258" spans="1:6" ht="14.25" thickBot="1">
      <c r="A258" s="779" t="s">
        <v>529</v>
      </c>
      <c r="B258" s="773" t="s">
        <v>328</v>
      </c>
      <c r="C258" s="959">
        <v>0.15</v>
      </c>
      <c r="D258" s="959">
        <v>0.15</v>
      </c>
      <c r="E258" s="959">
        <v>0.15</v>
      </c>
      <c r="F258" s="960">
        <v>0.13</v>
      </c>
    </row>
    <row r="259" spans="1:6" ht="14.25" thickBot="1">
      <c r="A259" s="779" t="s">
        <v>529</v>
      </c>
      <c r="B259" s="773" t="s">
        <v>759</v>
      </c>
      <c r="C259" s="959">
        <v>0.14799999999999999</v>
      </c>
      <c r="D259" s="959">
        <v>0.14899999999999999</v>
      </c>
      <c r="E259" s="959">
        <v>0.15</v>
      </c>
      <c r="F259" s="960">
        <v>0.13700000000000001</v>
      </c>
    </row>
    <row r="260" spans="1:6" ht="14.25" thickBot="1">
      <c r="A260" s="779" t="s">
        <v>529</v>
      </c>
      <c r="B260" s="773" t="s">
        <v>349</v>
      </c>
      <c r="C260" s="959">
        <v>0.15</v>
      </c>
      <c r="D260" s="959">
        <v>0.15</v>
      </c>
      <c r="E260" s="959">
        <v>0.15</v>
      </c>
      <c r="F260" s="960">
        <v>0.14199999999999999</v>
      </c>
    </row>
    <row r="261" spans="1:6" ht="14.25" thickBot="1">
      <c r="A261" s="779" t="s">
        <v>529</v>
      </c>
      <c r="B261" s="773" t="s">
        <v>359</v>
      </c>
      <c r="C261" s="959">
        <v>0.15</v>
      </c>
      <c r="D261" s="959">
        <v>0.15</v>
      </c>
      <c r="E261" s="959">
        <v>0.14899999999999999</v>
      </c>
      <c r="F261" s="960">
        <v>0.14799999999999999</v>
      </c>
    </row>
    <row r="262" spans="1:6" ht="14.25" thickBot="1">
      <c r="A262" s="779" t="s">
        <v>529</v>
      </c>
      <c r="B262" s="773" t="s">
        <v>369</v>
      </c>
      <c r="C262" s="959">
        <v>0.15</v>
      </c>
      <c r="D262" s="959">
        <v>0.15</v>
      </c>
      <c r="E262" s="959">
        <v>0.15</v>
      </c>
      <c r="F262" s="971"/>
    </row>
    <row r="263" spans="1:6" ht="14.25" thickBot="1">
      <c r="A263" s="779" t="s">
        <v>529</v>
      </c>
      <c r="B263" s="773" t="s">
        <v>760</v>
      </c>
      <c r="C263" s="959">
        <v>0.14899999999999999</v>
      </c>
      <c r="D263" s="959">
        <v>0.14899999999999999</v>
      </c>
      <c r="E263" s="959">
        <v>0.15</v>
      </c>
      <c r="F263" s="960">
        <v>0.13</v>
      </c>
    </row>
    <row r="264" spans="1:6" ht="14.25" thickBot="1">
      <c r="A264" s="779" t="s">
        <v>529</v>
      </c>
      <c r="B264" s="773" t="s">
        <v>388</v>
      </c>
      <c r="C264" s="959">
        <v>0.14799999999999999</v>
      </c>
      <c r="D264" s="959">
        <v>0.14699999999999999</v>
      </c>
      <c r="E264" s="959">
        <v>0.15</v>
      </c>
      <c r="F264" s="960">
        <v>7.8E-2</v>
      </c>
    </row>
    <row r="265" spans="1:6" ht="14.25" thickBot="1">
      <c r="A265" s="779" t="s">
        <v>529</v>
      </c>
      <c r="B265" s="773" t="s">
        <v>397</v>
      </c>
      <c r="C265" s="959">
        <v>0.15</v>
      </c>
      <c r="D265" s="959">
        <v>0.15</v>
      </c>
      <c r="E265" s="959">
        <v>0.15</v>
      </c>
      <c r="F265" s="960">
        <v>7.3999999999999996E-2</v>
      </c>
    </row>
    <row r="266" spans="1:6" ht="14.25" thickBot="1">
      <c r="A266" s="779" t="s">
        <v>529</v>
      </c>
      <c r="B266" s="773" t="s">
        <v>405</v>
      </c>
      <c r="C266" s="959">
        <v>0.14699999999999999</v>
      </c>
      <c r="D266" s="959">
        <v>0.14699999999999999</v>
      </c>
      <c r="E266" s="959">
        <v>0.15</v>
      </c>
      <c r="F266" s="960">
        <v>0.14299999999999999</v>
      </c>
    </row>
    <row r="267" spans="1:6" ht="14.25" thickBot="1">
      <c r="A267" s="779" t="s">
        <v>529</v>
      </c>
      <c r="B267" s="773" t="s">
        <v>412</v>
      </c>
      <c r="C267" s="959">
        <v>0.14199999999999999</v>
      </c>
      <c r="D267" s="959">
        <v>0.14299999999999999</v>
      </c>
      <c r="E267" s="959">
        <v>0.15</v>
      </c>
      <c r="F267" s="971"/>
    </row>
    <row r="268" spans="1:6" ht="14.25" thickBot="1">
      <c r="A268" s="779" t="s">
        <v>529</v>
      </c>
      <c r="B268" s="773" t="s">
        <v>761</v>
      </c>
      <c r="C268" s="959">
        <v>0.15</v>
      </c>
      <c r="D268" s="959">
        <v>0.15</v>
      </c>
      <c r="E268" s="959">
        <v>0.15</v>
      </c>
      <c r="F268" s="960">
        <v>0.13</v>
      </c>
    </row>
    <row r="269" spans="1:6" ht="14.25" thickBot="1">
      <c r="A269" s="779" t="s">
        <v>529</v>
      </c>
      <c r="B269" s="773" t="s">
        <v>426</v>
      </c>
      <c r="C269" s="959">
        <v>0.15</v>
      </c>
      <c r="D269" s="959">
        <v>0.15</v>
      </c>
      <c r="E269" s="959">
        <v>0.15</v>
      </c>
      <c r="F269" s="960">
        <v>0.14299999999999999</v>
      </c>
    </row>
    <row r="270" spans="1:6" ht="14.25" thickBot="1">
      <c r="A270" s="779" t="s">
        <v>529</v>
      </c>
      <c r="B270" s="773" t="s">
        <v>433</v>
      </c>
      <c r="C270" s="959">
        <v>0.14499999999999999</v>
      </c>
      <c r="D270" s="959">
        <v>0.14499999999999999</v>
      </c>
      <c r="E270" s="959">
        <v>0.15</v>
      </c>
      <c r="F270" s="960">
        <v>0.14699999999999999</v>
      </c>
    </row>
    <row r="271" spans="1:6" ht="14.25" thickBot="1">
      <c r="A271" s="779" t="s">
        <v>529</v>
      </c>
      <c r="B271" s="773" t="s">
        <v>440</v>
      </c>
      <c r="C271" s="959">
        <v>0.15</v>
      </c>
      <c r="D271" s="959">
        <v>0.15</v>
      </c>
      <c r="E271" s="959">
        <v>0.15</v>
      </c>
      <c r="F271" s="960">
        <v>0.13800000000000001</v>
      </c>
    </row>
    <row r="272" spans="1:6" ht="14.25" thickBot="1">
      <c r="A272" s="779" t="s">
        <v>529</v>
      </c>
      <c r="B272" s="773" t="s">
        <v>447</v>
      </c>
      <c r="C272" s="972"/>
      <c r="D272" s="972"/>
      <c r="E272" s="972"/>
      <c r="F272" s="960">
        <v>0.14000000000000001</v>
      </c>
    </row>
    <row r="273" spans="1:6" ht="14.25" thickBot="1">
      <c r="A273" s="779" t="s">
        <v>529</v>
      </c>
      <c r="B273" s="773" t="s">
        <v>762</v>
      </c>
      <c r="C273" s="959">
        <v>0.14199999999999999</v>
      </c>
      <c r="D273" s="959">
        <v>0.14299999999999999</v>
      </c>
      <c r="E273" s="959">
        <v>0.15</v>
      </c>
      <c r="F273" s="960">
        <v>0.1</v>
      </c>
    </row>
    <row r="274" spans="1:6" ht="14.25" thickBot="1">
      <c r="A274" s="779" t="s">
        <v>529</v>
      </c>
      <c r="B274" s="773" t="s">
        <v>763</v>
      </c>
      <c r="C274" s="959">
        <v>0.14799999999999999</v>
      </c>
      <c r="D274" s="959">
        <v>0.14799999999999999</v>
      </c>
      <c r="E274" s="959">
        <v>0.15</v>
      </c>
      <c r="F274" s="960">
        <v>6.7000000000000004E-2</v>
      </c>
    </row>
    <row r="275" spans="1:6" ht="14.25" thickBot="1">
      <c r="A275" s="779" t="s">
        <v>529</v>
      </c>
      <c r="B275" s="773" t="s">
        <v>764</v>
      </c>
      <c r="C275" s="959">
        <v>0.15</v>
      </c>
      <c r="D275" s="959">
        <v>0.15</v>
      </c>
      <c r="E275" s="959">
        <v>0.15</v>
      </c>
      <c r="F275" s="960">
        <v>0.15</v>
      </c>
    </row>
    <row r="276" spans="1:6" ht="14.25" thickBot="1">
      <c r="A276" s="779" t="s">
        <v>529</v>
      </c>
      <c r="B276" s="773" t="s">
        <v>765</v>
      </c>
      <c r="C276" s="959">
        <v>0.14499999999999999</v>
      </c>
      <c r="D276" s="959">
        <v>0.14299999999999999</v>
      </c>
      <c r="E276" s="959">
        <v>0.15</v>
      </c>
      <c r="F276" s="960">
        <v>5.8999999999999997E-2</v>
      </c>
    </row>
    <row r="277" spans="1:6" ht="14.25" thickBot="1">
      <c r="A277" s="779" t="s">
        <v>529</v>
      </c>
      <c r="B277" s="773" t="s">
        <v>766</v>
      </c>
      <c r="C277" s="959">
        <v>0.15</v>
      </c>
      <c r="D277" s="959">
        <v>0.15</v>
      </c>
      <c r="E277" s="959">
        <v>0.15</v>
      </c>
      <c r="F277" s="960">
        <v>0.121</v>
      </c>
    </row>
    <row r="278" spans="1:6" ht="14.25" thickBot="1">
      <c r="A278" s="779" t="s">
        <v>529</v>
      </c>
      <c r="B278" s="773" t="s">
        <v>767</v>
      </c>
      <c r="C278" s="959">
        <v>0.15</v>
      </c>
      <c r="D278" s="959">
        <v>0.15</v>
      </c>
      <c r="E278" s="959">
        <v>0.15</v>
      </c>
      <c r="F278" s="960">
        <v>0.13800000000000001</v>
      </c>
    </row>
    <row r="279" spans="1:6" ht="24.75" thickBot="1">
      <c r="A279" s="779" t="s">
        <v>529</v>
      </c>
      <c r="B279" s="773" t="s">
        <v>768</v>
      </c>
      <c r="C279" s="972"/>
      <c r="D279" s="972"/>
      <c r="E279" s="972"/>
      <c r="F279" s="960">
        <v>0.05</v>
      </c>
    </row>
    <row r="280" spans="1:6" ht="24.75" thickBot="1">
      <c r="A280" s="779" t="s">
        <v>529</v>
      </c>
      <c r="B280" s="773" t="s">
        <v>769</v>
      </c>
      <c r="C280" s="972"/>
      <c r="D280" s="972"/>
      <c r="E280" s="972"/>
      <c r="F280" s="960">
        <v>0.05</v>
      </c>
    </row>
    <row r="281" spans="1:6" ht="24.75" thickBot="1">
      <c r="A281" s="779" t="s">
        <v>529</v>
      </c>
      <c r="B281" s="773" t="s">
        <v>770</v>
      </c>
      <c r="C281" s="972"/>
      <c r="D281" s="972"/>
      <c r="E281" s="972"/>
      <c r="F281" s="960">
        <v>0.05</v>
      </c>
    </row>
    <row r="282" spans="1:6" ht="24.75" thickBot="1">
      <c r="A282" s="779" t="s">
        <v>529</v>
      </c>
      <c r="B282" s="773" t="s">
        <v>771</v>
      </c>
      <c r="C282" s="972"/>
      <c r="D282" s="972"/>
      <c r="E282" s="972"/>
      <c r="F282" s="960">
        <v>0.05</v>
      </c>
    </row>
    <row r="283" spans="1:6" ht="24.75" thickBot="1">
      <c r="A283" s="779" t="s">
        <v>529</v>
      </c>
      <c r="B283" s="773" t="s">
        <v>772</v>
      </c>
      <c r="C283" s="972"/>
      <c r="D283" s="972"/>
      <c r="E283" s="972"/>
      <c r="F283" s="960">
        <v>0.05</v>
      </c>
    </row>
    <row r="284" spans="1:6" ht="24.75" thickBot="1">
      <c r="A284" s="779" t="s">
        <v>529</v>
      </c>
      <c r="B284" s="773" t="s">
        <v>773</v>
      </c>
      <c r="C284" s="972"/>
      <c r="D284" s="972"/>
      <c r="E284" s="972"/>
      <c r="F284" s="960">
        <v>0.05</v>
      </c>
    </row>
    <row r="285" spans="1:6" ht="24.75" thickBot="1">
      <c r="A285" s="779" t="s">
        <v>529</v>
      </c>
      <c r="B285" s="773" t="s">
        <v>774</v>
      </c>
      <c r="C285" s="972"/>
      <c r="D285" s="972"/>
      <c r="E285" s="972"/>
      <c r="F285" s="960">
        <v>0.05</v>
      </c>
    </row>
    <row r="286" spans="1:6" ht="24.75" thickBot="1">
      <c r="A286" s="779" t="s">
        <v>529</v>
      </c>
      <c r="B286" s="773" t="s">
        <v>775</v>
      </c>
      <c r="C286" s="972"/>
      <c r="D286" s="972"/>
      <c r="E286" s="972"/>
      <c r="F286" s="960">
        <v>0.05</v>
      </c>
    </row>
    <row r="287" spans="1:6" ht="24.75" thickBot="1">
      <c r="A287" s="779" t="s">
        <v>529</v>
      </c>
      <c r="B287" s="773" t="s">
        <v>776</v>
      </c>
      <c r="C287" s="972"/>
      <c r="D287" s="972"/>
      <c r="E287" s="972"/>
      <c r="F287" s="960">
        <v>0.05</v>
      </c>
    </row>
    <row r="288" spans="1:6" ht="24.75" thickBot="1">
      <c r="A288" s="779" t="s">
        <v>529</v>
      </c>
      <c r="B288" s="773" t="s">
        <v>777</v>
      </c>
      <c r="C288" s="972"/>
      <c r="D288" s="972"/>
      <c r="E288" s="972"/>
      <c r="F288" s="960">
        <v>0.05</v>
      </c>
    </row>
    <row r="289" spans="1:6" ht="24.75" thickBot="1">
      <c r="A289" s="789" t="s">
        <v>529</v>
      </c>
      <c r="B289" s="785" t="s">
        <v>778</v>
      </c>
      <c r="C289" s="969"/>
      <c r="D289" s="969"/>
      <c r="E289" s="969"/>
      <c r="F289" s="962">
        <v>0.05</v>
      </c>
    </row>
    <row r="290" spans="1:6" ht="14.25" thickBot="1">
      <c r="A290" s="779" t="s">
        <v>533</v>
      </c>
      <c r="B290" s="780" t="s">
        <v>779</v>
      </c>
      <c r="C290" s="957">
        <v>0.15</v>
      </c>
      <c r="D290" s="957">
        <v>0.15</v>
      </c>
      <c r="E290" s="957">
        <v>0.15</v>
      </c>
      <c r="F290" s="974"/>
    </row>
    <row r="291" spans="1:6" ht="14.25" thickBot="1">
      <c r="A291" s="779" t="s">
        <v>533</v>
      </c>
      <c r="B291" s="773" t="s">
        <v>195</v>
      </c>
      <c r="C291" s="959">
        <v>0.15</v>
      </c>
      <c r="D291" s="959">
        <v>0.15</v>
      </c>
      <c r="E291" s="959">
        <v>0.15</v>
      </c>
      <c r="F291" s="971"/>
    </row>
    <row r="292" spans="1:6" ht="14.25" thickBot="1">
      <c r="A292" s="779" t="s">
        <v>533</v>
      </c>
      <c r="B292" s="773" t="s">
        <v>780</v>
      </c>
      <c r="C292" s="959">
        <v>0.15</v>
      </c>
      <c r="D292" s="959">
        <v>0.15</v>
      </c>
      <c r="E292" s="959">
        <v>0.15</v>
      </c>
      <c r="F292" s="960">
        <v>0.14699999999999999</v>
      </c>
    </row>
    <row r="293" spans="1:6" ht="14.25" thickBot="1">
      <c r="A293" s="779" t="s">
        <v>533</v>
      </c>
      <c r="B293" s="773" t="s">
        <v>781</v>
      </c>
      <c r="C293" s="972"/>
      <c r="D293" s="972"/>
      <c r="E293" s="972"/>
      <c r="F293" s="960">
        <v>0.1</v>
      </c>
    </row>
    <row r="294" spans="1:6" ht="14.25" thickBot="1">
      <c r="A294" s="779" t="s">
        <v>533</v>
      </c>
      <c r="B294" s="773" t="s">
        <v>782</v>
      </c>
      <c r="C294" s="959">
        <v>0.15</v>
      </c>
      <c r="D294" s="959">
        <v>0.15</v>
      </c>
      <c r="E294" s="959">
        <v>0.15</v>
      </c>
      <c r="F294" s="960">
        <v>0.15</v>
      </c>
    </row>
    <row r="295" spans="1:6" ht="14.25" thickBot="1">
      <c r="A295" s="779" t="s">
        <v>533</v>
      </c>
      <c r="B295" s="773" t="s">
        <v>233</v>
      </c>
      <c r="C295" s="959">
        <v>0.15</v>
      </c>
      <c r="D295" s="959">
        <v>0.15</v>
      </c>
      <c r="E295" s="959">
        <v>0.15</v>
      </c>
      <c r="F295" s="960">
        <v>0.15</v>
      </c>
    </row>
    <row r="296" spans="1:6" ht="14.25" thickBot="1">
      <c r="A296" s="779" t="s">
        <v>533</v>
      </c>
      <c r="B296" s="773" t="s">
        <v>783</v>
      </c>
      <c r="C296" s="959">
        <v>0.15</v>
      </c>
      <c r="D296" s="959">
        <v>0.15</v>
      </c>
      <c r="E296" s="959">
        <v>0.15</v>
      </c>
      <c r="F296" s="960">
        <v>0.15</v>
      </c>
    </row>
    <row r="297" spans="1:6" ht="14.25" thickBot="1">
      <c r="A297" s="779" t="s">
        <v>533</v>
      </c>
      <c r="B297" s="773" t="s">
        <v>784</v>
      </c>
      <c r="C297" s="959">
        <v>0.14799999999999999</v>
      </c>
      <c r="D297" s="959">
        <v>0.14899999999999999</v>
      </c>
      <c r="E297" s="959">
        <v>0.15</v>
      </c>
      <c r="F297" s="960">
        <v>0.13700000000000001</v>
      </c>
    </row>
    <row r="298" spans="1:6" ht="14.25" thickBot="1">
      <c r="A298" s="779" t="s">
        <v>533</v>
      </c>
      <c r="B298" s="773" t="s">
        <v>266</v>
      </c>
      <c r="C298" s="959">
        <v>0.13400000000000001</v>
      </c>
      <c r="D298" s="959">
        <v>0.13400000000000001</v>
      </c>
      <c r="E298" s="959">
        <v>0.14499999999999999</v>
      </c>
      <c r="F298" s="960">
        <v>0.14799999999999999</v>
      </c>
    </row>
    <row r="299" spans="1:6" ht="14.25" thickBot="1">
      <c r="A299" s="779" t="s">
        <v>533</v>
      </c>
      <c r="B299" s="773" t="s">
        <v>278</v>
      </c>
      <c r="C299" s="959">
        <v>0.15</v>
      </c>
      <c r="D299" s="959">
        <v>0.15</v>
      </c>
      <c r="E299" s="959">
        <v>0.15</v>
      </c>
      <c r="F299" s="971"/>
    </row>
    <row r="300" spans="1:6" ht="14.25" thickBot="1">
      <c r="A300" s="779" t="s">
        <v>533</v>
      </c>
      <c r="B300" s="773" t="s">
        <v>785</v>
      </c>
      <c r="C300" s="959">
        <v>0.15</v>
      </c>
      <c r="D300" s="959">
        <v>0.15</v>
      </c>
      <c r="E300" s="959">
        <v>0.15</v>
      </c>
      <c r="F300" s="960">
        <v>0.15</v>
      </c>
    </row>
    <row r="301" spans="1:6" ht="14.25" thickBot="1">
      <c r="A301" s="779" t="s">
        <v>533</v>
      </c>
      <c r="B301" s="773" t="s">
        <v>298</v>
      </c>
      <c r="C301" s="959">
        <v>0.15</v>
      </c>
      <c r="D301" s="959">
        <v>0.15</v>
      </c>
      <c r="E301" s="959">
        <v>0.15</v>
      </c>
      <c r="F301" s="971"/>
    </row>
    <row r="302" spans="1:6" ht="14.25" thickBot="1">
      <c r="A302" s="779" t="s">
        <v>533</v>
      </c>
      <c r="B302" s="773" t="s">
        <v>786</v>
      </c>
      <c r="C302" s="959">
        <v>0.15</v>
      </c>
      <c r="D302" s="959">
        <v>0.15</v>
      </c>
      <c r="E302" s="959">
        <v>0.15</v>
      </c>
      <c r="F302" s="960">
        <v>0.15</v>
      </c>
    </row>
    <row r="303" spans="1:6" ht="14.25" thickBot="1">
      <c r="A303" s="779" t="s">
        <v>533</v>
      </c>
      <c r="B303" s="773" t="s">
        <v>318</v>
      </c>
      <c r="C303" s="959">
        <v>0.15</v>
      </c>
      <c r="D303" s="959">
        <v>0.15</v>
      </c>
      <c r="E303" s="959">
        <v>0.15</v>
      </c>
      <c r="F303" s="960">
        <v>0.15</v>
      </c>
    </row>
    <row r="304" spans="1:6" ht="14.25" thickBot="1">
      <c r="A304" s="779" t="s">
        <v>533</v>
      </c>
      <c r="B304" s="773" t="s">
        <v>329</v>
      </c>
      <c r="C304" s="959">
        <v>0.15</v>
      </c>
      <c r="D304" s="959">
        <v>0.15</v>
      </c>
      <c r="E304" s="959">
        <v>0.15</v>
      </c>
      <c r="F304" s="971"/>
    </row>
    <row r="305" spans="1:6" ht="14.25" thickBot="1">
      <c r="A305" s="779" t="s">
        <v>533</v>
      </c>
      <c r="B305" s="773" t="s">
        <v>787</v>
      </c>
      <c r="C305" s="959">
        <v>0.15</v>
      </c>
      <c r="D305" s="959">
        <v>0.15</v>
      </c>
      <c r="E305" s="959">
        <v>0.15</v>
      </c>
      <c r="F305" s="960">
        <v>0.14000000000000001</v>
      </c>
    </row>
    <row r="306" spans="1:6" ht="14.25" thickBot="1">
      <c r="A306" s="779" t="s">
        <v>533</v>
      </c>
      <c r="B306" s="773" t="s">
        <v>350</v>
      </c>
      <c r="C306" s="959">
        <v>0.15</v>
      </c>
      <c r="D306" s="959">
        <v>0.15</v>
      </c>
      <c r="E306" s="959">
        <v>0.15</v>
      </c>
      <c r="F306" s="971"/>
    </row>
    <row r="307" spans="1:6" ht="14.25" thickBot="1">
      <c r="A307" s="779" t="s">
        <v>533</v>
      </c>
      <c r="B307" s="773" t="s">
        <v>788</v>
      </c>
      <c r="C307" s="959">
        <v>0.15</v>
      </c>
      <c r="D307" s="959">
        <v>0.15</v>
      </c>
      <c r="E307" s="959">
        <v>0.15</v>
      </c>
      <c r="F307" s="960">
        <v>0.14299999999999999</v>
      </c>
    </row>
    <row r="308" spans="1:6" ht="14.25" thickBot="1">
      <c r="A308" s="779" t="s">
        <v>533</v>
      </c>
      <c r="B308" s="773" t="s">
        <v>370</v>
      </c>
      <c r="C308" s="959">
        <v>0.15</v>
      </c>
      <c r="D308" s="959">
        <v>0.15</v>
      </c>
      <c r="E308" s="959">
        <v>0.15</v>
      </c>
      <c r="F308" s="960">
        <v>0.15</v>
      </c>
    </row>
    <row r="309" spans="1:6" ht="14.25" thickBot="1">
      <c r="A309" s="779" t="s">
        <v>533</v>
      </c>
      <c r="B309" s="773" t="s">
        <v>380</v>
      </c>
      <c r="C309" s="959">
        <v>0.15</v>
      </c>
      <c r="D309" s="959">
        <v>0.15</v>
      </c>
      <c r="E309" s="959">
        <v>0.15</v>
      </c>
      <c r="F309" s="971"/>
    </row>
    <row r="310" spans="1:6" ht="14.25" thickBot="1">
      <c r="A310" s="779" t="s">
        <v>533</v>
      </c>
      <c r="B310" s="773" t="s">
        <v>789</v>
      </c>
      <c r="C310" s="959">
        <v>0.15</v>
      </c>
      <c r="D310" s="959">
        <v>0.15</v>
      </c>
      <c r="E310" s="959">
        <v>0.15</v>
      </c>
      <c r="F310" s="960">
        <v>0.13700000000000001</v>
      </c>
    </row>
    <row r="311" spans="1:6" ht="14.25" thickBot="1">
      <c r="A311" s="779" t="s">
        <v>533</v>
      </c>
      <c r="B311" s="773" t="s">
        <v>790</v>
      </c>
      <c r="C311" s="959">
        <v>0.15</v>
      </c>
      <c r="D311" s="959">
        <v>0.15</v>
      </c>
      <c r="E311" s="959">
        <v>0.15</v>
      </c>
      <c r="F311" s="960">
        <v>0.15</v>
      </c>
    </row>
    <row r="312" spans="1:6" ht="14.25" thickBot="1">
      <c r="A312" s="779" t="s">
        <v>533</v>
      </c>
      <c r="B312" s="773" t="s">
        <v>406</v>
      </c>
      <c r="C312" s="959">
        <v>0.15</v>
      </c>
      <c r="D312" s="959">
        <v>0.15</v>
      </c>
      <c r="E312" s="959">
        <v>0.15</v>
      </c>
      <c r="F312" s="960">
        <v>0.1</v>
      </c>
    </row>
    <row r="313" spans="1:6" ht="14.25" thickBot="1">
      <c r="A313" s="779" t="s">
        <v>533</v>
      </c>
      <c r="B313" s="773" t="s">
        <v>791</v>
      </c>
      <c r="C313" s="959">
        <v>0.15</v>
      </c>
      <c r="D313" s="959">
        <v>0.15</v>
      </c>
      <c r="E313" s="959">
        <v>0.15</v>
      </c>
      <c r="F313" s="960">
        <v>0.15</v>
      </c>
    </row>
    <row r="314" spans="1:6" ht="24.75" thickBot="1">
      <c r="A314" s="779" t="s">
        <v>533</v>
      </c>
      <c r="B314" s="773" t="s">
        <v>792</v>
      </c>
      <c r="C314" s="972"/>
      <c r="D314" s="972"/>
      <c r="E314" s="972"/>
      <c r="F314" s="960">
        <v>0.05</v>
      </c>
    </row>
    <row r="315" spans="1:6" ht="24.75" thickBot="1">
      <c r="A315" s="779" t="s">
        <v>533</v>
      </c>
      <c r="B315" s="773" t="s">
        <v>793</v>
      </c>
      <c r="C315" s="972"/>
      <c r="D315" s="972"/>
      <c r="E315" s="972"/>
      <c r="F315" s="960">
        <v>0.05</v>
      </c>
    </row>
    <row r="316" spans="1:6" ht="24.75" thickBot="1">
      <c r="A316" s="789" t="s">
        <v>533</v>
      </c>
      <c r="B316" s="785" t="s">
        <v>794</v>
      </c>
      <c r="C316" s="969"/>
      <c r="D316" s="969"/>
      <c r="E316" s="969"/>
      <c r="F316" s="962">
        <v>0.05</v>
      </c>
    </row>
    <row r="317" spans="1:6" ht="14.25" thickBot="1">
      <c r="A317" s="779" t="s">
        <v>795</v>
      </c>
      <c r="B317" s="780" t="s">
        <v>796</v>
      </c>
      <c r="C317" s="957">
        <v>0.15</v>
      </c>
      <c r="D317" s="957">
        <v>0.15</v>
      </c>
      <c r="E317" s="957">
        <v>0.15</v>
      </c>
      <c r="F317" s="958">
        <v>0.15</v>
      </c>
    </row>
    <row r="318" spans="1:6" ht="14.25" thickBot="1">
      <c r="A318" s="779" t="s">
        <v>795</v>
      </c>
      <c r="B318" s="773" t="s">
        <v>797</v>
      </c>
      <c r="C318" s="959">
        <v>0.107</v>
      </c>
      <c r="D318" s="959">
        <v>0.11</v>
      </c>
      <c r="E318" s="959">
        <v>0.112</v>
      </c>
      <c r="F318" s="971"/>
    </row>
    <row r="319" spans="1:6" ht="14.25" thickBot="1">
      <c r="A319" s="779" t="s">
        <v>795</v>
      </c>
      <c r="B319" s="773" t="s">
        <v>798</v>
      </c>
      <c r="C319" s="959">
        <v>0.15</v>
      </c>
      <c r="D319" s="959">
        <v>0.15</v>
      </c>
      <c r="E319" s="959">
        <v>0.15</v>
      </c>
      <c r="F319" s="960">
        <v>0.15</v>
      </c>
    </row>
    <row r="320" spans="1:6" ht="14.25" thickBot="1">
      <c r="A320" s="779" t="s">
        <v>795</v>
      </c>
      <c r="B320" s="773" t="s">
        <v>222</v>
      </c>
      <c r="C320" s="959">
        <v>0.15</v>
      </c>
      <c r="D320" s="959">
        <v>0.15</v>
      </c>
      <c r="E320" s="959">
        <v>0.15</v>
      </c>
      <c r="F320" s="971"/>
    </row>
    <row r="321" spans="1:6" ht="14.25" thickBot="1">
      <c r="A321" s="779" t="s">
        <v>795</v>
      </c>
      <c r="B321" s="773" t="s">
        <v>799</v>
      </c>
      <c r="C321" s="959">
        <v>0.15</v>
      </c>
      <c r="D321" s="959">
        <v>0.15</v>
      </c>
      <c r="E321" s="959">
        <v>0.15</v>
      </c>
      <c r="F321" s="971"/>
    </row>
    <row r="322" spans="1:6" ht="14.25" thickBot="1">
      <c r="A322" s="779" t="s">
        <v>795</v>
      </c>
      <c r="B322" s="773" t="s">
        <v>800</v>
      </c>
      <c r="C322" s="959">
        <v>0.15</v>
      </c>
      <c r="D322" s="959">
        <v>0.15</v>
      </c>
      <c r="E322" s="959">
        <v>0.15</v>
      </c>
      <c r="F322" s="960">
        <v>0.15</v>
      </c>
    </row>
    <row r="323" spans="1:6" ht="14.25" thickBot="1">
      <c r="A323" s="779" t="s">
        <v>795</v>
      </c>
      <c r="B323" s="773" t="s">
        <v>801</v>
      </c>
      <c r="C323" s="959">
        <v>0.15</v>
      </c>
      <c r="D323" s="959">
        <v>0.15</v>
      </c>
      <c r="E323" s="959">
        <v>0.15</v>
      </c>
      <c r="F323" s="971"/>
    </row>
    <row r="324" spans="1:6" ht="14.25" thickBot="1">
      <c r="A324" s="779" t="s">
        <v>795</v>
      </c>
      <c r="B324" s="773" t="s">
        <v>802</v>
      </c>
      <c r="C324" s="959">
        <v>0.15</v>
      </c>
      <c r="D324" s="959">
        <v>0.15</v>
      </c>
      <c r="E324" s="959">
        <v>0.15</v>
      </c>
      <c r="F324" s="971"/>
    </row>
    <row r="325" spans="1:6" ht="14.25" thickBot="1">
      <c r="A325" s="779" t="s">
        <v>795</v>
      </c>
      <c r="B325" s="773" t="s">
        <v>803</v>
      </c>
      <c r="C325" s="959">
        <v>0.15</v>
      </c>
      <c r="D325" s="959">
        <v>0.15</v>
      </c>
      <c r="E325" s="959">
        <v>0.15</v>
      </c>
      <c r="F325" s="960">
        <v>0.14699999999999999</v>
      </c>
    </row>
    <row r="326" spans="1:6" ht="14.25" thickBot="1">
      <c r="A326" s="779" t="s">
        <v>795</v>
      </c>
      <c r="B326" s="773" t="s">
        <v>289</v>
      </c>
      <c r="C326" s="959">
        <v>0.15</v>
      </c>
      <c r="D326" s="959">
        <v>0.15</v>
      </c>
      <c r="E326" s="959">
        <v>0.15</v>
      </c>
      <c r="F326" s="971"/>
    </row>
    <row r="327" spans="1:6" ht="14.25" thickBot="1">
      <c r="A327" s="779" t="s">
        <v>795</v>
      </c>
      <c r="B327" s="773" t="s">
        <v>804</v>
      </c>
      <c r="C327" s="959">
        <v>0.15</v>
      </c>
      <c r="D327" s="959">
        <v>0.15</v>
      </c>
      <c r="E327" s="959">
        <v>0.15</v>
      </c>
      <c r="F327" s="960">
        <v>0.15</v>
      </c>
    </row>
    <row r="328" spans="1:6" ht="14.25" thickBot="1">
      <c r="A328" s="779" t="s">
        <v>795</v>
      </c>
      <c r="B328" s="773" t="s">
        <v>309</v>
      </c>
      <c r="C328" s="959">
        <v>0.15</v>
      </c>
      <c r="D328" s="959">
        <v>0.15</v>
      </c>
      <c r="E328" s="959">
        <v>0.15</v>
      </c>
      <c r="F328" s="960">
        <v>0.14099999999999999</v>
      </c>
    </row>
    <row r="329" spans="1:6" ht="14.25" thickBot="1">
      <c r="A329" s="779" t="s">
        <v>795</v>
      </c>
      <c r="B329" s="773" t="s">
        <v>319</v>
      </c>
      <c r="C329" s="959">
        <v>0.15</v>
      </c>
      <c r="D329" s="959">
        <v>0.15</v>
      </c>
      <c r="E329" s="959">
        <v>0.15</v>
      </c>
      <c r="F329" s="960">
        <v>0.15</v>
      </c>
    </row>
    <row r="330" spans="1:6" ht="14.25" thickBot="1">
      <c r="A330" s="779" t="s">
        <v>795</v>
      </c>
      <c r="B330" s="773" t="s">
        <v>330</v>
      </c>
      <c r="C330" s="959">
        <v>0.15</v>
      </c>
      <c r="D330" s="959">
        <v>0.15</v>
      </c>
      <c r="E330" s="959">
        <v>0.15</v>
      </c>
      <c r="F330" s="971"/>
    </row>
    <row r="331" spans="1:6" ht="14.25" thickBot="1">
      <c r="A331" s="779" t="s">
        <v>795</v>
      </c>
      <c r="B331" s="773" t="s">
        <v>805</v>
      </c>
      <c r="C331" s="959">
        <v>0.15</v>
      </c>
      <c r="D331" s="959">
        <v>0.15</v>
      </c>
      <c r="E331" s="959">
        <v>0.15</v>
      </c>
      <c r="F331" s="960">
        <v>0.15</v>
      </c>
    </row>
    <row r="332" spans="1:6" ht="14.25" thickBot="1">
      <c r="A332" s="779" t="s">
        <v>795</v>
      </c>
      <c r="B332" s="773" t="s">
        <v>351</v>
      </c>
      <c r="C332" s="959">
        <v>0.15</v>
      </c>
      <c r="D332" s="959">
        <v>0.15</v>
      </c>
      <c r="E332" s="959">
        <v>0.15</v>
      </c>
      <c r="F332" s="960">
        <v>0.15</v>
      </c>
    </row>
    <row r="333" spans="1:6" ht="14.25" thickBot="1">
      <c r="A333" s="779" t="s">
        <v>795</v>
      </c>
      <c r="B333" s="773" t="s">
        <v>806</v>
      </c>
      <c r="C333" s="959">
        <v>0.15</v>
      </c>
      <c r="D333" s="959">
        <v>0.15</v>
      </c>
      <c r="E333" s="959">
        <v>0.15</v>
      </c>
      <c r="F333" s="960">
        <v>0.14099999999999999</v>
      </c>
    </row>
    <row r="334" spans="1:6" ht="14.25" thickBot="1">
      <c r="A334" s="779" t="s">
        <v>795</v>
      </c>
      <c r="B334" s="773" t="s">
        <v>371</v>
      </c>
      <c r="C334" s="959">
        <v>0.15</v>
      </c>
      <c r="D334" s="959">
        <v>0.15</v>
      </c>
      <c r="E334" s="959">
        <v>0.15</v>
      </c>
      <c r="F334" s="960">
        <v>0.15</v>
      </c>
    </row>
    <row r="335" spans="1:6" ht="14.25" thickBot="1">
      <c r="A335" s="779" t="s">
        <v>795</v>
      </c>
      <c r="B335" s="773" t="s">
        <v>381</v>
      </c>
      <c r="C335" s="959">
        <v>0.15</v>
      </c>
      <c r="D335" s="959">
        <v>0.15</v>
      </c>
      <c r="E335" s="959">
        <v>0.15</v>
      </c>
      <c r="F335" s="971"/>
    </row>
    <row r="336" spans="1:6" ht="14.25" thickBot="1">
      <c r="A336" s="779" t="s">
        <v>795</v>
      </c>
      <c r="B336" s="773" t="s">
        <v>807</v>
      </c>
      <c r="C336" s="959">
        <v>0.15</v>
      </c>
      <c r="D336" s="959">
        <v>0.15</v>
      </c>
      <c r="E336" s="959">
        <v>0.15</v>
      </c>
      <c r="F336" s="960">
        <v>0.11799999999999999</v>
      </c>
    </row>
    <row r="337" spans="1:6" ht="14.25" thickBot="1">
      <c r="A337" s="789" t="s">
        <v>795</v>
      </c>
      <c r="B337" s="785" t="s">
        <v>399</v>
      </c>
      <c r="C337" s="969"/>
      <c r="D337" s="969"/>
      <c r="E337" s="969"/>
      <c r="F337" s="962">
        <v>0.14299999999999999</v>
      </c>
    </row>
    <row r="338" spans="1:6" ht="14.25" thickBot="1">
      <c r="A338" s="779" t="s">
        <v>808</v>
      </c>
      <c r="B338" s="780" t="s">
        <v>809</v>
      </c>
      <c r="C338" s="957">
        <v>0.15</v>
      </c>
      <c r="D338" s="957">
        <v>0.15</v>
      </c>
      <c r="E338" s="957">
        <v>0.15</v>
      </c>
      <c r="F338" s="974"/>
    </row>
    <row r="339" spans="1:6" ht="14.25" thickBot="1">
      <c r="A339" s="779" t="s">
        <v>808</v>
      </c>
      <c r="B339" s="773" t="s">
        <v>810</v>
      </c>
      <c r="C339" s="959">
        <v>0.15</v>
      </c>
      <c r="D339" s="959">
        <v>0.15</v>
      </c>
      <c r="E339" s="959">
        <v>0.15</v>
      </c>
      <c r="F339" s="971"/>
    </row>
    <row r="340" spans="1:6" ht="14.25" thickBot="1">
      <c r="A340" s="779" t="s">
        <v>808</v>
      </c>
      <c r="B340" s="773" t="s">
        <v>811</v>
      </c>
      <c r="C340" s="959">
        <v>0.15</v>
      </c>
      <c r="D340" s="959">
        <v>0.15</v>
      </c>
      <c r="E340" s="959">
        <v>0.15</v>
      </c>
      <c r="F340" s="971"/>
    </row>
    <row r="341" spans="1:6" ht="14.25" thickBot="1">
      <c r="A341" s="779" t="s">
        <v>808</v>
      </c>
      <c r="B341" s="773" t="s">
        <v>812</v>
      </c>
      <c r="C341" s="959">
        <v>0.15</v>
      </c>
      <c r="D341" s="959">
        <v>0.15</v>
      </c>
      <c r="E341" s="959">
        <v>0.15</v>
      </c>
      <c r="F341" s="960">
        <v>0.15</v>
      </c>
    </row>
    <row r="342" spans="1:6" ht="14.25" thickBot="1">
      <c r="A342" s="779" t="s">
        <v>808</v>
      </c>
      <c r="B342" s="773" t="s">
        <v>813</v>
      </c>
      <c r="C342" s="959">
        <v>0.15</v>
      </c>
      <c r="D342" s="959">
        <v>0.15</v>
      </c>
      <c r="E342" s="959">
        <v>0.15</v>
      </c>
      <c r="F342" s="960">
        <v>0.15</v>
      </c>
    </row>
    <row r="343" spans="1:6" ht="14.25" thickBot="1">
      <c r="A343" s="779" t="s">
        <v>808</v>
      </c>
      <c r="B343" s="773" t="s">
        <v>814</v>
      </c>
      <c r="C343" s="959">
        <v>0.15</v>
      </c>
      <c r="D343" s="959">
        <v>0.15</v>
      </c>
      <c r="E343" s="959">
        <v>0.15</v>
      </c>
      <c r="F343" s="960">
        <v>0.15</v>
      </c>
    </row>
    <row r="344" spans="1:6" ht="14.25" thickBot="1">
      <c r="A344" s="789" t="s">
        <v>808</v>
      </c>
      <c r="B344" s="785" t="s">
        <v>815</v>
      </c>
      <c r="C344" s="961">
        <v>0.15</v>
      </c>
      <c r="D344" s="961">
        <v>0.15</v>
      </c>
      <c r="E344" s="961">
        <v>0.15</v>
      </c>
      <c r="F344" s="962">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Q80" sqref="Q80"/>
    </sheetView>
  </sheetViews>
  <sheetFormatPr defaultRowHeight="13.5"/>
  <cols>
    <col min="1" max="1" width="4.875" style="1363" customWidth="1"/>
    <col min="2" max="2" width="13.25" style="1369" customWidth="1"/>
    <col min="3" max="3" width="15.625" style="1369" customWidth="1"/>
    <col min="4" max="4" width="9.375" style="1369" bestFit="1" customWidth="1"/>
    <col min="5" max="5" width="13.5" style="1369" customWidth="1"/>
    <col min="6" max="6" width="9" style="1369"/>
    <col min="7" max="7" width="9.375" style="1369" bestFit="1" customWidth="1"/>
    <col min="8" max="8" width="12.25" style="1369" customWidth="1"/>
    <col min="9" max="9" width="9" style="1369"/>
    <col min="10" max="10" width="9.375" style="1369" bestFit="1" customWidth="1"/>
    <col min="11" max="11" width="4" style="1363" customWidth="1"/>
    <col min="12" max="12" width="5.125" style="1369" customWidth="1"/>
    <col min="13" max="13" width="13.75" style="1369" customWidth="1"/>
    <col min="14" max="256" width="9" style="1369"/>
    <col min="257" max="257" width="4.875" style="1360" customWidth="1"/>
    <col min="258" max="258" width="13.25" style="1360" customWidth="1"/>
    <col min="259" max="259" width="15.625" style="1360" customWidth="1"/>
    <col min="260" max="260" width="9.375" style="1360" bestFit="1" customWidth="1"/>
    <col min="261" max="261" width="13.5" style="1360" customWidth="1"/>
    <col min="262" max="262" width="9" style="1360"/>
    <col min="263" max="263" width="9.375" style="1360" bestFit="1" customWidth="1"/>
    <col min="264" max="265" width="9" style="1360"/>
    <col min="266" max="266" width="9.375" style="1360" bestFit="1" customWidth="1"/>
    <col min="267" max="267" width="4" style="1360" customWidth="1"/>
    <col min="268" max="268" width="5.125" style="1360" customWidth="1"/>
    <col min="269" max="269" width="13.75" style="1360" customWidth="1"/>
    <col min="270" max="512" width="9" style="1360"/>
    <col min="513" max="513" width="4.875" style="1360" customWidth="1"/>
    <col min="514" max="514" width="13.25" style="1360" customWidth="1"/>
    <col min="515" max="515" width="15.625" style="1360" customWidth="1"/>
    <col min="516" max="516" width="9.375" style="1360" bestFit="1" customWidth="1"/>
    <col min="517" max="517" width="13.5" style="1360" customWidth="1"/>
    <col min="518" max="518" width="9" style="1360"/>
    <col min="519" max="519" width="9.375" style="1360" bestFit="1" customWidth="1"/>
    <col min="520" max="521" width="9" style="1360"/>
    <col min="522" max="522" width="9.375" style="1360" bestFit="1" customWidth="1"/>
    <col min="523" max="523" width="4" style="1360" customWidth="1"/>
    <col min="524" max="524" width="5.125" style="1360" customWidth="1"/>
    <col min="525" max="525" width="13.75" style="1360" customWidth="1"/>
    <col min="526" max="768" width="9" style="1360"/>
    <col min="769" max="769" width="4.875" style="1360" customWidth="1"/>
    <col min="770" max="770" width="13.25" style="1360" customWidth="1"/>
    <col min="771" max="771" width="15.625" style="1360" customWidth="1"/>
    <col min="772" max="772" width="9.375" style="1360" bestFit="1" customWidth="1"/>
    <col min="773" max="773" width="13.5" style="1360" customWidth="1"/>
    <col min="774" max="774" width="9" style="1360"/>
    <col min="775" max="775" width="9.375" style="1360" bestFit="1" customWidth="1"/>
    <col min="776" max="777" width="9" style="1360"/>
    <col min="778" max="778" width="9.375" style="1360" bestFit="1" customWidth="1"/>
    <col min="779" max="779" width="4" style="1360" customWidth="1"/>
    <col min="780" max="780" width="5.125" style="1360" customWidth="1"/>
    <col min="781" max="781" width="13.75" style="1360" customWidth="1"/>
    <col min="782" max="1024" width="9" style="1360"/>
    <col min="1025" max="1025" width="4.875" style="1360" customWidth="1"/>
    <col min="1026" max="1026" width="13.25" style="1360" customWidth="1"/>
    <col min="1027" max="1027" width="15.625" style="1360" customWidth="1"/>
    <col min="1028" max="1028" width="9.375" style="1360" bestFit="1" customWidth="1"/>
    <col min="1029" max="1029" width="13.5" style="1360" customWidth="1"/>
    <col min="1030" max="1030" width="9" style="1360"/>
    <col min="1031" max="1031" width="9.375" style="1360" bestFit="1" customWidth="1"/>
    <col min="1032" max="1033" width="9" style="1360"/>
    <col min="1034" max="1034" width="9.375" style="1360" bestFit="1" customWidth="1"/>
    <col min="1035" max="1035" width="4" style="1360" customWidth="1"/>
    <col min="1036" max="1036" width="5.125" style="1360" customWidth="1"/>
    <col min="1037" max="1037" width="13.75" style="1360" customWidth="1"/>
    <col min="1038" max="1280" width="9" style="1360"/>
    <col min="1281" max="1281" width="4.875" style="1360" customWidth="1"/>
    <col min="1282" max="1282" width="13.25" style="1360" customWidth="1"/>
    <col min="1283" max="1283" width="15.625" style="1360" customWidth="1"/>
    <col min="1284" max="1284" width="9.375" style="1360" bestFit="1" customWidth="1"/>
    <col min="1285" max="1285" width="13.5" style="1360" customWidth="1"/>
    <col min="1286" max="1286" width="9" style="1360"/>
    <col min="1287" max="1287" width="9.375" style="1360" bestFit="1" customWidth="1"/>
    <col min="1288" max="1289" width="9" style="1360"/>
    <col min="1290" max="1290" width="9.375" style="1360" bestFit="1" customWidth="1"/>
    <col min="1291" max="1291" width="4" style="1360" customWidth="1"/>
    <col min="1292" max="1292" width="5.125" style="1360" customWidth="1"/>
    <col min="1293" max="1293" width="13.75" style="1360" customWidth="1"/>
    <col min="1294" max="1536" width="9" style="1360"/>
    <col min="1537" max="1537" width="4.875" style="1360" customWidth="1"/>
    <col min="1538" max="1538" width="13.25" style="1360" customWidth="1"/>
    <col min="1539" max="1539" width="15.625" style="1360" customWidth="1"/>
    <col min="1540" max="1540" width="9.375" style="1360" bestFit="1" customWidth="1"/>
    <col min="1541" max="1541" width="13.5" style="1360" customWidth="1"/>
    <col min="1542" max="1542" width="9" style="1360"/>
    <col min="1543" max="1543" width="9.375" style="1360" bestFit="1" customWidth="1"/>
    <col min="1544" max="1545" width="9" style="1360"/>
    <col min="1546" max="1546" width="9.375" style="1360" bestFit="1" customWidth="1"/>
    <col min="1547" max="1547" width="4" style="1360" customWidth="1"/>
    <col min="1548" max="1548" width="5.125" style="1360" customWidth="1"/>
    <col min="1549" max="1549" width="13.75" style="1360" customWidth="1"/>
    <col min="1550" max="1792" width="9" style="1360"/>
    <col min="1793" max="1793" width="4.875" style="1360" customWidth="1"/>
    <col min="1794" max="1794" width="13.25" style="1360" customWidth="1"/>
    <col min="1795" max="1795" width="15.625" style="1360" customWidth="1"/>
    <col min="1796" max="1796" width="9.375" style="1360" bestFit="1" customWidth="1"/>
    <col min="1797" max="1797" width="13.5" style="1360" customWidth="1"/>
    <col min="1798" max="1798" width="9" style="1360"/>
    <col min="1799" max="1799" width="9.375" style="1360" bestFit="1" customWidth="1"/>
    <col min="1800" max="1801" width="9" style="1360"/>
    <col min="1802" max="1802" width="9.375" style="1360" bestFit="1" customWidth="1"/>
    <col min="1803" max="1803" width="4" style="1360" customWidth="1"/>
    <col min="1804" max="1804" width="5.125" style="1360" customWidth="1"/>
    <col min="1805" max="1805" width="13.75" style="1360" customWidth="1"/>
    <col min="1806" max="2048" width="9" style="1360"/>
    <col min="2049" max="2049" width="4.875" style="1360" customWidth="1"/>
    <col min="2050" max="2050" width="13.25" style="1360" customWidth="1"/>
    <col min="2051" max="2051" width="15.625" style="1360" customWidth="1"/>
    <col min="2052" max="2052" width="9.375" style="1360" bestFit="1" customWidth="1"/>
    <col min="2053" max="2053" width="13.5" style="1360" customWidth="1"/>
    <col min="2054" max="2054" width="9" style="1360"/>
    <col min="2055" max="2055" width="9.375" style="1360" bestFit="1" customWidth="1"/>
    <col min="2056" max="2057" width="9" style="1360"/>
    <col min="2058" max="2058" width="9.375" style="1360" bestFit="1" customWidth="1"/>
    <col min="2059" max="2059" width="4" style="1360" customWidth="1"/>
    <col min="2060" max="2060" width="5.125" style="1360" customWidth="1"/>
    <col min="2061" max="2061" width="13.75" style="1360" customWidth="1"/>
    <col min="2062" max="2304" width="9" style="1360"/>
    <col min="2305" max="2305" width="4.875" style="1360" customWidth="1"/>
    <col min="2306" max="2306" width="13.25" style="1360" customWidth="1"/>
    <col min="2307" max="2307" width="15.625" style="1360" customWidth="1"/>
    <col min="2308" max="2308" width="9.375" style="1360" bestFit="1" customWidth="1"/>
    <col min="2309" max="2309" width="13.5" style="1360" customWidth="1"/>
    <col min="2310" max="2310" width="9" style="1360"/>
    <col min="2311" max="2311" width="9.375" style="1360" bestFit="1" customWidth="1"/>
    <col min="2312" max="2313" width="9" style="1360"/>
    <col min="2314" max="2314" width="9.375" style="1360" bestFit="1" customWidth="1"/>
    <col min="2315" max="2315" width="4" style="1360" customWidth="1"/>
    <col min="2316" max="2316" width="5.125" style="1360" customWidth="1"/>
    <col min="2317" max="2317" width="13.75" style="1360" customWidth="1"/>
    <col min="2318" max="2560" width="9" style="1360"/>
    <col min="2561" max="2561" width="4.875" style="1360" customWidth="1"/>
    <col min="2562" max="2562" width="13.25" style="1360" customWidth="1"/>
    <col min="2563" max="2563" width="15.625" style="1360" customWidth="1"/>
    <col min="2564" max="2564" width="9.375" style="1360" bestFit="1" customWidth="1"/>
    <col min="2565" max="2565" width="13.5" style="1360" customWidth="1"/>
    <col min="2566" max="2566" width="9" style="1360"/>
    <col min="2567" max="2567" width="9.375" style="1360" bestFit="1" customWidth="1"/>
    <col min="2568" max="2569" width="9" style="1360"/>
    <col min="2570" max="2570" width="9.375" style="1360" bestFit="1" customWidth="1"/>
    <col min="2571" max="2571" width="4" style="1360" customWidth="1"/>
    <col min="2572" max="2572" width="5.125" style="1360" customWidth="1"/>
    <col min="2573" max="2573" width="13.75" style="1360" customWidth="1"/>
    <col min="2574" max="2816" width="9" style="1360"/>
    <col min="2817" max="2817" width="4.875" style="1360" customWidth="1"/>
    <col min="2818" max="2818" width="13.25" style="1360" customWidth="1"/>
    <col min="2819" max="2819" width="15.625" style="1360" customWidth="1"/>
    <col min="2820" max="2820" width="9.375" style="1360" bestFit="1" customWidth="1"/>
    <col min="2821" max="2821" width="13.5" style="1360" customWidth="1"/>
    <col min="2822" max="2822" width="9" style="1360"/>
    <col min="2823" max="2823" width="9.375" style="1360" bestFit="1" customWidth="1"/>
    <col min="2824" max="2825" width="9" style="1360"/>
    <col min="2826" max="2826" width="9.375" style="1360" bestFit="1" customWidth="1"/>
    <col min="2827" max="2827" width="4" style="1360" customWidth="1"/>
    <col min="2828" max="2828" width="5.125" style="1360" customWidth="1"/>
    <col min="2829" max="2829" width="13.75" style="1360" customWidth="1"/>
    <col min="2830" max="3072" width="9" style="1360"/>
    <col min="3073" max="3073" width="4.875" style="1360" customWidth="1"/>
    <col min="3074" max="3074" width="13.25" style="1360" customWidth="1"/>
    <col min="3075" max="3075" width="15.625" style="1360" customWidth="1"/>
    <col min="3076" max="3076" width="9.375" style="1360" bestFit="1" customWidth="1"/>
    <col min="3077" max="3077" width="13.5" style="1360" customWidth="1"/>
    <col min="3078" max="3078" width="9" style="1360"/>
    <col min="3079" max="3079" width="9.375" style="1360" bestFit="1" customWidth="1"/>
    <col min="3080" max="3081" width="9" style="1360"/>
    <col min="3082" max="3082" width="9.375" style="1360" bestFit="1" customWidth="1"/>
    <col min="3083" max="3083" width="4" style="1360" customWidth="1"/>
    <col min="3084" max="3084" width="5.125" style="1360" customWidth="1"/>
    <col min="3085" max="3085" width="13.75" style="1360" customWidth="1"/>
    <col min="3086" max="3328" width="9" style="1360"/>
    <col min="3329" max="3329" width="4.875" style="1360" customWidth="1"/>
    <col min="3330" max="3330" width="13.25" style="1360" customWidth="1"/>
    <col min="3331" max="3331" width="15.625" style="1360" customWidth="1"/>
    <col min="3332" max="3332" width="9.375" style="1360" bestFit="1" customWidth="1"/>
    <col min="3333" max="3333" width="13.5" style="1360" customWidth="1"/>
    <col min="3334" max="3334" width="9" style="1360"/>
    <col min="3335" max="3335" width="9.375" style="1360" bestFit="1" customWidth="1"/>
    <col min="3336" max="3337" width="9" style="1360"/>
    <col min="3338" max="3338" width="9.375" style="1360" bestFit="1" customWidth="1"/>
    <col min="3339" max="3339" width="4" style="1360" customWidth="1"/>
    <col min="3340" max="3340" width="5.125" style="1360" customWidth="1"/>
    <col min="3341" max="3341" width="13.75" style="1360" customWidth="1"/>
    <col min="3342" max="3584" width="9" style="1360"/>
    <col min="3585" max="3585" width="4.875" style="1360" customWidth="1"/>
    <col min="3586" max="3586" width="13.25" style="1360" customWidth="1"/>
    <col min="3587" max="3587" width="15.625" style="1360" customWidth="1"/>
    <col min="3588" max="3588" width="9.375" style="1360" bestFit="1" customWidth="1"/>
    <col min="3589" max="3589" width="13.5" style="1360" customWidth="1"/>
    <col min="3590" max="3590" width="9" style="1360"/>
    <col min="3591" max="3591" width="9.375" style="1360" bestFit="1" customWidth="1"/>
    <col min="3592" max="3593" width="9" style="1360"/>
    <col min="3594" max="3594" width="9.375" style="1360" bestFit="1" customWidth="1"/>
    <col min="3595" max="3595" width="4" style="1360" customWidth="1"/>
    <col min="3596" max="3596" width="5.125" style="1360" customWidth="1"/>
    <col min="3597" max="3597" width="13.75" style="1360" customWidth="1"/>
    <col min="3598" max="3840" width="9" style="1360"/>
    <col min="3841" max="3841" width="4.875" style="1360" customWidth="1"/>
    <col min="3842" max="3842" width="13.25" style="1360" customWidth="1"/>
    <col min="3843" max="3843" width="15.625" style="1360" customWidth="1"/>
    <col min="3844" max="3844" width="9.375" style="1360" bestFit="1" customWidth="1"/>
    <col min="3845" max="3845" width="13.5" style="1360" customWidth="1"/>
    <col min="3846" max="3846" width="9" style="1360"/>
    <col min="3847" max="3847" width="9.375" style="1360" bestFit="1" customWidth="1"/>
    <col min="3848" max="3849" width="9" style="1360"/>
    <col min="3850" max="3850" width="9.375" style="1360" bestFit="1" customWidth="1"/>
    <col min="3851" max="3851" width="4" style="1360" customWidth="1"/>
    <col min="3852" max="3852" width="5.125" style="1360" customWidth="1"/>
    <col min="3853" max="3853" width="13.75" style="1360" customWidth="1"/>
    <col min="3854" max="4096" width="9" style="1360"/>
    <col min="4097" max="4097" width="4.875" style="1360" customWidth="1"/>
    <col min="4098" max="4098" width="13.25" style="1360" customWidth="1"/>
    <col min="4099" max="4099" width="15.625" style="1360" customWidth="1"/>
    <col min="4100" max="4100" width="9.375" style="1360" bestFit="1" customWidth="1"/>
    <col min="4101" max="4101" width="13.5" style="1360" customWidth="1"/>
    <col min="4102" max="4102" width="9" style="1360"/>
    <col min="4103" max="4103" width="9.375" style="1360" bestFit="1" customWidth="1"/>
    <col min="4104" max="4105" width="9" style="1360"/>
    <col min="4106" max="4106" width="9.375" style="1360" bestFit="1" customWidth="1"/>
    <col min="4107" max="4107" width="4" style="1360" customWidth="1"/>
    <col min="4108" max="4108" width="5.125" style="1360" customWidth="1"/>
    <col min="4109" max="4109" width="13.75" style="1360" customWidth="1"/>
    <col min="4110" max="4352" width="9" style="1360"/>
    <col min="4353" max="4353" width="4.875" style="1360" customWidth="1"/>
    <col min="4354" max="4354" width="13.25" style="1360" customWidth="1"/>
    <col min="4355" max="4355" width="15.625" style="1360" customWidth="1"/>
    <col min="4356" max="4356" width="9.375" style="1360" bestFit="1" customWidth="1"/>
    <col min="4357" max="4357" width="13.5" style="1360" customWidth="1"/>
    <col min="4358" max="4358" width="9" style="1360"/>
    <col min="4359" max="4359" width="9.375" style="1360" bestFit="1" customWidth="1"/>
    <col min="4360" max="4361" width="9" style="1360"/>
    <col min="4362" max="4362" width="9.375" style="1360" bestFit="1" customWidth="1"/>
    <col min="4363" max="4363" width="4" style="1360" customWidth="1"/>
    <col min="4364" max="4364" width="5.125" style="1360" customWidth="1"/>
    <col min="4365" max="4365" width="13.75" style="1360" customWidth="1"/>
    <col min="4366" max="4608" width="9" style="1360"/>
    <col min="4609" max="4609" width="4.875" style="1360" customWidth="1"/>
    <col min="4610" max="4610" width="13.25" style="1360" customWidth="1"/>
    <col min="4611" max="4611" width="15.625" style="1360" customWidth="1"/>
    <col min="4612" max="4612" width="9.375" style="1360" bestFit="1" customWidth="1"/>
    <col min="4613" max="4613" width="13.5" style="1360" customWidth="1"/>
    <col min="4614" max="4614" width="9" style="1360"/>
    <col min="4615" max="4615" width="9.375" style="1360" bestFit="1" customWidth="1"/>
    <col min="4616" max="4617" width="9" style="1360"/>
    <col min="4618" max="4618" width="9.375" style="1360" bestFit="1" customWidth="1"/>
    <col min="4619" max="4619" width="4" style="1360" customWidth="1"/>
    <col min="4620" max="4620" width="5.125" style="1360" customWidth="1"/>
    <col min="4621" max="4621" width="13.75" style="1360" customWidth="1"/>
    <col min="4622" max="4864" width="9" style="1360"/>
    <col min="4865" max="4865" width="4.875" style="1360" customWidth="1"/>
    <col min="4866" max="4866" width="13.25" style="1360" customWidth="1"/>
    <col min="4867" max="4867" width="15.625" style="1360" customWidth="1"/>
    <col min="4868" max="4868" width="9.375" style="1360" bestFit="1" customWidth="1"/>
    <col min="4869" max="4869" width="13.5" style="1360" customWidth="1"/>
    <col min="4870" max="4870" width="9" style="1360"/>
    <col min="4871" max="4871" width="9.375" style="1360" bestFit="1" customWidth="1"/>
    <col min="4872" max="4873" width="9" style="1360"/>
    <col min="4874" max="4874" width="9.375" style="1360" bestFit="1" customWidth="1"/>
    <col min="4875" max="4875" width="4" style="1360" customWidth="1"/>
    <col min="4876" max="4876" width="5.125" style="1360" customWidth="1"/>
    <col min="4877" max="4877" width="13.75" style="1360" customWidth="1"/>
    <col min="4878" max="5120" width="9" style="1360"/>
    <col min="5121" max="5121" width="4.875" style="1360" customWidth="1"/>
    <col min="5122" max="5122" width="13.25" style="1360" customWidth="1"/>
    <col min="5123" max="5123" width="15.625" style="1360" customWidth="1"/>
    <col min="5124" max="5124" width="9.375" style="1360" bestFit="1" customWidth="1"/>
    <col min="5125" max="5125" width="13.5" style="1360" customWidth="1"/>
    <col min="5126" max="5126" width="9" style="1360"/>
    <col min="5127" max="5127" width="9.375" style="1360" bestFit="1" customWidth="1"/>
    <col min="5128" max="5129" width="9" style="1360"/>
    <col min="5130" max="5130" width="9.375" style="1360" bestFit="1" customWidth="1"/>
    <col min="5131" max="5131" width="4" style="1360" customWidth="1"/>
    <col min="5132" max="5132" width="5.125" style="1360" customWidth="1"/>
    <col min="5133" max="5133" width="13.75" style="1360" customWidth="1"/>
    <col min="5134" max="5376" width="9" style="1360"/>
    <col min="5377" max="5377" width="4.875" style="1360" customWidth="1"/>
    <col min="5378" max="5378" width="13.25" style="1360" customWidth="1"/>
    <col min="5379" max="5379" width="15.625" style="1360" customWidth="1"/>
    <col min="5380" max="5380" width="9.375" style="1360" bestFit="1" customWidth="1"/>
    <col min="5381" max="5381" width="13.5" style="1360" customWidth="1"/>
    <col min="5382" max="5382" width="9" style="1360"/>
    <col min="5383" max="5383" width="9.375" style="1360" bestFit="1" customWidth="1"/>
    <col min="5384" max="5385" width="9" style="1360"/>
    <col min="5386" max="5386" width="9.375" style="1360" bestFit="1" customWidth="1"/>
    <col min="5387" max="5387" width="4" style="1360" customWidth="1"/>
    <col min="5388" max="5388" width="5.125" style="1360" customWidth="1"/>
    <col min="5389" max="5389" width="13.75" style="1360" customWidth="1"/>
    <col min="5390" max="5632" width="9" style="1360"/>
    <col min="5633" max="5633" width="4.875" style="1360" customWidth="1"/>
    <col min="5634" max="5634" width="13.25" style="1360" customWidth="1"/>
    <col min="5635" max="5635" width="15.625" style="1360" customWidth="1"/>
    <col min="5636" max="5636" width="9.375" style="1360" bestFit="1" customWidth="1"/>
    <col min="5637" max="5637" width="13.5" style="1360" customWidth="1"/>
    <col min="5638" max="5638" width="9" style="1360"/>
    <col min="5639" max="5639" width="9.375" style="1360" bestFit="1" customWidth="1"/>
    <col min="5640" max="5641" width="9" style="1360"/>
    <col min="5642" max="5642" width="9.375" style="1360" bestFit="1" customWidth="1"/>
    <col min="5643" max="5643" width="4" style="1360" customWidth="1"/>
    <col min="5644" max="5644" width="5.125" style="1360" customWidth="1"/>
    <col min="5645" max="5645" width="13.75" style="1360" customWidth="1"/>
    <col min="5646" max="5888" width="9" style="1360"/>
    <col min="5889" max="5889" width="4.875" style="1360" customWidth="1"/>
    <col min="5890" max="5890" width="13.25" style="1360" customWidth="1"/>
    <col min="5891" max="5891" width="15.625" style="1360" customWidth="1"/>
    <col min="5892" max="5892" width="9.375" style="1360" bestFit="1" customWidth="1"/>
    <col min="5893" max="5893" width="13.5" style="1360" customWidth="1"/>
    <col min="5894" max="5894" width="9" style="1360"/>
    <col min="5895" max="5895" width="9.375" style="1360" bestFit="1" customWidth="1"/>
    <col min="5896" max="5897" width="9" style="1360"/>
    <col min="5898" max="5898" width="9.375" style="1360" bestFit="1" customWidth="1"/>
    <col min="5899" max="5899" width="4" style="1360" customWidth="1"/>
    <col min="5900" max="5900" width="5.125" style="1360" customWidth="1"/>
    <col min="5901" max="5901" width="13.75" style="1360" customWidth="1"/>
    <col min="5902" max="6144" width="9" style="1360"/>
    <col min="6145" max="6145" width="4.875" style="1360" customWidth="1"/>
    <col min="6146" max="6146" width="13.25" style="1360" customWidth="1"/>
    <col min="6147" max="6147" width="15.625" style="1360" customWidth="1"/>
    <col min="6148" max="6148" width="9.375" style="1360" bestFit="1" customWidth="1"/>
    <col min="6149" max="6149" width="13.5" style="1360" customWidth="1"/>
    <col min="6150" max="6150" width="9" style="1360"/>
    <col min="6151" max="6151" width="9.375" style="1360" bestFit="1" customWidth="1"/>
    <col min="6152" max="6153" width="9" style="1360"/>
    <col min="6154" max="6154" width="9.375" style="1360" bestFit="1" customWidth="1"/>
    <col min="6155" max="6155" width="4" style="1360" customWidth="1"/>
    <col min="6156" max="6156" width="5.125" style="1360" customWidth="1"/>
    <col min="6157" max="6157" width="13.75" style="1360" customWidth="1"/>
    <col min="6158" max="6400" width="9" style="1360"/>
    <col min="6401" max="6401" width="4.875" style="1360" customWidth="1"/>
    <col min="6402" max="6402" width="13.25" style="1360" customWidth="1"/>
    <col min="6403" max="6403" width="15.625" style="1360" customWidth="1"/>
    <col min="6404" max="6404" width="9.375" style="1360" bestFit="1" customWidth="1"/>
    <col min="6405" max="6405" width="13.5" style="1360" customWidth="1"/>
    <col min="6406" max="6406" width="9" style="1360"/>
    <col min="6407" max="6407" width="9.375" style="1360" bestFit="1" customWidth="1"/>
    <col min="6408" max="6409" width="9" style="1360"/>
    <col min="6410" max="6410" width="9.375" style="1360" bestFit="1" customWidth="1"/>
    <col min="6411" max="6411" width="4" style="1360" customWidth="1"/>
    <col min="6412" max="6412" width="5.125" style="1360" customWidth="1"/>
    <col min="6413" max="6413" width="13.75" style="1360" customWidth="1"/>
    <col min="6414" max="6656" width="9" style="1360"/>
    <col min="6657" max="6657" width="4.875" style="1360" customWidth="1"/>
    <col min="6658" max="6658" width="13.25" style="1360" customWidth="1"/>
    <col min="6659" max="6659" width="15.625" style="1360" customWidth="1"/>
    <col min="6660" max="6660" width="9.375" style="1360" bestFit="1" customWidth="1"/>
    <col min="6661" max="6661" width="13.5" style="1360" customWidth="1"/>
    <col min="6662" max="6662" width="9" style="1360"/>
    <col min="6663" max="6663" width="9.375" style="1360" bestFit="1" customWidth="1"/>
    <col min="6664" max="6665" width="9" style="1360"/>
    <col min="6666" max="6666" width="9.375" style="1360" bestFit="1" customWidth="1"/>
    <col min="6667" max="6667" width="4" style="1360" customWidth="1"/>
    <col min="6668" max="6668" width="5.125" style="1360" customWidth="1"/>
    <col min="6669" max="6669" width="13.75" style="1360" customWidth="1"/>
    <col min="6670" max="6912" width="9" style="1360"/>
    <col min="6913" max="6913" width="4.875" style="1360" customWidth="1"/>
    <col min="6914" max="6914" width="13.25" style="1360" customWidth="1"/>
    <col min="6915" max="6915" width="15.625" style="1360" customWidth="1"/>
    <col min="6916" max="6916" width="9.375" style="1360" bestFit="1" customWidth="1"/>
    <col min="6917" max="6917" width="13.5" style="1360" customWidth="1"/>
    <col min="6918" max="6918" width="9" style="1360"/>
    <col min="6919" max="6919" width="9.375" style="1360" bestFit="1" customWidth="1"/>
    <col min="6920" max="6921" width="9" style="1360"/>
    <col min="6922" max="6922" width="9.375" style="1360" bestFit="1" customWidth="1"/>
    <col min="6923" max="6923" width="4" style="1360" customWidth="1"/>
    <col min="6924" max="6924" width="5.125" style="1360" customWidth="1"/>
    <col min="6925" max="6925" width="13.75" style="1360" customWidth="1"/>
    <col min="6926" max="7168" width="9" style="1360"/>
    <col min="7169" max="7169" width="4.875" style="1360" customWidth="1"/>
    <col min="7170" max="7170" width="13.25" style="1360" customWidth="1"/>
    <col min="7171" max="7171" width="15.625" style="1360" customWidth="1"/>
    <col min="7172" max="7172" width="9.375" style="1360" bestFit="1" customWidth="1"/>
    <col min="7173" max="7173" width="13.5" style="1360" customWidth="1"/>
    <col min="7174" max="7174" width="9" style="1360"/>
    <col min="7175" max="7175" width="9.375" style="1360" bestFit="1" customWidth="1"/>
    <col min="7176" max="7177" width="9" style="1360"/>
    <col min="7178" max="7178" width="9.375" style="1360" bestFit="1" customWidth="1"/>
    <col min="7179" max="7179" width="4" style="1360" customWidth="1"/>
    <col min="7180" max="7180" width="5.125" style="1360" customWidth="1"/>
    <col min="7181" max="7181" width="13.75" style="1360" customWidth="1"/>
    <col min="7182" max="7424" width="9" style="1360"/>
    <col min="7425" max="7425" width="4.875" style="1360" customWidth="1"/>
    <col min="7426" max="7426" width="13.25" style="1360" customWidth="1"/>
    <col min="7427" max="7427" width="15.625" style="1360" customWidth="1"/>
    <col min="7428" max="7428" width="9.375" style="1360" bestFit="1" customWidth="1"/>
    <col min="7429" max="7429" width="13.5" style="1360" customWidth="1"/>
    <col min="7430" max="7430" width="9" style="1360"/>
    <col min="7431" max="7431" width="9.375" style="1360" bestFit="1" customWidth="1"/>
    <col min="7432" max="7433" width="9" style="1360"/>
    <col min="7434" max="7434" width="9.375" style="1360" bestFit="1" customWidth="1"/>
    <col min="7435" max="7435" width="4" style="1360" customWidth="1"/>
    <col min="7436" max="7436" width="5.125" style="1360" customWidth="1"/>
    <col min="7437" max="7437" width="13.75" style="1360" customWidth="1"/>
    <col min="7438" max="7680" width="9" style="1360"/>
    <col min="7681" max="7681" width="4.875" style="1360" customWidth="1"/>
    <col min="7682" max="7682" width="13.25" style="1360" customWidth="1"/>
    <col min="7683" max="7683" width="15.625" style="1360" customWidth="1"/>
    <col min="7684" max="7684" width="9.375" style="1360" bestFit="1" customWidth="1"/>
    <col min="7685" max="7685" width="13.5" style="1360" customWidth="1"/>
    <col min="7686" max="7686" width="9" style="1360"/>
    <col min="7687" max="7687" width="9.375" style="1360" bestFit="1" customWidth="1"/>
    <col min="7688" max="7689" width="9" style="1360"/>
    <col min="7690" max="7690" width="9.375" style="1360" bestFit="1" customWidth="1"/>
    <col min="7691" max="7691" width="4" style="1360" customWidth="1"/>
    <col min="7692" max="7692" width="5.125" style="1360" customWidth="1"/>
    <col min="7693" max="7693" width="13.75" style="1360" customWidth="1"/>
    <col min="7694" max="7936" width="9" style="1360"/>
    <col min="7937" max="7937" width="4.875" style="1360" customWidth="1"/>
    <col min="7938" max="7938" width="13.25" style="1360" customWidth="1"/>
    <col min="7939" max="7939" width="15.625" style="1360" customWidth="1"/>
    <col min="7940" max="7940" width="9.375" style="1360" bestFit="1" customWidth="1"/>
    <col min="7941" max="7941" width="13.5" style="1360" customWidth="1"/>
    <col min="7942" max="7942" width="9" style="1360"/>
    <col min="7943" max="7943" width="9.375" style="1360" bestFit="1" customWidth="1"/>
    <col min="7944" max="7945" width="9" style="1360"/>
    <col min="7946" max="7946" width="9.375" style="1360" bestFit="1" customWidth="1"/>
    <col min="7947" max="7947" width="4" style="1360" customWidth="1"/>
    <col min="7948" max="7948" width="5.125" style="1360" customWidth="1"/>
    <col min="7949" max="7949" width="13.75" style="1360" customWidth="1"/>
    <col min="7950" max="8192" width="9" style="1360"/>
    <col min="8193" max="8193" width="4.875" style="1360" customWidth="1"/>
    <col min="8194" max="8194" width="13.25" style="1360" customWidth="1"/>
    <col min="8195" max="8195" width="15.625" style="1360" customWidth="1"/>
    <col min="8196" max="8196" width="9.375" style="1360" bestFit="1" customWidth="1"/>
    <col min="8197" max="8197" width="13.5" style="1360" customWidth="1"/>
    <col min="8198" max="8198" width="9" style="1360"/>
    <col min="8199" max="8199" width="9.375" style="1360" bestFit="1" customWidth="1"/>
    <col min="8200" max="8201" width="9" style="1360"/>
    <col min="8202" max="8202" width="9.375" style="1360" bestFit="1" customWidth="1"/>
    <col min="8203" max="8203" width="4" style="1360" customWidth="1"/>
    <col min="8204" max="8204" width="5.125" style="1360" customWidth="1"/>
    <col min="8205" max="8205" width="13.75" style="1360" customWidth="1"/>
    <col min="8206" max="8448" width="9" style="1360"/>
    <col min="8449" max="8449" width="4.875" style="1360" customWidth="1"/>
    <col min="8450" max="8450" width="13.25" style="1360" customWidth="1"/>
    <col min="8451" max="8451" width="15.625" style="1360" customWidth="1"/>
    <col min="8452" max="8452" width="9.375" style="1360" bestFit="1" customWidth="1"/>
    <col min="8453" max="8453" width="13.5" style="1360" customWidth="1"/>
    <col min="8454" max="8454" width="9" style="1360"/>
    <col min="8455" max="8455" width="9.375" style="1360" bestFit="1" customWidth="1"/>
    <col min="8456" max="8457" width="9" style="1360"/>
    <col min="8458" max="8458" width="9.375" style="1360" bestFit="1" customWidth="1"/>
    <col min="8459" max="8459" width="4" style="1360" customWidth="1"/>
    <col min="8460" max="8460" width="5.125" style="1360" customWidth="1"/>
    <col min="8461" max="8461" width="13.75" style="1360" customWidth="1"/>
    <col min="8462" max="8704" width="9" style="1360"/>
    <col min="8705" max="8705" width="4.875" style="1360" customWidth="1"/>
    <col min="8706" max="8706" width="13.25" style="1360" customWidth="1"/>
    <col min="8707" max="8707" width="15.625" style="1360" customWidth="1"/>
    <col min="8708" max="8708" width="9.375" style="1360" bestFit="1" customWidth="1"/>
    <col min="8709" max="8709" width="13.5" style="1360" customWidth="1"/>
    <col min="8710" max="8710" width="9" style="1360"/>
    <col min="8711" max="8711" width="9.375" style="1360" bestFit="1" customWidth="1"/>
    <col min="8712" max="8713" width="9" style="1360"/>
    <col min="8714" max="8714" width="9.375" style="1360" bestFit="1" customWidth="1"/>
    <col min="8715" max="8715" width="4" style="1360" customWidth="1"/>
    <col min="8716" max="8716" width="5.125" style="1360" customWidth="1"/>
    <col min="8717" max="8717" width="13.75" style="1360" customWidth="1"/>
    <col min="8718" max="8960" width="9" style="1360"/>
    <col min="8961" max="8961" width="4.875" style="1360" customWidth="1"/>
    <col min="8962" max="8962" width="13.25" style="1360" customWidth="1"/>
    <col min="8963" max="8963" width="15.625" style="1360" customWidth="1"/>
    <col min="8964" max="8964" width="9.375" style="1360" bestFit="1" customWidth="1"/>
    <col min="8965" max="8965" width="13.5" style="1360" customWidth="1"/>
    <col min="8966" max="8966" width="9" style="1360"/>
    <col min="8967" max="8967" width="9.375" style="1360" bestFit="1" customWidth="1"/>
    <col min="8968" max="8969" width="9" style="1360"/>
    <col min="8970" max="8970" width="9.375" style="1360" bestFit="1" customWidth="1"/>
    <col min="8971" max="8971" width="4" style="1360" customWidth="1"/>
    <col min="8972" max="8972" width="5.125" style="1360" customWidth="1"/>
    <col min="8973" max="8973" width="13.75" style="1360" customWidth="1"/>
    <col min="8974" max="9216" width="9" style="1360"/>
    <col min="9217" max="9217" width="4.875" style="1360" customWidth="1"/>
    <col min="9218" max="9218" width="13.25" style="1360" customWidth="1"/>
    <col min="9219" max="9219" width="15.625" style="1360" customWidth="1"/>
    <col min="9220" max="9220" width="9.375" style="1360" bestFit="1" customWidth="1"/>
    <col min="9221" max="9221" width="13.5" style="1360" customWidth="1"/>
    <col min="9222" max="9222" width="9" style="1360"/>
    <col min="9223" max="9223" width="9.375" style="1360" bestFit="1" customWidth="1"/>
    <col min="9224" max="9225" width="9" style="1360"/>
    <col min="9226" max="9226" width="9.375" style="1360" bestFit="1" customWidth="1"/>
    <col min="9227" max="9227" width="4" style="1360" customWidth="1"/>
    <col min="9228" max="9228" width="5.125" style="1360" customWidth="1"/>
    <col min="9229" max="9229" width="13.75" style="1360" customWidth="1"/>
    <col min="9230" max="9472" width="9" style="1360"/>
    <col min="9473" max="9473" width="4.875" style="1360" customWidth="1"/>
    <col min="9474" max="9474" width="13.25" style="1360" customWidth="1"/>
    <col min="9475" max="9475" width="15.625" style="1360" customWidth="1"/>
    <col min="9476" max="9476" width="9.375" style="1360" bestFit="1" customWidth="1"/>
    <col min="9477" max="9477" width="13.5" style="1360" customWidth="1"/>
    <col min="9478" max="9478" width="9" style="1360"/>
    <col min="9479" max="9479" width="9.375" style="1360" bestFit="1" customWidth="1"/>
    <col min="9480" max="9481" width="9" style="1360"/>
    <col min="9482" max="9482" width="9.375" style="1360" bestFit="1" customWidth="1"/>
    <col min="9483" max="9483" width="4" style="1360" customWidth="1"/>
    <col min="9484" max="9484" width="5.125" style="1360" customWidth="1"/>
    <col min="9485" max="9485" width="13.75" style="1360" customWidth="1"/>
    <col min="9486" max="9728" width="9" style="1360"/>
    <col min="9729" max="9729" width="4.875" style="1360" customWidth="1"/>
    <col min="9730" max="9730" width="13.25" style="1360" customWidth="1"/>
    <col min="9731" max="9731" width="15.625" style="1360" customWidth="1"/>
    <col min="9732" max="9732" width="9.375" style="1360" bestFit="1" customWidth="1"/>
    <col min="9733" max="9733" width="13.5" style="1360" customWidth="1"/>
    <col min="9734" max="9734" width="9" style="1360"/>
    <col min="9735" max="9735" width="9.375" style="1360" bestFit="1" customWidth="1"/>
    <col min="9736" max="9737" width="9" style="1360"/>
    <col min="9738" max="9738" width="9.375" style="1360" bestFit="1" customWidth="1"/>
    <col min="9739" max="9739" width="4" style="1360" customWidth="1"/>
    <col min="9740" max="9740" width="5.125" style="1360" customWidth="1"/>
    <col min="9741" max="9741" width="13.75" style="1360" customWidth="1"/>
    <col min="9742" max="9984" width="9" style="1360"/>
    <col min="9985" max="9985" width="4.875" style="1360" customWidth="1"/>
    <col min="9986" max="9986" width="13.25" style="1360" customWidth="1"/>
    <col min="9987" max="9987" width="15.625" style="1360" customWidth="1"/>
    <col min="9988" max="9988" width="9.375" style="1360" bestFit="1" customWidth="1"/>
    <col min="9989" max="9989" width="13.5" style="1360" customWidth="1"/>
    <col min="9990" max="9990" width="9" style="1360"/>
    <col min="9991" max="9991" width="9.375" style="1360" bestFit="1" customWidth="1"/>
    <col min="9992" max="9993" width="9" style="1360"/>
    <col min="9994" max="9994" width="9.375" style="1360" bestFit="1" customWidth="1"/>
    <col min="9995" max="9995" width="4" style="1360" customWidth="1"/>
    <col min="9996" max="9996" width="5.125" style="1360" customWidth="1"/>
    <col min="9997" max="9997" width="13.75" style="1360" customWidth="1"/>
    <col min="9998" max="10240" width="9" style="1360"/>
    <col min="10241" max="10241" width="4.875" style="1360" customWidth="1"/>
    <col min="10242" max="10242" width="13.25" style="1360" customWidth="1"/>
    <col min="10243" max="10243" width="15.625" style="1360" customWidth="1"/>
    <col min="10244" max="10244" width="9.375" style="1360" bestFit="1" customWidth="1"/>
    <col min="10245" max="10245" width="13.5" style="1360" customWidth="1"/>
    <col min="10246" max="10246" width="9" style="1360"/>
    <col min="10247" max="10247" width="9.375" style="1360" bestFit="1" customWidth="1"/>
    <col min="10248" max="10249" width="9" style="1360"/>
    <col min="10250" max="10250" width="9.375" style="1360" bestFit="1" customWidth="1"/>
    <col min="10251" max="10251" width="4" style="1360" customWidth="1"/>
    <col min="10252" max="10252" width="5.125" style="1360" customWidth="1"/>
    <col min="10253" max="10253" width="13.75" style="1360" customWidth="1"/>
    <col min="10254" max="10496" width="9" style="1360"/>
    <col min="10497" max="10497" width="4.875" style="1360" customWidth="1"/>
    <col min="10498" max="10498" width="13.25" style="1360" customWidth="1"/>
    <col min="10499" max="10499" width="15.625" style="1360" customWidth="1"/>
    <col min="10500" max="10500" width="9.375" style="1360" bestFit="1" customWidth="1"/>
    <col min="10501" max="10501" width="13.5" style="1360" customWidth="1"/>
    <col min="10502" max="10502" width="9" style="1360"/>
    <col min="10503" max="10503" width="9.375" style="1360" bestFit="1" customWidth="1"/>
    <col min="10504" max="10505" width="9" style="1360"/>
    <col min="10506" max="10506" width="9.375" style="1360" bestFit="1" customWidth="1"/>
    <col min="10507" max="10507" width="4" style="1360" customWidth="1"/>
    <col min="10508" max="10508" width="5.125" style="1360" customWidth="1"/>
    <col min="10509" max="10509" width="13.75" style="1360" customWidth="1"/>
    <col min="10510" max="10752" width="9" style="1360"/>
    <col min="10753" max="10753" width="4.875" style="1360" customWidth="1"/>
    <col min="10754" max="10754" width="13.25" style="1360" customWidth="1"/>
    <col min="10755" max="10755" width="15.625" style="1360" customWidth="1"/>
    <col min="10756" max="10756" width="9.375" style="1360" bestFit="1" customWidth="1"/>
    <col min="10757" max="10757" width="13.5" style="1360" customWidth="1"/>
    <col min="10758" max="10758" width="9" style="1360"/>
    <col min="10759" max="10759" width="9.375" style="1360" bestFit="1" customWidth="1"/>
    <col min="10760" max="10761" width="9" style="1360"/>
    <col min="10762" max="10762" width="9.375" style="1360" bestFit="1" customWidth="1"/>
    <col min="10763" max="10763" width="4" style="1360" customWidth="1"/>
    <col min="10764" max="10764" width="5.125" style="1360" customWidth="1"/>
    <col min="10765" max="10765" width="13.75" style="1360" customWidth="1"/>
    <col min="10766" max="11008" width="9" style="1360"/>
    <col min="11009" max="11009" width="4.875" style="1360" customWidth="1"/>
    <col min="11010" max="11010" width="13.25" style="1360" customWidth="1"/>
    <col min="11011" max="11011" width="15.625" style="1360" customWidth="1"/>
    <col min="11012" max="11012" width="9.375" style="1360" bestFit="1" customWidth="1"/>
    <col min="11013" max="11013" width="13.5" style="1360" customWidth="1"/>
    <col min="11014" max="11014" width="9" style="1360"/>
    <col min="11015" max="11015" width="9.375" style="1360" bestFit="1" customWidth="1"/>
    <col min="11016" max="11017" width="9" style="1360"/>
    <col min="11018" max="11018" width="9.375" style="1360" bestFit="1" customWidth="1"/>
    <col min="11019" max="11019" width="4" style="1360" customWidth="1"/>
    <col min="11020" max="11020" width="5.125" style="1360" customWidth="1"/>
    <col min="11021" max="11021" width="13.75" style="1360" customWidth="1"/>
    <col min="11022" max="11264" width="9" style="1360"/>
    <col min="11265" max="11265" width="4.875" style="1360" customWidth="1"/>
    <col min="11266" max="11266" width="13.25" style="1360" customWidth="1"/>
    <col min="11267" max="11267" width="15.625" style="1360" customWidth="1"/>
    <col min="11268" max="11268" width="9.375" style="1360" bestFit="1" customWidth="1"/>
    <col min="11269" max="11269" width="13.5" style="1360" customWidth="1"/>
    <col min="11270" max="11270" width="9" style="1360"/>
    <col min="11271" max="11271" width="9.375" style="1360" bestFit="1" customWidth="1"/>
    <col min="11272" max="11273" width="9" style="1360"/>
    <col min="11274" max="11274" width="9.375" style="1360" bestFit="1" customWidth="1"/>
    <col min="11275" max="11275" width="4" style="1360" customWidth="1"/>
    <col min="11276" max="11276" width="5.125" style="1360" customWidth="1"/>
    <col min="11277" max="11277" width="13.75" style="1360" customWidth="1"/>
    <col min="11278" max="11520" width="9" style="1360"/>
    <col min="11521" max="11521" width="4.875" style="1360" customWidth="1"/>
    <col min="11522" max="11522" width="13.25" style="1360" customWidth="1"/>
    <col min="11523" max="11523" width="15.625" style="1360" customWidth="1"/>
    <col min="11524" max="11524" width="9.375" style="1360" bestFit="1" customWidth="1"/>
    <col min="11525" max="11525" width="13.5" style="1360" customWidth="1"/>
    <col min="11526" max="11526" width="9" style="1360"/>
    <col min="11527" max="11527" width="9.375" style="1360" bestFit="1" customWidth="1"/>
    <col min="11528" max="11529" width="9" style="1360"/>
    <col min="11530" max="11530" width="9.375" style="1360" bestFit="1" customWidth="1"/>
    <col min="11531" max="11531" width="4" style="1360" customWidth="1"/>
    <col min="11532" max="11532" width="5.125" style="1360" customWidth="1"/>
    <col min="11533" max="11533" width="13.75" style="1360" customWidth="1"/>
    <col min="11534" max="11776" width="9" style="1360"/>
    <col min="11777" max="11777" width="4.875" style="1360" customWidth="1"/>
    <col min="11778" max="11778" width="13.25" style="1360" customWidth="1"/>
    <col min="11779" max="11779" width="15.625" style="1360" customWidth="1"/>
    <col min="11780" max="11780" width="9.375" style="1360" bestFit="1" customWidth="1"/>
    <col min="11781" max="11781" width="13.5" style="1360" customWidth="1"/>
    <col min="11782" max="11782" width="9" style="1360"/>
    <col min="11783" max="11783" width="9.375" style="1360" bestFit="1" customWidth="1"/>
    <col min="11784" max="11785" width="9" style="1360"/>
    <col min="11786" max="11786" width="9.375" style="1360" bestFit="1" customWidth="1"/>
    <col min="11787" max="11787" width="4" style="1360" customWidth="1"/>
    <col min="11788" max="11788" width="5.125" style="1360" customWidth="1"/>
    <col min="11789" max="11789" width="13.75" style="1360" customWidth="1"/>
    <col min="11790" max="12032" width="9" style="1360"/>
    <col min="12033" max="12033" width="4.875" style="1360" customWidth="1"/>
    <col min="12034" max="12034" width="13.25" style="1360" customWidth="1"/>
    <col min="12035" max="12035" width="15.625" style="1360" customWidth="1"/>
    <col min="12036" max="12036" width="9.375" style="1360" bestFit="1" customWidth="1"/>
    <col min="12037" max="12037" width="13.5" style="1360" customWidth="1"/>
    <col min="12038" max="12038" width="9" style="1360"/>
    <col min="12039" max="12039" width="9.375" style="1360" bestFit="1" customWidth="1"/>
    <col min="12040" max="12041" width="9" style="1360"/>
    <col min="12042" max="12042" width="9.375" style="1360" bestFit="1" customWidth="1"/>
    <col min="12043" max="12043" width="4" style="1360" customWidth="1"/>
    <col min="12044" max="12044" width="5.125" style="1360" customWidth="1"/>
    <col min="12045" max="12045" width="13.75" style="1360" customWidth="1"/>
    <col min="12046" max="12288" width="9" style="1360"/>
    <col min="12289" max="12289" width="4.875" style="1360" customWidth="1"/>
    <col min="12290" max="12290" width="13.25" style="1360" customWidth="1"/>
    <col min="12291" max="12291" width="15.625" style="1360" customWidth="1"/>
    <col min="12292" max="12292" width="9.375" style="1360" bestFit="1" customWidth="1"/>
    <col min="12293" max="12293" width="13.5" style="1360" customWidth="1"/>
    <col min="12294" max="12294" width="9" style="1360"/>
    <col min="12295" max="12295" width="9.375" style="1360" bestFit="1" customWidth="1"/>
    <col min="12296" max="12297" width="9" style="1360"/>
    <col min="12298" max="12298" width="9.375" style="1360" bestFit="1" customWidth="1"/>
    <col min="12299" max="12299" width="4" style="1360" customWidth="1"/>
    <col min="12300" max="12300" width="5.125" style="1360" customWidth="1"/>
    <col min="12301" max="12301" width="13.75" style="1360" customWidth="1"/>
    <col min="12302" max="12544" width="9" style="1360"/>
    <col min="12545" max="12545" width="4.875" style="1360" customWidth="1"/>
    <col min="12546" max="12546" width="13.25" style="1360" customWidth="1"/>
    <col min="12547" max="12547" width="15.625" style="1360" customWidth="1"/>
    <col min="12548" max="12548" width="9.375" style="1360" bestFit="1" customWidth="1"/>
    <col min="12549" max="12549" width="13.5" style="1360" customWidth="1"/>
    <col min="12550" max="12550" width="9" style="1360"/>
    <col min="12551" max="12551" width="9.375" style="1360" bestFit="1" customWidth="1"/>
    <col min="12552" max="12553" width="9" style="1360"/>
    <col min="12554" max="12554" width="9.375" style="1360" bestFit="1" customWidth="1"/>
    <col min="12555" max="12555" width="4" style="1360" customWidth="1"/>
    <col min="12556" max="12556" width="5.125" style="1360" customWidth="1"/>
    <col min="12557" max="12557" width="13.75" style="1360" customWidth="1"/>
    <col min="12558" max="12800" width="9" style="1360"/>
    <col min="12801" max="12801" width="4.875" style="1360" customWidth="1"/>
    <col min="12802" max="12802" width="13.25" style="1360" customWidth="1"/>
    <col min="12803" max="12803" width="15.625" style="1360" customWidth="1"/>
    <col min="12804" max="12804" width="9.375" style="1360" bestFit="1" customWidth="1"/>
    <col min="12805" max="12805" width="13.5" style="1360" customWidth="1"/>
    <col min="12806" max="12806" width="9" style="1360"/>
    <col min="12807" max="12807" width="9.375" style="1360" bestFit="1" customWidth="1"/>
    <col min="12808" max="12809" width="9" style="1360"/>
    <col min="12810" max="12810" width="9.375" style="1360" bestFit="1" customWidth="1"/>
    <col min="12811" max="12811" width="4" style="1360" customWidth="1"/>
    <col min="12812" max="12812" width="5.125" style="1360" customWidth="1"/>
    <col min="12813" max="12813" width="13.75" style="1360" customWidth="1"/>
    <col min="12814" max="13056" width="9" style="1360"/>
    <col min="13057" max="13057" width="4.875" style="1360" customWidth="1"/>
    <col min="13058" max="13058" width="13.25" style="1360" customWidth="1"/>
    <col min="13059" max="13059" width="15.625" style="1360" customWidth="1"/>
    <col min="13060" max="13060" width="9.375" style="1360" bestFit="1" customWidth="1"/>
    <col min="13061" max="13061" width="13.5" style="1360" customWidth="1"/>
    <col min="13062" max="13062" width="9" style="1360"/>
    <col min="13063" max="13063" width="9.375" style="1360" bestFit="1" customWidth="1"/>
    <col min="13064" max="13065" width="9" style="1360"/>
    <col min="13066" max="13066" width="9.375" style="1360" bestFit="1" customWidth="1"/>
    <col min="13067" max="13067" width="4" style="1360" customWidth="1"/>
    <col min="13068" max="13068" width="5.125" style="1360" customWidth="1"/>
    <col min="13069" max="13069" width="13.75" style="1360" customWidth="1"/>
    <col min="13070" max="13312" width="9" style="1360"/>
    <col min="13313" max="13313" width="4.875" style="1360" customWidth="1"/>
    <col min="13314" max="13314" width="13.25" style="1360" customWidth="1"/>
    <col min="13315" max="13315" width="15.625" style="1360" customWidth="1"/>
    <col min="13316" max="13316" width="9.375" style="1360" bestFit="1" customWidth="1"/>
    <col min="13317" max="13317" width="13.5" style="1360" customWidth="1"/>
    <col min="13318" max="13318" width="9" style="1360"/>
    <col min="13319" max="13319" width="9.375" style="1360" bestFit="1" customWidth="1"/>
    <col min="13320" max="13321" width="9" style="1360"/>
    <col min="13322" max="13322" width="9.375" style="1360" bestFit="1" customWidth="1"/>
    <col min="13323" max="13323" width="4" style="1360" customWidth="1"/>
    <col min="13324" max="13324" width="5.125" style="1360" customWidth="1"/>
    <col min="13325" max="13325" width="13.75" style="1360" customWidth="1"/>
    <col min="13326" max="13568" width="9" style="1360"/>
    <col min="13569" max="13569" width="4.875" style="1360" customWidth="1"/>
    <col min="13570" max="13570" width="13.25" style="1360" customWidth="1"/>
    <col min="13571" max="13571" width="15.625" style="1360" customWidth="1"/>
    <col min="13572" max="13572" width="9.375" style="1360" bestFit="1" customWidth="1"/>
    <col min="13573" max="13573" width="13.5" style="1360" customWidth="1"/>
    <col min="13574" max="13574" width="9" style="1360"/>
    <col min="13575" max="13575" width="9.375" style="1360" bestFit="1" customWidth="1"/>
    <col min="13576" max="13577" width="9" style="1360"/>
    <col min="13578" max="13578" width="9.375" style="1360" bestFit="1" customWidth="1"/>
    <col min="13579" max="13579" width="4" style="1360" customWidth="1"/>
    <col min="13580" max="13580" width="5.125" style="1360" customWidth="1"/>
    <col min="13581" max="13581" width="13.75" style="1360" customWidth="1"/>
    <col min="13582" max="13824" width="9" style="1360"/>
    <col min="13825" max="13825" width="4.875" style="1360" customWidth="1"/>
    <col min="13826" max="13826" width="13.25" style="1360" customWidth="1"/>
    <col min="13827" max="13827" width="15.625" style="1360" customWidth="1"/>
    <col min="13828" max="13828" width="9.375" style="1360" bestFit="1" customWidth="1"/>
    <col min="13829" max="13829" width="13.5" style="1360" customWidth="1"/>
    <col min="13830" max="13830" width="9" style="1360"/>
    <col min="13831" max="13831" width="9.375" style="1360" bestFit="1" customWidth="1"/>
    <col min="13832" max="13833" width="9" style="1360"/>
    <col min="13834" max="13834" width="9.375" style="1360" bestFit="1" customWidth="1"/>
    <col min="13835" max="13835" width="4" style="1360" customWidth="1"/>
    <col min="13836" max="13836" width="5.125" style="1360" customWidth="1"/>
    <col min="13837" max="13837" width="13.75" style="1360" customWidth="1"/>
    <col min="13838" max="14080" width="9" style="1360"/>
    <col min="14081" max="14081" width="4.875" style="1360" customWidth="1"/>
    <col min="14082" max="14082" width="13.25" style="1360" customWidth="1"/>
    <col min="14083" max="14083" width="15.625" style="1360" customWidth="1"/>
    <col min="14084" max="14084" width="9.375" style="1360" bestFit="1" customWidth="1"/>
    <col min="14085" max="14085" width="13.5" style="1360" customWidth="1"/>
    <col min="14086" max="14086" width="9" style="1360"/>
    <col min="14087" max="14087" width="9.375" style="1360" bestFit="1" customWidth="1"/>
    <col min="14088" max="14089" width="9" style="1360"/>
    <col min="14090" max="14090" width="9.375" style="1360" bestFit="1" customWidth="1"/>
    <col min="14091" max="14091" width="4" style="1360" customWidth="1"/>
    <col min="14092" max="14092" width="5.125" style="1360" customWidth="1"/>
    <col min="14093" max="14093" width="13.75" style="1360" customWidth="1"/>
    <col min="14094" max="14336" width="9" style="1360"/>
    <col min="14337" max="14337" width="4.875" style="1360" customWidth="1"/>
    <col min="14338" max="14338" width="13.25" style="1360" customWidth="1"/>
    <col min="14339" max="14339" width="15.625" style="1360" customWidth="1"/>
    <col min="14340" max="14340" width="9.375" style="1360" bestFit="1" customWidth="1"/>
    <col min="14341" max="14341" width="13.5" style="1360" customWidth="1"/>
    <col min="14342" max="14342" width="9" style="1360"/>
    <col min="14343" max="14343" width="9.375" style="1360" bestFit="1" customWidth="1"/>
    <col min="14344" max="14345" width="9" style="1360"/>
    <col min="14346" max="14346" width="9.375" style="1360" bestFit="1" customWidth="1"/>
    <col min="14347" max="14347" width="4" style="1360" customWidth="1"/>
    <col min="14348" max="14348" width="5.125" style="1360" customWidth="1"/>
    <col min="14349" max="14349" width="13.75" style="1360" customWidth="1"/>
    <col min="14350" max="14592" width="9" style="1360"/>
    <col min="14593" max="14593" width="4.875" style="1360" customWidth="1"/>
    <col min="14594" max="14594" width="13.25" style="1360" customWidth="1"/>
    <col min="14595" max="14595" width="15.625" style="1360" customWidth="1"/>
    <col min="14596" max="14596" width="9.375" style="1360" bestFit="1" customWidth="1"/>
    <col min="14597" max="14597" width="13.5" style="1360" customWidth="1"/>
    <col min="14598" max="14598" width="9" style="1360"/>
    <col min="14599" max="14599" width="9.375" style="1360" bestFit="1" customWidth="1"/>
    <col min="14600" max="14601" width="9" style="1360"/>
    <col min="14602" max="14602" width="9.375" style="1360" bestFit="1" customWidth="1"/>
    <col min="14603" max="14603" width="4" style="1360" customWidth="1"/>
    <col min="14604" max="14604" width="5.125" style="1360" customWidth="1"/>
    <col min="14605" max="14605" width="13.75" style="1360" customWidth="1"/>
    <col min="14606" max="14848" width="9" style="1360"/>
    <col min="14849" max="14849" width="4.875" style="1360" customWidth="1"/>
    <col min="14850" max="14850" width="13.25" style="1360" customWidth="1"/>
    <col min="14851" max="14851" width="15.625" style="1360" customWidth="1"/>
    <col min="14852" max="14852" width="9.375" style="1360" bestFit="1" customWidth="1"/>
    <col min="14853" max="14853" width="13.5" style="1360" customWidth="1"/>
    <col min="14854" max="14854" width="9" style="1360"/>
    <col min="14855" max="14855" width="9.375" style="1360" bestFit="1" customWidth="1"/>
    <col min="14856" max="14857" width="9" style="1360"/>
    <col min="14858" max="14858" width="9.375" style="1360" bestFit="1" customWidth="1"/>
    <col min="14859" max="14859" width="4" style="1360" customWidth="1"/>
    <col min="14860" max="14860" width="5.125" style="1360" customWidth="1"/>
    <col min="14861" max="14861" width="13.75" style="1360" customWidth="1"/>
    <col min="14862" max="15104" width="9" style="1360"/>
    <col min="15105" max="15105" width="4.875" style="1360" customWidth="1"/>
    <col min="15106" max="15106" width="13.25" style="1360" customWidth="1"/>
    <col min="15107" max="15107" width="15.625" style="1360" customWidth="1"/>
    <col min="15108" max="15108" width="9.375" style="1360" bestFit="1" customWidth="1"/>
    <col min="15109" max="15109" width="13.5" style="1360" customWidth="1"/>
    <col min="15110" max="15110" width="9" style="1360"/>
    <col min="15111" max="15111" width="9.375" style="1360" bestFit="1" customWidth="1"/>
    <col min="15112" max="15113" width="9" style="1360"/>
    <col min="15114" max="15114" width="9.375" style="1360" bestFit="1" customWidth="1"/>
    <col min="15115" max="15115" width="4" style="1360" customWidth="1"/>
    <col min="15116" max="15116" width="5.125" style="1360" customWidth="1"/>
    <col min="15117" max="15117" width="13.75" style="1360" customWidth="1"/>
    <col min="15118" max="15360" width="9" style="1360"/>
    <col min="15361" max="15361" width="4.875" style="1360" customWidth="1"/>
    <col min="15362" max="15362" width="13.25" style="1360" customWidth="1"/>
    <col min="15363" max="15363" width="15.625" style="1360" customWidth="1"/>
    <col min="15364" max="15364" width="9.375" style="1360" bestFit="1" customWidth="1"/>
    <col min="15365" max="15365" width="13.5" style="1360" customWidth="1"/>
    <col min="15366" max="15366" width="9" style="1360"/>
    <col min="15367" max="15367" width="9.375" style="1360" bestFit="1" customWidth="1"/>
    <col min="15368" max="15369" width="9" style="1360"/>
    <col min="15370" max="15370" width="9.375" style="1360" bestFit="1" customWidth="1"/>
    <col min="15371" max="15371" width="4" style="1360" customWidth="1"/>
    <col min="15372" max="15372" width="5.125" style="1360" customWidth="1"/>
    <col min="15373" max="15373" width="13.75" style="1360" customWidth="1"/>
    <col min="15374" max="15616" width="9" style="1360"/>
    <col min="15617" max="15617" width="4.875" style="1360" customWidth="1"/>
    <col min="15618" max="15618" width="13.25" style="1360" customWidth="1"/>
    <col min="15619" max="15619" width="15.625" style="1360" customWidth="1"/>
    <col min="15620" max="15620" width="9.375" style="1360" bestFit="1" customWidth="1"/>
    <col min="15621" max="15621" width="13.5" style="1360" customWidth="1"/>
    <col min="15622" max="15622" width="9" style="1360"/>
    <col min="15623" max="15623" width="9.375" style="1360" bestFit="1" customWidth="1"/>
    <col min="15624" max="15625" width="9" style="1360"/>
    <col min="15626" max="15626" width="9.375" style="1360" bestFit="1" customWidth="1"/>
    <col min="15627" max="15627" width="4" style="1360" customWidth="1"/>
    <col min="15628" max="15628" width="5.125" style="1360" customWidth="1"/>
    <col min="15629" max="15629" width="13.75" style="1360" customWidth="1"/>
    <col min="15630" max="15872" width="9" style="1360"/>
    <col min="15873" max="15873" width="4.875" style="1360" customWidth="1"/>
    <col min="15874" max="15874" width="13.25" style="1360" customWidth="1"/>
    <col min="15875" max="15875" width="15.625" style="1360" customWidth="1"/>
    <col min="15876" max="15876" width="9.375" style="1360" bestFit="1" customWidth="1"/>
    <col min="15877" max="15877" width="13.5" style="1360" customWidth="1"/>
    <col min="15878" max="15878" width="9" style="1360"/>
    <col min="15879" max="15879" width="9.375" style="1360" bestFit="1" customWidth="1"/>
    <col min="15880" max="15881" width="9" style="1360"/>
    <col min="15882" max="15882" width="9.375" style="1360" bestFit="1" customWidth="1"/>
    <col min="15883" max="15883" width="4" style="1360" customWidth="1"/>
    <col min="15884" max="15884" width="5.125" style="1360" customWidth="1"/>
    <col min="15885" max="15885" width="13.75" style="1360" customWidth="1"/>
    <col min="15886" max="16128" width="9" style="1360"/>
    <col min="16129" max="16129" width="4.875" style="1360" customWidth="1"/>
    <col min="16130" max="16130" width="13.25" style="1360" customWidth="1"/>
    <col min="16131" max="16131" width="15.625" style="1360" customWidth="1"/>
    <col min="16132" max="16132" width="9.375" style="1360" bestFit="1" customWidth="1"/>
    <col min="16133" max="16133" width="13.5" style="1360" customWidth="1"/>
    <col min="16134" max="16134" width="9" style="1360"/>
    <col min="16135" max="16135" width="9.375" style="1360" bestFit="1" customWidth="1"/>
    <col min="16136" max="16137" width="9" style="1360"/>
    <col min="16138" max="16138" width="9.375" style="1360" bestFit="1" customWidth="1"/>
    <col min="16139" max="16139" width="4" style="1360" customWidth="1"/>
    <col min="16140" max="16140" width="5.125" style="1360" customWidth="1"/>
    <col min="16141" max="16141" width="13.75" style="1360" customWidth="1"/>
    <col min="16142" max="16384" width="9" style="1360"/>
  </cols>
  <sheetData>
    <row r="1" spans="1:257" s="1422" customFormat="1" ht="14.25" thickBot="1">
      <c r="A1" s="1416"/>
      <c r="B1" s="1423" t="s">
        <v>1027</v>
      </c>
      <c r="C1" s="1417">
        <f>项目基本情况!D3</f>
        <v>44869</v>
      </c>
      <c r="D1" s="1423" t="s">
        <v>1028</v>
      </c>
      <c r="E1" s="1418">
        <f>'数据-取费表'!B22</f>
        <v>2</v>
      </c>
      <c r="F1" s="1423" t="s">
        <v>1029</v>
      </c>
      <c r="G1" s="1419">
        <f ca="1">INDIRECT("d"&amp;$K$1)/100</f>
        <v>3.6499999999999998E-2</v>
      </c>
      <c r="H1" s="1423" t="s">
        <v>1059</v>
      </c>
      <c r="I1" s="1419">
        <f ca="1">F4/100</f>
        <v>1.4999999999999999E-2</v>
      </c>
      <c r="J1" s="1424">
        <f>IF(C1&gt;C13,0,MATCH(C1,C$13:C$109,-1))+IF(SUMIF(C13:C109,C1,D13:D109)=0,13,12)</f>
        <v>13</v>
      </c>
      <c r="K1" s="1424">
        <f>MATCH(E1,C3:C7,1)+IF(SUMIF(C3:C7,E1,D3:D7)=0,2,1)</f>
        <v>5</v>
      </c>
      <c r="L1" s="1424">
        <f>IF(C1&gt;M13,0,MATCH(C1,M$13:M$100,-1))+IF(SUMIF(M13:M100,C1,N13:N100)=0,13,12)</f>
        <v>13</v>
      </c>
      <c r="M1" s="1416"/>
      <c r="N1" s="1416"/>
      <c r="O1" s="1416"/>
      <c r="P1" s="1416"/>
      <c r="Q1" s="1416"/>
      <c r="R1" s="1416"/>
      <c r="S1" s="1416"/>
      <c r="T1" s="1416"/>
      <c r="U1" s="1416"/>
      <c r="V1" s="1416"/>
      <c r="W1" s="1416"/>
      <c r="X1" s="1416"/>
      <c r="Y1" s="1416"/>
      <c r="Z1" s="1416"/>
      <c r="AA1" s="1420"/>
      <c r="AB1" s="1420"/>
      <c r="AC1" s="1420"/>
      <c r="AD1" s="1420"/>
      <c r="AE1" s="1420"/>
      <c r="AF1" s="1420"/>
      <c r="AG1" s="1420"/>
      <c r="AH1" s="1420"/>
      <c r="AI1" s="1420"/>
      <c r="AJ1" s="1420"/>
      <c r="AK1" s="1420"/>
      <c r="AL1" s="1420"/>
      <c r="AM1" s="1420"/>
      <c r="AN1" s="1420"/>
      <c r="AO1" s="1420"/>
      <c r="AP1" s="1420"/>
      <c r="AQ1" s="1420"/>
      <c r="AR1" s="1420"/>
      <c r="AS1" s="1420"/>
      <c r="AT1" s="1420"/>
      <c r="AU1" s="1420"/>
      <c r="AV1" s="1420"/>
      <c r="AW1" s="1420"/>
      <c r="AX1" s="1420"/>
      <c r="AY1" s="1420"/>
      <c r="AZ1" s="1420"/>
      <c r="BA1" s="1420"/>
      <c r="BB1" s="1420"/>
      <c r="BC1" s="1420"/>
      <c r="BD1" s="1420"/>
      <c r="BE1" s="1420"/>
      <c r="BF1" s="1420"/>
      <c r="BG1" s="1420"/>
      <c r="BH1" s="1420"/>
      <c r="BI1" s="1420"/>
      <c r="BJ1" s="1420"/>
      <c r="BK1" s="1420"/>
      <c r="BL1" s="1420"/>
      <c r="BM1" s="1420"/>
      <c r="BN1" s="1420"/>
      <c r="BO1" s="1420"/>
      <c r="BP1" s="1420"/>
      <c r="BQ1" s="1420"/>
      <c r="BR1" s="1420"/>
      <c r="BS1" s="1420"/>
      <c r="BT1" s="1420"/>
      <c r="BU1" s="1420"/>
      <c r="BV1" s="1420"/>
      <c r="BW1" s="1420"/>
      <c r="BX1" s="1420"/>
      <c r="BY1" s="1420"/>
      <c r="BZ1" s="1420"/>
      <c r="CA1" s="1420"/>
      <c r="CB1" s="1420"/>
      <c r="CC1" s="1420"/>
      <c r="CD1" s="1420"/>
      <c r="CE1" s="1420"/>
      <c r="CF1" s="1420"/>
      <c r="CG1" s="1420"/>
      <c r="CH1" s="1420"/>
      <c r="CI1" s="1420"/>
      <c r="CJ1" s="1420"/>
      <c r="CK1" s="1420"/>
      <c r="CL1" s="1420"/>
      <c r="CM1" s="1420"/>
      <c r="CN1" s="1420"/>
      <c r="CO1" s="1420"/>
      <c r="CP1" s="1420"/>
      <c r="CQ1" s="1420"/>
      <c r="CR1" s="1420"/>
      <c r="CS1" s="1420"/>
      <c r="CT1" s="1420"/>
      <c r="CU1" s="1420"/>
      <c r="CV1" s="1420"/>
      <c r="CW1" s="1420"/>
      <c r="CX1" s="1420"/>
      <c r="CY1" s="1420"/>
      <c r="CZ1" s="1420"/>
      <c r="DA1" s="1420"/>
      <c r="DB1" s="1420"/>
      <c r="DC1" s="1420"/>
      <c r="DD1" s="1420"/>
      <c r="DE1" s="1420"/>
      <c r="DF1" s="1420"/>
      <c r="DG1" s="1420"/>
      <c r="DH1" s="1420"/>
      <c r="DI1" s="1420"/>
      <c r="DJ1" s="1420"/>
      <c r="DK1" s="1420"/>
      <c r="DL1" s="1420"/>
      <c r="DM1" s="1420"/>
      <c r="DN1" s="1420"/>
      <c r="DO1" s="1420"/>
      <c r="DP1" s="1420"/>
      <c r="DQ1" s="1420"/>
      <c r="DR1" s="1420"/>
      <c r="DS1" s="1420"/>
      <c r="DT1" s="1420"/>
      <c r="DU1" s="1420"/>
      <c r="DV1" s="1420"/>
      <c r="DW1" s="1420"/>
      <c r="DX1" s="1420"/>
      <c r="DY1" s="1420"/>
      <c r="DZ1" s="1420"/>
      <c r="EA1" s="1420"/>
      <c r="EB1" s="1420"/>
      <c r="EC1" s="1420"/>
      <c r="ED1" s="1420"/>
      <c r="EE1" s="1420"/>
      <c r="EF1" s="1420"/>
      <c r="EG1" s="1420"/>
      <c r="EH1" s="1420"/>
      <c r="EI1" s="1420"/>
      <c r="EJ1" s="1420"/>
      <c r="EK1" s="1420"/>
      <c r="EL1" s="1420"/>
      <c r="EM1" s="1420"/>
      <c r="EN1" s="1420"/>
      <c r="EO1" s="1420"/>
      <c r="EP1" s="1420"/>
      <c r="EQ1" s="1420"/>
      <c r="ER1" s="1420"/>
      <c r="ES1" s="1420"/>
      <c r="ET1" s="1420"/>
      <c r="EU1" s="1420"/>
      <c r="EV1" s="1420"/>
      <c r="EW1" s="1420"/>
      <c r="EX1" s="1420"/>
      <c r="EY1" s="1420"/>
      <c r="EZ1" s="1420"/>
      <c r="FA1" s="1420"/>
      <c r="FB1" s="1420"/>
      <c r="FC1" s="1420"/>
      <c r="FD1" s="1420"/>
      <c r="FE1" s="1420"/>
      <c r="FF1" s="1420"/>
      <c r="FG1" s="1420"/>
      <c r="FH1" s="1420"/>
      <c r="FI1" s="1420"/>
      <c r="FJ1" s="1420"/>
      <c r="FK1" s="1420"/>
      <c r="FL1" s="1420"/>
      <c r="FM1" s="1420"/>
      <c r="FN1" s="1420"/>
      <c r="FO1" s="1420"/>
      <c r="FP1" s="1420"/>
      <c r="FQ1" s="1420"/>
      <c r="FR1" s="1420"/>
      <c r="FS1" s="1420"/>
      <c r="FT1" s="1420"/>
      <c r="FU1" s="1420"/>
      <c r="FV1" s="1420"/>
      <c r="FW1" s="1420"/>
      <c r="FX1" s="1420"/>
      <c r="FY1" s="1420"/>
      <c r="FZ1" s="1420"/>
      <c r="GA1" s="1420"/>
      <c r="GB1" s="1420"/>
      <c r="GC1" s="1420"/>
      <c r="GD1" s="1420"/>
      <c r="GE1" s="1420"/>
      <c r="GF1" s="1420"/>
      <c r="GG1" s="1420"/>
      <c r="GH1" s="1420"/>
      <c r="GI1" s="1420"/>
      <c r="GJ1" s="1420"/>
      <c r="GK1" s="1420"/>
      <c r="GL1" s="1420"/>
      <c r="GM1" s="1420"/>
      <c r="GN1" s="1420"/>
      <c r="GO1" s="1420"/>
      <c r="GP1" s="1420"/>
      <c r="GQ1" s="1420"/>
      <c r="GR1" s="1420"/>
      <c r="GS1" s="1420"/>
      <c r="GT1" s="1420"/>
      <c r="GU1" s="1420"/>
      <c r="GV1" s="1420"/>
      <c r="GW1" s="1420"/>
      <c r="GX1" s="1420"/>
      <c r="GY1" s="1420"/>
      <c r="GZ1" s="1420"/>
      <c r="HA1" s="1420"/>
      <c r="HB1" s="1420"/>
      <c r="HC1" s="1420"/>
      <c r="HD1" s="1420"/>
      <c r="HE1" s="1420"/>
      <c r="HF1" s="1420"/>
      <c r="HG1" s="1420"/>
      <c r="HH1" s="1420"/>
      <c r="HI1" s="1420"/>
      <c r="HJ1" s="1420"/>
      <c r="HK1" s="1420"/>
      <c r="HL1" s="1420"/>
      <c r="HM1" s="1420"/>
      <c r="HN1" s="1420"/>
      <c r="HO1" s="1420"/>
      <c r="HP1" s="1420"/>
      <c r="HQ1" s="1420"/>
      <c r="HR1" s="1420"/>
      <c r="HS1" s="1420"/>
      <c r="HT1" s="1420"/>
      <c r="HU1" s="1420"/>
      <c r="HV1" s="1420"/>
      <c r="HW1" s="1420"/>
      <c r="HX1" s="1420"/>
      <c r="HY1" s="1420"/>
      <c r="HZ1" s="1420"/>
      <c r="IA1" s="1420"/>
      <c r="IB1" s="1420"/>
      <c r="IC1" s="1420"/>
      <c r="ID1" s="1420"/>
      <c r="IE1" s="1420"/>
      <c r="IF1" s="1420"/>
      <c r="IG1" s="1420"/>
      <c r="IH1" s="1420"/>
      <c r="II1" s="1420"/>
      <c r="IJ1" s="1420"/>
      <c r="IK1" s="1420"/>
      <c r="IL1" s="1420"/>
      <c r="IM1" s="1420"/>
      <c r="IN1" s="1420"/>
      <c r="IO1" s="1420"/>
      <c r="IP1" s="1420"/>
      <c r="IQ1" s="1420"/>
      <c r="IR1" s="1420"/>
      <c r="IS1" s="1420"/>
      <c r="IT1" s="1420"/>
      <c r="IU1" s="1420"/>
      <c r="IV1" s="1420"/>
      <c r="IW1" s="1421"/>
    </row>
    <row r="2" spans="1:257" ht="15" thickTop="1" thickBot="1">
      <c r="A2" s="1361"/>
      <c r="B2" s="1361"/>
      <c r="C2" s="1361"/>
      <c r="D2" s="1361" t="s">
        <v>1030</v>
      </c>
      <c r="E2" s="1361"/>
      <c r="F2" s="1361" t="s">
        <v>1031</v>
      </c>
      <c r="G2" s="1362"/>
      <c r="H2" s="1361"/>
      <c r="I2" s="1361"/>
      <c r="J2" s="1361"/>
      <c r="K2" s="1361"/>
      <c r="L2" s="1361"/>
      <c r="M2" s="1361"/>
      <c r="N2" s="1361"/>
      <c r="O2" s="1361"/>
      <c r="P2" s="1361"/>
      <c r="Q2" s="1361"/>
      <c r="R2" s="1361"/>
      <c r="S2" s="1361"/>
      <c r="T2" s="1361"/>
      <c r="U2" s="1361"/>
      <c r="V2" s="1361"/>
      <c r="W2" s="1361"/>
      <c r="X2" s="1361"/>
      <c r="Y2" s="1361"/>
      <c r="Z2" s="1361"/>
      <c r="AA2" s="1361"/>
      <c r="AB2" s="1361"/>
      <c r="AC2" s="1361"/>
      <c r="AD2" s="1361"/>
      <c r="AE2" s="1361"/>
      <c r="AF2" s="1361"/>
      <c r="AG2" s="1361"/>
      <c r="AH2" s="1361"/>
      <c r="AI2" s="1361"/>
      <c r="AJ2" s="1361"/>
      <c r="AK2" s="1361"/>
      <c r="AL2" s="1361"/>
      <c r="AM2" s="1361"/>
      <c r="AN2" s="1361"/>
      <c r="AO2" s="1361"/>
      <c r="AP2" s="1361"/>
      <c r="AQ2" s="1361"/>
      <c r="AR2" s="1361"/>
      <c r="AS2" s="1361"/>
      <c r="AT2" s="1361"/>
      <c r="AU2" s="1361"/>
      <c r="AV2" s="1361"/>
      <c r="AW2" s="1361"/>
      <c r="AX2" s="1361"/>
      <c r="AY2" s="1361"/>
      <c r="AZ2" s="1361"/>
      <c r="BA2" s="1361"/>
      <c r="BB2" s="1361"/>
      <c r="BC2" s="1361"/>
      <c r="BD2" s="1361"/>
      <c r="BE2" s="1361"/>
      <c r="BF2" s="1361"/>
      <c r="BG2" s="1361"/>
      <c r="BH2" s="1361"/>
      <c r="BI2" s="1361"/>
      <c r="BJ2" s="1361"/>
      <c r="BK2" s="1361"/>
      <c r="BL2" s="1361"/>
      <c r="BM2" s="1361"/>
      <c r="BN2" s="1361"/>
      <c r="BO2" s="1361"/>
      <c r="BP2" s="1361"/>
      <c r="BQ2" s="1361"/>
      <c r="BR2" s="1361"/>
      <c r="BS2" s="1361"/>
      <c r="BT2" s="1361"/>
      <c r="BU2" s="1361"/>
      <c r="BV2" s="1361"/>
      <c r="BW2" s="1361"/>
      <c r="BX2" s="1361"/>
      <c r="BY2" s="1361"/>
      <c r="BZ2" s="1361"/>
      <c r="CA2" s="1361"/>
      <c r="CB2" s="1361"/>
      <c r="CC2" s="1361"/>
      <c r="CD2" s="1361"/>
      <c r="CE2" s="1361"/>
      <c r="CF2" s="1361"/>
      <c r="CG2" s="1361"/>
      <c r="CH2" s="1361"/>
      <c r="CI2" s="1361"/>
      <c r="CJ2" s="1361"/>
      <c r="CK2" s="1361"/>
      <c r="CL2" s="1361"/>
      <c r="CM2" s="1361"/>
      <c r="CN2" s="1361"/>
      <c r="CO2" s="1361"/>
      <c r="CP2" s="1361"/>
      <c r="CQ2" s="1361"/>
      <c r="CR2" s="1361"/>
      <c r="CS2" s="1361"/>
      <c r="CT2" s="1361"/>
      <c r="CU2" s="1361"/>
      <c r="CV2" s="1361"/>
      <c r="CW2" s="1361"/>
      <c r="CX2" s="1361"/>
      <c r="CY2" s="1361"/>
      <c r="CZ2" s="1361"/>
      <c r="DA2" s="1361"/>
      <c r="DB2" s="1361"/>
      <c r="DC2" s="1361"/>
      <c r="DD2" s="1361"/>
      <c r="DE2" s="1361"/>
      <c r="DF2" s="1361"/>
      <c r="DG2" s="1361"/>
      <c r="DH2" s="1361"/>
      <c r="DI2" s="1361"/>
      <c r="DJ2" s="1361"/>
      <c r="DK2" s="1361"/>
      <c r="DL2" s="1361"/>
      <c r="DM2" s="1361"/>
      <c r="DN2" s="1361"/>
      <c r="DO2" s="1361"/>
      <c r="DP2" s="1361"/>
      <c r="DQ2" s="1361"/>
      <c r="DR2" s="1361"/>
      <c r="DS2" s="1361"/>
      <c r="DT2" s="1361"/>
      <c r="DU2" s="1361"/>
      <c r="DV2" s="1361"/>
      <c r="DW2" s="1361"/>
      <c r="DX2" s="1361"/>
      <c r="DY2" s="1361"/>
      <c r="DZ2" s="1361"/>
      <c r="EA2" s="1361"/>
      <c r="EB2" s="1361"/>
      <c r="EC2" s="1361"/>
      <c r="ED2" s="1361"/>
      <c r="EE2" s="1361"/>
      <c r="EF2" s="1361"/>
      <c r="EG2" s="1361"/>
      <c r="EH2" s="1361"/>
      <c r="EI2" s="1361"/>
      <c r="EJ2" s="1361"/>
      <c r="EK2" s="1361"/>
      <c r="EL2" s="1361"/>
      <c r="EM2" s="1361"/>
      <c r="EN2" s="1361"/>
      <c r="EO2" s="1361"/>
      <c r="EP2" s="1361"/>
      <c r="EQ2" s="1361"/>
      <c r="ER2" s="1361"/>
      <c r="ES2" s="1361"/>
      <c r="ET2" s="1361"/>
      <c r="EU2" s="1361"/>
      <c r="EV2" s="1361"/>
      <c r="EW2" s="1361"/>
      <c r="EX2" s="1361"/>
      <c r="EY2" s="1361"/>
      <c r="EZ2" s="1361"/>
      <c r="FA2" s="1361"/>
      <c r="FB2" s="1361"/>
      <c r="FC2" s="1361"/>
      <c r="FD2" s="1361"/>
      <c r="FE2" s="1361"/>
      <c r="FF2" s="1361"/>
      <c r="FG2" s="1361"/>
      <c r="FH2" s="1361"/>
      <c r="FI2" s="1361"/>
      <c r="FJ2" s="1361"/>
      <c r="FK2" s="1361"/>
      <c r="FL2" s="1361"/>
      <c r="FM2" s="1361"/>
      <c r="FN2" s="1361"/>
      <c r="FO2" s="1361"/>
      <c r="FP2" s="1361"/>
      <c r="FQ2" s="1361"/>
      <c r="FR2" s="1361"/>
      <c r="FS2" s="1361"/>
      <c r="FT2" s="1361"/>
      <c r="FU2" s="1361"/>
      <c r="FV2" s="1361"/>
      <c r="FW2" s="1361"/>
      <c r="FX2" s="1361"/>
      <c r="FY2" s="1361"/>
      <c r="FZ2" s="1361"/>
      <c r="GA2" s="1361"/>
      <c r="GB2" s="1361"/>
      <c r="GC2" s="1361"/>
      <c r="GD2" s="1361"/>
      <c r="GE2" s="1361"/>
      <c r="GF2" s="1361"/>
      <c r="GG2" s="1361"/>
      <c r="GH2" s="1361"/>
      <c r="GI2" s="1361"/>
      <c r="GJ2" s="1361"/>
      <c r="GK2" s="1361"/>
      <c r="GL2" s="1361"/>
      <c r="GM2" s="1361"/>
      <c r="GN2" s="1361"/>
      <c r="GO2" s="1361"/>
      <c r="GP2" s="1361"/>
      <c r="GQ2" s="1361"/>
      <c r="GR2" s="1361"/>
      <c r="GS2" s="1361"/>
      <c r="GT2" s="1361"/>
      <c r="GU2" s="1361"/>
      <c r="GV2" s="1361"/>
      <c r="GW2" s="1361"/>
      <c r="GX2" s="1361"/>
      <c r="GY2" s="1361"/>
      <c r="GZ2" s="1361"/>
      <c r="HA2" s="1361"/>
      <c r="HB2" s="1361"/>
      <c r="HC2" s="1361"/>
      <c r="HD2" s="1361"/>
      <c r="HE2" s="1361"/>
      <c r="HF2" s="1361"/>
      <c r="HG2" s="1361"/>
      <c r="HH2" s="1361"/>
      <c r="HI2" s="1361"/>
      <c r="HJ2" s="1361"/>
      <c r="HK2" s="1361"/>
      <c r="HL2" s="1361"/>
      <c r="HM2" s="1361"/>
      <c r="HN2" s="1361"/>
      <c r="HO2" s="1361"/>
      <c r="HP2" s="1361"/>
      <c r="HQ2" s="1361"/>
      <c r="HR2" s="1361"/>
      <c r="HS2" s="1361"/>
      <c r="HT2" s="1361"/>
      <c r="HU2" s="1361"/>
      <c r="HV2" s="1361"/>
      <c r="HW2" s="1361"/>
      <c r="HX2" s="1361"/>
      <c r="HY2" s="1361"/>
      <c r="HZ2" s="1361"/>
      <c r="IA2" s="1361"/>
      <c r="IB2" s="1361"/>
      <c r="IC2" s="1361"/>
      <c r="ID2" s="1361"/>
      <c r="IE2" s="1361"/>
      <c r="IF2" s="1361"/>
      <c r="IG2" s="1361"/>
      <c r="IH2" s="1361"/>
      <c r="II2" s="1361"/>
      <c r="IJ2" s="1361"/>
      <c r="IK2" s="1361"/>
      <c r="IL2" s="1361"/>
      <c r="IM2" s="1361"/>
      <c r="IN2" s="1361"/>
      <c r="IO2" s="1361"/>
      <c r="IP2" s="1361"/>
      <c r="IQ2" s="1361"/>
      <c r="IR2" s="1361"/>
      <c r="IS2" s="1361"/>
      <c r="IT2" s="1361"/>
      <c r="IU2" s="1361"/>
      <c r="IV2" s="1361"/>
      <c r="IW2" s="1361"/>
    </row>
    <row r="3" spans="1:257">
      <c r="B3" s="1364" t="s">
        <v>1032</v>
      </c>
      <c r="C3" s="1365">
        <v>0</v>
      </c>
      <c r="D3" s="1366">
        <f ca="1">INDIRECT("d"&amp;$J$1)</f>
        <v>3.65</v>
      </c>
      <c r="E3" s="1367">
        <v>0.5</v>
      </c>
      <c r="F3" s="1368">
        <f ca="1">INDIRECT("p"&amp;$L$1)</f>
        <v>1.3</v>
      </c>
      <c r="G3" s="1363"/>
      <c r="H3" s="1363"/>
      <c r="I3" s="1363"/>
      <c r="J3" s="1363"/>
      <c r="L3" s="1363"/>
      <c r="M3" s="1363"/>
      <c r="N3" s="1363"/>
      <c r="O3" s="1363"/>
      <c r="P3" s="1363"/>
      <c r="Q3" s="1363"/>
      <c r="R3" s="1363"/>
      <c r="S3" s="1363"/>
      <c r="T3" s="1363"/>
      <c r="U3" s="1363"/>
      <c r="V3" s="1363"/>
      <c r="W3" s="1363"/>
      <c r="X3" s="1363"/>
      <c r="Y3" s="1363"/>
      <c r="Z3" s="1363"/>
    </row>
    <row r="4" spans="1:257">
      <c r="B4" s="1370" t="s">
        <v>1033</v>
      </c>
      <c r="C4" s="1371">
        <v>0.5</v>
      </c>
      <c r="D4" s="1372">
        <f ca="1">INDIRECT("e"&amp;$J$1)</f>
        <v>3.65</v>
      </c>
      <c r="E4" s="1373">
        <v>1</v>
      </c>
      <c r="F4" s="1374">
        <f ca="1">INDIRECT("q"&amp;$L$1)</f>
        <v>1.5</v>
      </c>
      <c r="G4" s="1363"/>
      <c r="H4" s="1363"/>
      <c r="I4" s="1363"/>
      <c r="J4" s="1363"/>
      <c r="L4" s="1363"/>
      <c r="M4" s="1363"/>
      <c r="N4" s="1363"/>
      <c r="O4" s="1363"/>
      <c r="P4" s="1363"/>
      <c r="Q4" s="1363"/>
      <c r="R4" s="1363"/>
      <c r="S4" s="1363"/>
      <c r="T4" s="1363"/>
      <c r="U4" s="1363"/>
      <c r="V4" s="1363"/>
      <c r="W4" s="1363"/>
      <c r="X4" s="1363"/>
      <c r="Y4" s="1363"/>
      <c r="Z4" s="1363"/>
    </row>
    <row r="5" spans="1:257">
      <c r="B5" s="1370" t="s">
        <v>1034</v>
      </c>
      <c r="C5" s="1371">
        <v>1</v>
      </c>
      <c r="D5" s="1372">
        <f ca="1">INDIRECT("f"&amp;$J$1)</f>
        <v>3.65</v>
      </c>
      <c r="E5" s="1373">
        <v>2</v>
      </c>
      <c r="F5" s="1374">
        <f ca="1">INDIRECT("r"&amp;$L$1)</f>
        <v>2.1</v>
      </c>
      <c r="G5" s="1363"/>
      <c r="H5" s="1363"/>
      <c r="I5" s="1363"/>
      <c r="J5" s="1363"/>
      <c r="L5" s="1363"/>
      <c r="M5" s="1363"/>
      <c r="N5" s="1363"/>
      <c r="O5" s="1363"/>
      <c r="P5" s="1363"/>
      <c r="Q5" s="1363"/>
      <c r="R5" s="1363"/>
      <c r="S5" s="1363"/>
      <c r="T5" s="1363"/>
      <c r="U5" s="1363"/>
      <c r="V5" s="1363"/>
      <c r="W5" s="1363"/>
      <c r="X5" s="1363"/>
      <c r="Y5" s="1363"/>
      <c r="Z5" s="1363"/>
    </row>
    <row r="6" spans="1:257">
      <c r="B6" s="1370" t="s">
        <v>1035</v>
      </c>
      <c r="C6" s="1371">
        <v>3</v>
      </c>
      <c r="D6" s="1372">
        <f ca="1">INDIRECT("g"&amp;$J$1)</f>
        <v>3.65</v>
      </c>
      <c r="E6" s="1373">
        <v>3</v>
      </c>
      <c r="F6" s="1374">
        <f ca="1">INDIRECT("s"&amp;$L$1)</f>
        <v>2.75</v>
      </c>
      <c r="G6" s="1363"/>
      <c r="H6" s="1363"/>
      <c r="I6" s="1363"/>
      <c r="J6" s="1363"/>
      <c r="L6" s="1363"/>
      <c r="M6" s="1363"/>
      <c r="N6" s="1363"/>
      <c r="O6" s="1363"/>
      <c r="P6" s="1363"/>
      <c r="Q6" s="1363"/>
      <c r="R6" s="1363"/>
      <c r="S6" s="1363"/>
      <c r="T6" s="1363"/>
      <c r="U6" s="1363"/>
      <c r="V6" s="1363"/>
      <c r="W6" s="1363"/>
      <c r="X6" s="1363"/>
      <c r="Y6" s="1363"/>
      <c r="Z6" s="1363"/>
    </row>
    <row r="7" spans="1:257" ht="14.25" thickBot="1">
      <c r="B7" s="1375" t="s">
        <v>1036</v>
      </c>
      <c r="C7" s="1376">
        <v>5</v>
      </c>
      <c r="D7" s="1377">
        <f ca="1">INDIRECT("h"&amp;$J$1)</f>
        <v>4.3</v>
      </c>
      <c r="E7" s="1378">
        <v>5</v>
      </c>
      <c r="F7" s="1379">
        <f ca="1">INDIRECT("t"&amp;$L$1)</f>
        <v>0</v>
      </c>
      <c r="G7" s="1363"/>
      <c r="H7" s="1363"/>
      <c r="I7" s="1363"/>
      <c r="J7" s="1363"/>
      <c r="L7" s="1363"/>
      <c r="M7" s="1363"/>
      <c r="N7" s="1363"/>
      <c r="O7" s="1363"/>
      <c r="P7" s="1363"/>
      <c r="Q7" s="1363"/>
      <c r="R7" s="1363"/>
      <c r="S7" s="1363"/>
      <c r="T7" s="1363"/>
      <c r="U7" s="1363"/>
      <c r="V7" s="1363"/>
      <c r="W7" s="1363"/>
      <c r="X7" s="1363"/>
      <c r="Y7" s="1363"/>
      <c r="Z7" s="1363"/>
    </row>
    <row r="8" spans="1:257">
      <c r="A8" s="1380"/>
      <c r="B8" s="1381"/>
      <c r="C8" s="1382"/>
      <c r="D8" s="1363"/>
      <c r="E8" s="1363"/>
      <c r="F8" s="1363"/>
      <c r="G8" s="1363"/>
      <c r="H8" s="1363"/>
      <c r="I8" s="1363"/>
      <c r="J8" s="1363"/>
      <c r="L8" s="1363"/>
      <c r="M8" s="1363"/>
      <c r="N8" s="1363"/>
      <c r="O8" s="1363"/>
      <c r="P8" s="1363"/>
      <c r="Q8" s="1363"/>
      <c r="R8" s="1363"/>
      <c r="S8" s="1363"/>
      <c r="T8" s="1363"/>
      <c r="U8" s="1363"/>
      <c r="V8" s="1363"/>
      <c r="W8" s="1363"/>
      <c r="X8" s="1363"/>
      <c r="Y8" s="1363"/>
      <c r="Z8" s="1363"/>
    </row>
    <row r="9" spans="1:257" ht="20.25">
      <c r="A9" s="1383"/>
      <c r="B9" s="1384" t="s">
        <v>1037</v>
      </c>
      <c r="C9" s="1385"/>
      <c r="D9" s="1386"/>
      <c r="E9" s="1386"/>
      <c r="F9" s="1386"/>
      <c r="G9" s="1386"/>
      <c r="H9" s="1386"/>
      <c r="I9" s="1386"/>
      <c r="J9" s="1386"/>
      <c r="K9" s="1386"/>
      <c r="L9" s="1386"/>
      <c r="M9" s="1386"/>
      <c r="N9" s="1386"/>
      <c r="O9" s="1386"/>
      <c r="P9" s="1386"/>
      <c r="Q9" s="1386"/>
      <c r="R9" s="1386"/>
      <c r="S9" s="1386"/>
      <c r="T9" s="1386"/>
      <c r="U9" s="1386"/>
      <c r="V9" s="1386"/>
      <c r="W9" s="1386"/>
      <c r="X9" s="1386"/>
      <c r="Y9" s="1386"/>
      <c r="Z9" s="1386"/>
      <c r="AA9" s="1387"/>
      <c r="AB9" s="1387"/>
      <c r="AC9" s="1387"/>
      <c r="AD9" s="1387"/>
      <c r="AE9" s="1387"/>
      <c r="AF9" s="1387"/>
      <c r="AG9" s="1387"/>
      <c r="AH9" s="1387"/>
      <c r="AI9" s="1387"/>
      <c r="AJ9" s="1387"/>
      <c r="AK9" s="1387"/>
      <c r="AL9" s="1387"/>
      <c r="AM9" s="1387"/>
      <c r="AN9" s="1387"/>
      <c r="AO9" s="1387"/>
      <c r="AP9" s="1387"/>
      <c r="AQ9" s="1387"/>
      <c r="AR9" s="1387"/>
      <c r="AS9" s="1387"/>
      <c r="AT9" s="1387"/>
      <c r="AU9" s="1387"/>
      <c r="AV9" s="1387"/>
      <c r="AW9" s="1387"/>
      <c r="AX9" s="1387"/>
      <c r="AY9" s="1387"/>
      <c r="AZ9" s="1387"/>
      <c r="BA9" s="1387"/>
      <c r="BB9" s="1387"/>
      <c r="BC9" s="1387"/>
      <c r="BD9" s="1387"/>
      <c r="BE9" s="1387"/>
      <c r="BF9" s="1387"/>
      <c r="BG9" s="1387"/>
      <c r="BH9" s="1387"/>
      <c r="BI9" s="1387"/>
      <c r="BJ9" s="1387"/>
      <c r="BK9" s="1387"/>
      <c r="BL9" s="1387"/>
      <c r="BM9" s="1387"/>
      <c r="BN9" s="1387"/>
      <c r="BO9" s="1387"/>
      <c r="BP9" s="1387"/>
      <c r="BQ9" s="1387"/>
      <c r="BR9" s="1387"/>
      <c r="BS9" s="1387"/>
      <c r="BT9" s="1387"/>
      <c r="BU9" s="1387"/>
      <c r="BV9" s="1387"/>
      <c r="BW9" s="1387"/>
      <c r="BX9" s="1387"/>
      <c r="BY9" s="1387"/>
      <c r="BZ9" s="1387"/>
      <c r="CA9" s="1387"/>
      <c r="CB9" s="1387"/>
      <c r="CC9" s="1387"/>
      <c r="CD9" s="1387"/>
      <c r="CE9" s="1387"/>
      <c r="CF9" s="1387"/>
      <c r="CG9" s="1387"/>
      <c r="CH9" s="1387"/>
      <c r="CI9" s="1387"/>
      <c r="CJ9" s="1387"/>
      <c r="CK9" s="1387"/>
      <c r="CL9" s="1387"/>
      <c r="CM9" s="1387"/>
      <c r="CN9" s="1387"/>
      <c r="CO9" s="1387"/>
      <c r="CP9" s="1387"/>
      <c r="CQ9" s="1387"/>
      <c r="CR9" s="1387"/>
      <c r="CS9" s="1387"/>
      <c r="CT9" s="1387"/>
      <c r="CU9" s="1387"/>
      <c r="CV9" s="1387"/>
      <c r="CW9" s="1387"/>
      <c r="CX9" s="1387"/>
      <c r="CY9" s="1387"/>
      <c r="CZ9" s="1387"/>
      <c r="DA9" s="1387"/>
      <c r="DB9" s="1387"/>
      <c r="DC9" s="1387"/>
      <c r="DD9" s="1387"/>
      <c r="DE9" s="1387"/>
      <c r="DF9" s="1387"/>
      <c r="DG9" s="1387"/>
      <c r="DH9" s="1387"/>
      <c r="DI9" s="1387"/>
      <c r="DJ9" s="1387"/>
      <c r="DK9" s="1387"/>
      <c r="DL9" s="1387"/>
      <c r="DM9" s="1387"/>
      <c r="DN9" s="1387"/>
      <c r="DO9" s="1387"/>
      <c r="DP9" s="1387"/>
      <c r="DQ9" s="1387"/>
      <c r="DR9" s="1387"/>
      <c r="DS9" s="1387"/>
      <c r="DT9" s="1387"/>
      <c r="DU9" s="1387"/>
      <c r="DV9" s="1387"/>
      <c r="DW9" s="1387"/>
      <c r="DX9" s="1387"/>
      <c r="DY9" s="1387"/>
      <c r="DZ9" s="1387"/>
      <c r="EA9" s="1387"/>
      <c r="EB9" s="1387"/>
      <c r="EC9" s="1387"/>
      <c r="ED9" s="1387"/>
      <c r="EE9" s="1387"/>
      <c r="EF9" s="1387"/>
      <c r="EG9" s="1387"/>
      <c r="EH9" s="1387"/>
      <c r="EI9" s="1387"/>
      <c r="EJ9" s="1387"/>
      <c r="EK9" s="1387"/>
      <c r="EL9" s="1387"/>
      <c r="EM9" s="1387"/>
      <c r="EN9" s="1387"/>
      <c r="EO9" s="1387"/>
      <c r="EP9" s="1387"/>
      <c r="EQ9" s="1387"/>
      <c r="ER9" s="1387"/>
      <c r="ES9" s="1387"/>
      <c r="ET9" s="1387"/>
      <c r="EU9" s="1387"/>
      <c r="EV9" s="1387"/>
      <c r="EW9" s="1387"/>
      <c r="EX9" s="1387"/>
      <c r="EY9" s="1387"/>
      <c r="EZ9" s="1387"/>
      <c r="FA9" s="1387"/>
      <c r="FB9" s="1387"/>
      <c r="FC9" s="1387"/>
      <c r="FD9" s="1387"/>
      <c r="FE9" s="1387"/>
      <c r="FF9" s="1387"/>
      <c r="FG9" s="1387"/>
      <c r="FH9" s="1387"/>
      <c r="FI9" s="1387"/>
      <c r="FJ9" s="1387"/>
      <c r="FK9" s="1387"/>
      <c r="FL9" s="1387"/>
      <c r="FM9" s="1387"/>
      <c r="FN9" s="1387"/>
      <c r="FO9" s="1387"/>
      <c r="FP9" s="1387"/>
      <c r="FQ9" s="1387"/>
      <c r="FR9" s="1387"/>
      <c r="FS9" s="1387"/>
      <c r="FT9" s="1387"/>
      <c r="FU9" s="1387"/>
      <c r="FV9" s="1387"/>
      <c r="FW9" s="1387"/>
      <c r="FX9" s="1387"/>
      <c r="FY9" s="1387"/>
      <c r="FZ9" s="1387"/>
      <c r="GA9" s="1387"/>
      <c r="GB9" s="1387"/>
      <c r="GC9" s="1387"/>
      <c r="GD9" s="1387"/>
      <c r="GE9" s="1387"/>
      <c r="GF9" s="1387"/>
      <c r="GG9" s="1387"/>
      <c r="GH9" s="1387"/>
      <c r="GI9" s="1387"/>
      <c r="GJ9" s="1387"/>
      <c r="GK9" s="1387"/>
      <c r="GL9" s="1387"/>
      <c r="GM9" s="1387"/>
      <c r="GN9" s="1387"/>
      <c r="GO9" s="1387"/>
      <c r="GP9" s="1387"/>
      <c r="GQ9" s="1387"/>
      <c r="GR9" s="1387"/>
      <c r="GS9" s="1387"/>
      <c r="GT9" s="1387"/>
      <c r="GU9" s="1387"/>
      <c r="GV9" s="1387"/>
      <c r="GW9" s="1387"/>
      <c r="GX9" s="1387"/>
      <c r="GY9" s="1387"/>
      <c r="GZ9" s="1387"/>
      <c r="HA9" s="1387"/>
      <c r="HB9" s="1387"/>
      <c r="HC9" s="1387"/>
      <c r="HD9" s="1387"/>
      <c r="HE9" s="1387"/>
      <c r="HF9" s="1387"/>
      <c r="HG9" s="1387"/>
      <c r="HH9" s="1387"/>
      <c r="HI9" s="1387"/>
      <c r="HJ9" s="1387"/>
      <c r="HK9" s="1387"/>
      <c r="HL9" s="1387"/>
      <c r="HM9" s="1387"/>
      <c r="HN9" s="1387"/>
      <c r="HO9" s="1387"/>
      <c r="HP9" s="1387"/>
      <c r="HQ9" s="1387"/>
      <c r="HR9" s="1387"/>
      <c r="HS9" s="1387"/>
      <c r="HT9" s="1387"/>
      <c r="HU9" s="1387"/>
      <c r="HV9" s="1387"/>
      <c r="HW9" s="1387"/>
      <c r="HX9" s="1387"/>
      <c r="HY9" s="1387"/>
      <c r="HZ9" s="1387"/>
      <c r="IA9" s="1387"/>
      <c r="IB9" s="1387"/>
      <c r="IC9" s="1387"/>
      <c r="ID9" s="1387"/>
      <c r="IE9" s="1387"/>
      <c r="IF9" s="1387"/>
      <c r="IG9" s="1387"/>
      <c r="IH9" s="1387"/>
      <c r="II9" s="1387"/>
      <c r="IJ9" s="1387"/>
      <c r="IK9" s="1387"/>
      <c r="IL9" s="1387"/>
      <c r="IM9" s="1387"/>
      <c r="IN9" s="1387"/>
      <c r="IO9" s="1387"/>
      <c r="IP9" s="1387"/>
      <c r="IQ9" s="1387"/>
      <c r="IR9" s="1387"/>
      <c r="IS9" s="1387"/>
      <c r="IT9" s="1387"/>
      <c r="IU9" s="1387"/>
      <c r="IV9" s="1387"/>
      <c r="IW9" s="1388"/>
    </row>
    <row r="10" spans="1:257" ht="22.5">
      <c r="A10" s="1389"/>
      <c r="B10" s="1390" t="s">
        <v>1038</v>
      </c>
      <c r="C10" s="1389"/>
      <c r="D10" s="1389"/>
      <c r="E10" s="1389"/>
      <c r="F10" s="1389"/>
      <c r="G10" s="1389"/>
      <c r="H10" s="1389"/>
      <c r="I10" s="1363"/>
      <c r="J10" s="1363"/>
      <c r="K10" s="1389"/>
      <c r="L10" s="1390" t="s">
        <v>1039</v>
      </c>
      <c r="M10" s="1389"/>
      <c r="N10" s="1389"/>
      <c r="O10" s="1389"/>
      <c r="P10" s="1389"/>
      <c r="Q10" s="1389"/>
      <c r="R10" s="1389"/>
      <c r="S10" s="1389"/>
      <c r="T10" s="1389"/>
      <c r="U10" s="1389"/>
      <c r="V10" s="1389"/>
      <c r="W10" s="1389"/>
      <c r="X10" s="1389"/>
      <c r="Y10" s="1389"/>
      <c r="Z10" s="1389"/>
      <c r="AA10" s="1391"/>
      <c r="AB10" s="1391"/>
      <c r="AC10" s="1391"/>
      <c r="AD10" s="1391"/>
      <c r="AE10" s="1391"/>
      <c r="AF10" s="1391"/>
      <c r="AG10" s="1391"/>
      <c r="AH10" s="1391"/>
      <c r="AI10" s="1391"/>
      <c r="AJ10" s="1391"/>
      <c r="AK10" s="1391"/>
      <c r="AL10" s="1391"/>
      <c r="AM10" s="1391"/>
      <c r="AN10" s="1391"/>
      <c r="AO10" s="1391"/>
      <c r="AP10" s="1391"/>
      <c r="AQ10" s="1391"/>
      <c r="AR10" s="1391"/>
      <c r="AS10" s="1391"/>
      <c r="AT10" s="1391"/>
      <c r="AU10" s="1391"/>
      <c r="AV10" s="1391"/>
      <c r="AW10" s="1391"/>
      <c r="AX10" s="1391"/>
      <c r="AY10" s="1391"/>
      <c r="AZ10" s="1391"/>
      <c r="BA10" s="1391"/>
      <c r="BB10" s="1391"/>
      <c r="BC10" s="1391"/>
      <c r="BD10" s="1391"/>
      <c r="BE10" s="1391"/>
      <c r="BF10" s="1391"/>
      <c r="BG10" s="1391"/>
      <c r="BH10" s="1391"/>
      <c r="BI10" s="1391"/>
      <c r="BJ10" s="1391"/>
      <c r="BK10" s="1391"/>
      <c r="BL10" s="1391"/>
      <c r="BM10" s="1391"/>
      <c r="BN10" s="1391"/>
      <c r="BO10" s="1391"/>
      <c r="BP10" s="1391"/>
      <c r="BQ10" s="1391"/>
      <c r="BR10" s="1391"/>
      <c r="BS10" s="1391"/>
      <c r="BT10" s="1391"/>
      <c r="BU10" s="1391"/>
      <c r="BV10" s="1391"/>
      <c r="BW10" s="1391"/>
      <c r="BX10" s="1391"/>
      <c r="BY10" s="1391"/>
      <c r="BZ10" s="1391"/>
      <c r="CA10" s="1391"/>
      <c r="CB10" s="1391"/>
      <c r="CC10" s="1391"/>
      <c r="CD10" s="1391"/>
      <c r="CE10" s="1391"/>
      <c r="CF10" s="1391"/>
      <c r="CG10" s="1391"/>
      <c r="CH10" s="1391"/>
      <c r="CI10" s="1391"/>
      <c r="CJ10" s="1391"/>
      <c r="CK10" s="1391"/>
      <c r="CL10" s="1391"/>
      <c r="CM10" s="1391"/>
      <c r="CN10" s="1391"/>
      <c r="CO10" s="1391"/>
      <c r="CP10" s="1391"/>
      <c r="CQ10" s="1391"/>
      <c r="CR10" s="1391"/>
      <c r="CS10" s="1391"/>
      <c r="CT10" s="1391"/>
      <c r="CU10" s="1391"/>
      <c r="CV10" s="1391"/>
      <c r="CW10" s="1391"/>
      <c r="CX10" s="1391"/>
      <c r="CY10" s="1391"/>
      <c r="CZ10" s="1391"/>
      <c r="DA10" s="1391"/>
      <c r="DB10" s="1391"/>
      <c r="DC10" s="1391"/>
      <c r="DD10" s="1391"/>
      <c r="DE10" s="1391"/>
      <c r="DF10" s="1391"/>
      <c r="DG10" s="1391"/>
      <c r="DH10" s="1391"/>
      <c r="DI10" s="1391"/>
      <c r="DJ10" s="1391"/>
      <c r="DK10" s="1391"/>
      <c r="DL10" s="1391"/>
      <c r="DM10" s="1391"/>
      <c r="DN10" s="1391"/>
      <c r="DO10" s="1391"/>
      <c r="DP10" s="1391"/>
      <c r="DQ10" s="1391"/>
      <c r="DR10" s="1391"/>
      <c r="DS10" s="1391"/>
      <c r="DT10" s="1391"/>
      <c r="DU10" s="1391"/>
      <c r="DV10" s="1391"/>
      <c r="DW10" s="1391"/>
      <c r="DX10" s="1391"/>
      <c r="DY10" s="1391"/>
      <c r="DZ10" s="1391"/>
      <c r="EA10" s="1391"/>
      <c r="EB10" s="1391"/>
      <c r="EC10" s="1391"/>
      <c r="ED10" s="1391"/>
      <c r="EE10" s="1391"/>
      <c r="EF10" s="1391"/>
      <c r="EG10" s="1391"/>
      <c r="EH10" s="1391"/>
      <c r="EI10" s="1391"/>
      <c r="EJ10" s="1391"/>
      <c r="EK10" s="1391"/>
      <c r="EL10" s="1391"/>
      <c r="EM10" s="1391"/>
      <c r="EN10" s="1391"/>
      <c r="EO10" s="1391"/>
      <c r="EP10" s="1391"/>
      <c r="EQ10" s="1391"/>
      <c r="ER10" s="1391"/>
      <c r="ES10" s="1391"/>
      <c r="ET10" s="1391"/>
      <c r="EU10" s="1391"/>
      <c r="EV10" s="1391"/>
      <c r="EW10" s="1391"/>
      <c r="EX10" s="1391"/>
      <c r="EY10" s="1391"/>
      <c r="EZ10" s="1391"/>
      <c r="FA10" s="1391"/>
      <c r="FB10" s="1391"/>
      <c r="FC10" s="1391"/>
      <c r="FD10" s="1391"/>
      <c r="FE10" s="1391"/>
      <c r="FF10" s="1391"/>
      <c r="FG10" s="1391"/>
      <c r="FH10" s="1391"/>
      <c r="FI10" s="1391"/>
      <c r="FJ10" s="1391"/>
      <c r="FK10" s="1391"/>
      <c r="FL10" s="1391"/>
      <c r="FM10" s="1391"/>
      <c r="FN10" s="1391"/>
      <c r="FO10" s="1391"/>
      <c r="FP10" s="1391"/>
      <c r="FQ10" s="1391"/>
      <c r="FR10" s="1391"/>
      <c r="FS10" s="1391"/>
      <c r="FT10" s="1391"/>
      <c r="FU10" s="1391"/>
      <c r="FV10" s="1391"/>
      <c r="FW10" s="1391"/>
      <c r="FX10" s="1391"/>
      <c r="FY10" s="1391"/>
      <c r="FZ10" s="1391"/>
      <c r="GA10" s="1391"/>
      <c r="GB10" s="1391"/>
      <c r="GC10" s="1391"/>
      <c r="GD10" s="1391"/>
      <c r="GE10" s="1391"/>
      <c r="GF10" s="1391"/>
      <c r="GG10" s="1391"/>
      <c r="GH10" s="1391"/>
      <c r="GI10" s="1391"/>
      <c r="GJ10" s="1391"/>
      <c r="GK10" s="1391"/>
      <c r="GL10" s="1391"/>
      <c r="GM10" s="1391"/>
      <c r="GN10" s="1391"/>
      <c r="GO10" s="1391"/>
      <c r="GP10" s="1391"/>
      <c r="GQ10" s="1391"/>
      <c r="GR10" s="1391"/>
      <c r="GS10" s="1391"/>
      <c r="GT10" s="1391"/>
      <c r="GU10" s="1391"/>
      <c r="GV10" s="1391"/>
      <c r="GW10" s="1391"/>
      <c r="GX10" s="1391"/>
      <c r="GY10" s="1391"/>
      <c r="GZ10" s="1391"/>
      <c r="HA10" s="1391"/>
      <c r="HB10" s="1391"/>
      <c r="HC10" s="1391"/>
      <c r="HD10" s="1391"/>
      <c r="HE10" s="1391"/>
      <c r="HF10" s="1391"/>
      <c r="HG10" s="1391"/>
      <c r="HH10" s="1391"/>
      <c r="HI10" s="1391"/>
      <c r="HJ10" s="1391"/>
      <c r="HK10" s="1391"/>
      <c r="HL10" s="1391"/>
      <c r="HM10" s="1391"/>
      <c r="HN10" s="1391"/>
      <c r="HO10" s="1391"/>
      <c r="HP10" s="1391"/>
      <c r="HQ10" s="1391"/>
      <c r="HR10" s="1391"/>
      <c r="HS10" s="1391"/>
      <c r="HT10" s="1391"/>
      <c r="HU10" s="1391"/>
      <c r="HV10" s="1391"/>
      <c r="HW10" s="1391"/>
      <c r="HX10" s="1391"/>
      <c r="HY10" s="1391"/>
      <c r="HZ10" s="1391"/>
      <c r="IA10" s="1391"/>
      <c r="IB10" s="1391"/>
      <c r="IC10" s="1391"/>
      <c r="ID10" s="1391"/>
      <c r="IE10" s="1391"/>
      <c r="IF10" s="1391"/>
      <c r="IG10" s="1391"/>
      <c r="IH10" s="1391"/>
      <c r="II10" s="1391"/>
      <c r="IJ10" s="1391"/>
      <c r="IK10" s="1391"/>
      <c r="IL10" s="1391"/>
      <c r="IM10" s="1391"/>
      <c r="IN10" s="1391"/>
      <c r="IO10" s="1391"/>
      <c r="IP10" s="1391"/>
      <c r="IQ10" s="1391"/>
      <c r="IR10" s="1391"/>
      <c r="IS10" s="1391"/>
      <c r="IT10" s="1391"/>
      <c r="IU10" s="1391"/>
      <c r="IV10" s="1391"/>
    </row>
    <row r="11" spans="1:257">
      <c r="A11" s="1392"/>
      <c r="B11" s="1393" t="s">
        <v>1040</v>
      </c>
      <c r="C11" s="1394" t="s">
        <v>1041</v>
      </c>
      <c r="D11" s="1395" t="s">
        <v>1042</v>
      </c>
      <c r="E11" s="1396"/>
      <c r="F11" s="1395" t="s">
        <v>1043</v>
      </c>
      <c r="G11" s="1397"/>
      <c r="H11" s="1396"/>
      <c r="I11" s="1395" t="s">
        <v>1044</v>
      </c>
      <c r="J11" s="1396"/>
      <c r="K11" s="1392"/>
      <c r="L11" s="1393" t="s">
        <v>1040</v>
      </c>
      <c r="M11" s="1394" t="s">
        <v>1041</v>
      </c>
      <c r="N11" s="1393" t="s">
        <v>1045</v>
      </c>
      <c r="O11" s="1395" t="s">
        <v>1046</v>
      </c>
      <c r="P11" s="1397"/>
      <c r="Q11" s="1397"/>
      <c r="R11" s="1397"/>
      <c r="S11" s="1397"/>
      <c r="T11" s="1396"/>
      <c r="U11" s="1395" t="s">
        <v>1047</v>
      </c>
      <c r="V11" s="1397"/>
      <c r="W11" s="1396"/>
      <c r="X11" s="1393" t="s">
        <v>1048</v>
      </c>
      <c r="Y11" s="1393" t="s">
        <v>1049</v>
      </c>
      <c r="Z11" s="1393" t="s">
        <v>1050</v>
      </c>
      <c r="AA11" s="1398"/>
      <c r="AB11" s="1398"/>
      <c r="AC11" s="1398"/>
      <c r="AD11" s="1398"/>
      <c r="AE11" s="1398"/>
      <c r="AF11" s="1398"/>
      <c r="AG11" s="1398"/>
      <c r="AH11" s="1398"/>
      <c r="AI11" s="1398"/>
      <c r="AJ11" s="1398"/>
      <c r="AK11" s="1398"/>
      <c r="AL11" s="1398"/>
      <c r="AM11" s="1398"/>
      <c r="AN11" s="1398"/>
      <c r="AO11" s="1398"/>
      <c r="AP11" s="1398"/>
      <c r="AQ11" s="1398"/>
      <c r="AR11" s="1398"/>
      <c r="AS11" s="1398"/>
      <c r="AT11" s="1398"/>
      <c r="AU11" s="1398"/>
      <c r="AV11" s="1398"/>
      <c r="AW11" s="1398"/>
      <c r="AX11" s="1398"/>
      <c r="AY11" s="1398"/>
      <c r="AZ11" s="1398"/>
      <c r="BA11" s="1398"/>
      <c r="BB11" s="1398"/>
      <c r="BC11" s="1398"/>
      <c r="BD11" s="1398"/>
      <c r="BE11" s="1398"/>
      <c r="BF11" s="1398"/>
      <c r="BG11" s="1398"/>
      <c r="BH11" s="1398"/>
      <c r="BI11" s="1398"/>
      <c r="BJ11" s="1398"/>
      <c r="BK11" s="1398"/>
      <c r="BL11" s="1398"/>
      <c r="BM11" s="1398"/>
      <c r="BN11" s="1398"/>
      <c r="BO11" s="1398"/>
      <c r="BP11" s="1398"/>
      <c r="BQ11" s="1398"/>
      <c r="BR11" s="1398"/>
      <c r="BS11" s="1398"/>
      <c r="BT11" s="1398"/>
      <c r="BU11" s="1398"/>
      <c r="BV11" s="1398"/>
      <c r="BW11" s="1398"/>
      <c r="BX11" s="1398"/>
      <c r="BY11" s="1398"/>
      <c r="BZ11" s="1398"/>
      <c r="CA11" s="1398"/>
      <c r="CB11" s="1398"/>
      <c r="CC11" s="1398"/>
      <c r="CD11" s="1398"/>
      <c r="CE11" s="1398"/>
      <c r="CF11" s="1398"/>
      <c r="CG11" s="1398"/>
      <c r="CH11" s="1398"/>
      <c r="CI11" s="1398"/>
      <c r="CJ11" s="1398"/>
      <c r="CK11" s="1398"/>
      <c r="CL11" s="1398"/>
      <c r="CM11" s="1398"/>
      <c r="CN11" s="1398"/>
      <c r="CO11" s="1398"/>
      <c r="CP11" s="1398"/>
      <c r="CQ11" s="1398"/>
      <c r="CR11" s="1398"/>
      <c r="CS11" s="1398"/>
      <c r="CT11" s="1398"/>
      <c r="CU11" s="1398"/>
      <c r="CV11" s="1398"/>
      <c r="CW11" s="1398"/>
      <c r="CX11" s="1398"/>
      <c r="CY11" s="1398"/>
      <c r="CZ11" s="1398"/>
      <c r="DA11" s="1398"/>
      <c r="DB11" s="1398"/>
      <c r="DC11" s="1398"/>
      <c r="DD11" s="1398"/>
      <c r="DE11" s="1398"/>
      <c r="DF11" s="1398"/>
      <c r="DG11" s="1398"/>
      <c r="DH11" s="1398"/>
      <c r="DI11" s="1398"/>
      <c r="DJ11" s="1398"/>
      <c r="DK11" s="1398"/>
      <c r="DL11" s="1398"/>
      <c r="DM11" s="1398"/>
      <c r="DN11" s="1398"/>
      <c r="DO11" s="1398"/>
      <c r="DP11" s="1398"/>
      <c r="DQ11" s="1398"/>
      <c r="DR11" s="1398"/>
      <c r="DS11" s="1398"/>
      <c r="DT11" s="1398"/>
      <c r="DU11" s="1398"/>
      <c r="DV11" s="1398"/>
      <c r="DW11" s="1398"/>
      <c r="DX11" s="1398"/>
      <c r="DY11" s="1398"/>
      <c r="DZ11" s="1398"/>
      <c r="EA11" s="1398"/>
      <c r="EB11" s="1398"/>
      <c r="EC11" s="1398"/>
      <c r="ED11" s="1398"/>
      <c r="EE11" s="1398"/>
      <c r="EF11" s="1398"/>
      <c r="EG11" s="1398"/>
      <c r="EH11" s="1398"/>
      <c r="EI11" s="1398"/>
      <c r="EJ11" s="1398"/>
      <c r="EK11" s="1398"/>
      <c r="EL11" s="1398"/>
      <c r="EM11" s="1398"/>
      <c r="EN11" s="1398"/>
      <c r="EO11" s="1398"/>
      <c r="EP11" s="1398"/>
      <c r="EQ11" s="1398"/>
      <c r="ER11" s="1398"/>
      <c r="ES11" s="1398"/>
      <c r="ET11" s="1398"/>
      <c r="EU11" s="1398"/>
      <c r="EV11" s="1398"/>
      <c r="EW11" s="1398"/>
      <c r="EX11" s="1398"/>
      <c r="EY11" s="1398"/>
      <c r="EZ11" s="1398"/>
      <c r="FA11" s="1398"/>
      <c r="FB11" s="1398"/>
      <c r="FC11" s="1398"/>
      <c r="FD11" s="1398"/>
      <c r="FE11" s="1398"/>
      <c r="FF11" s="1398"/>
      <c r="FG11" s="1398"/>
      <c r="FH11" s="1398"/>
      <c r="FI11" s="1398"/>
      <c r="FJ11" s="1398"/>
      <c r="FK11" s="1398"/>
      <c r="FL11" s="1398"/>
      <c r="FM11" s="1398"/>
      <c r="FN11" s="1398"/>
      <c r="FO11" s="1398"/>
      <c r="FP11" s="1398"/>
      <c r="FQ11" s="1398"/>
      <c r="FR11" s="1398"/>
      <c r="FS11" s="1398"/>
      <c r="FT11" s="1398"/>
      <c r="FU11" s="1398"/>
      <c r="FV11" s="1398"/>
      <c r="FW11" s="1398"/>
      <c r="FX11" s="1398"/>
      <c r="FY11" s="1398"/>
      <c r="FZ11" s="1398"/>
      <c r="GA11" s="1398"/>
      <c r="GB11" s="1398"/>
      <c r="GC11" s="1398"/>
      <c r="GD11" s="1398"/>
      <c r="GE11" s="1398"/>
      <c r="GF11" s="1398"/>
      <c r="GG11" s="1398"/>
      <c r="GH11" s="1398"/>
      <c r="GI11" s="1398"/>
      <c r="GJ11" s="1398"/>
      <c r="GK11" s="1398"/>
      <c r="GL11" s="1398"/>
      <c r="GM11" s="1398"/>
      <c r="GN11" s="1398"/>
      <c r="GO11" s="1398"/>
      <c r="GP11" s="1398"/>
      <c r="GQ11" s="1398"/>
      <c r="GR11" s="1398"/>
      <c r="GS11" s="1398"/>
      <c r="GT11" s="1398"/>
      <c r="GU11" s="1398"/>
      <c r="GV11" s="1398"/>
      <c r="GW11" s="1398"/>
      <c r="GX11" s="1398"/>
      <c r="GY11" s="1398"/>
      <c r="GZ11" s="1398"/>
      <c r="HA11" s="1398"/>
      <c r="HB11" s="1398"/>
      <c r="HC11" s="1398"/>
      <c r="HD11" s="1398"/>
      <c r="HE11" s="1398"/>
      <c r="HF11" s="1398"/>
      <c r="HG11" s="1398"/>
      <c r="HH11" s="1398"/>
      <c r="HI11" s="1398"/>
      <c r="HJ11" s="1398"/>
      <c r="HK11" s="1398"/>
      <c r="HL11" s="1398"/>
      <c r="HM11" s="1398"/>
      <c r="HN11" s="1398"/>
      <c r="HO11" s="1398"/>
      <c r="HP11" s="1398"/>
      <c r="HQ11" s="1398"/>
      <c r="HR11" s="1398"/>
      <c r="HS11" s="1398"/>
      <c r="HT11" s="1398"/>
      <c r="HU11" s="1398"/>
      <c r="HV11" s="1398"/>
      <c r="HW11" s="1398"/>
      <c r="HX11" s="1398"/>
      <c r="HY11" s="1398"/>
      <c r="HZ11" s="1398"/>
      <c r="IA11" s="1398"/>
      <c r="IB11" s="1398"/>
      <c r="IC11" s="1398"/>
      <c r="ID11" s="1398"/>
      <c r="IE11" s="1398"/>
      <c r="IF11" s="1398"/>
      <c r="IG11" s="1398"/>
      <c r="IH11" s="1398"/>
      <c r="II11" s="1398"/>
      <c r="IJ11" s="1398"/>
      <c r="IK11" s="1398"/>
      <c r="IL11" s="1398"/>
      <c r="IM11" s="1398"/>
      <c r="IN11" s="1398"/>
      <c r="IO11" s="1398"/>
      <c r="IP11" s="1398"/>
      <c r="IQ11" s="1398"/>
      <c r="IR11" s="1398"/>
      <c r="IS11" s="1398"/>
      <c r="IT11" s="1398"/>
      <c r="IU11" s="1398"/>
      <c r="IV11" s="1398"/>
    </row>
    <row r="12" spans="1:257">
      <c r="A12" s="1399"/>
      <c r="B12" s="1400"/>
      <c r="C12" s="1401"/>
      <c r="D12" s="1402" t="s">
        <v>1051</v>
      </c>
      <c r="E12" s="1402" t="s">
        <v>1052</v>
      </c>
      <c r="F12" s="1402" t="s">
        <v>1053</v>
      </c>
      <c r="G12" s="1402" t="s">
        <v>1054</v>
      </c>
      <c r="H12" s="1402" t="s">
        <v>1036</v>
      </c>
      <c r="I12" s="1403" t="s">
        <v>1055</v>
      </c>
      <c r="J12" s="1403" t="s">
        <v>1055</v>
      </c>
      <c r="K12" s="1399"/>
      <c r="L12" s="1400"/>
      <c r="M12" s="1401"/>
      <c r="N12" s="1400"/>
      <c r="O12" s="1403" t="s">
        <v>1056</v>
      </c>
      <c r="P12" s="1403">
        <v>0.5</v>
      </c>
      <c r="Q12" s="1403">
        <v>1</v>
      </c>
      <c r="R12" s="1403">
        <v>2</v>
      </c>
      <c r="S12" s="1403">
        <v>3</v>
      </c>
      <c r="T12" s="1403">
        <v>5</v>
      </c>
      <c r="U12" s="1403">
        <v>1</v>
      </c>
      <c r="V12" s="1403">
        <v>3</v>
      </c>
      <c r="W12" s="1403">
        <v>5</v>
      </c>
      <c r="X12" s="1400"/>
      <c r="Y12" s="1400"/>
      <c r="Z12" s="1400"/>
      <c r="AA12" s="1404"/>
      <c r="AB12" s="1404"/>
      <c r="AC12" s="1404"/>
      <c r="AD12" s="1404"/>
      <c r="AE12" s="1404"/>
      <c r="AF12" s="1404"/>
      <c r="AG12" s="1404"/>
      <c r="AH12" s="1404"/>
      <c r="AI12" s="1404"/>
      <c r="AJ12" s="1404"/>
      <c r="AK12" s="1404"/>
      <c r="AL12" s="1404"/>
      <c r="AM12" s="1404"/>
      <c r="AN12" s="1404"/>
      <c r="AO12" s="1404"/>
      <c r="AP12" s="1404"/>
      <c r="AQ12" s="1404"/>
      <c r="AR12" s="1404"/>
      <c r="AS12" s="1404"/>
      <c r="AT12" s="1404"/>
      <c r="AU12" s="1404"/>
      <c r="AV12" s="1404"/>
      <c r="AW12" s="1404"/>
      <c r="AX12" s="1404"/>
      <c r="AY12" s="1404"/>
      <c r="AZ12" s="1404"/>
      <c r="BA12" s="1404"/>
      <c r="BB12" s="1404"/>
      <c r="BC12" s="1404"/>
      <c r="BD12" s="1404"/>
      <c r="BE12" s="1404"/>
      <c r="BF12" s="1404"/>
      <c r="BG12" s="1404"/>
      <c r="BH12" s="1404"/>
      <c r="BI12" s="1404"/>
      <c r="BJ12" s="1404"/>
      <c r="BK12" s="1404"/>
      <c r="BL12" s="1404"/>
      <c r="BM12" s="1404"/>
      <c r="BN12" s="1404"/>
      <c r="BO12" s="1404"/>
      <c r="BP12" s="1404"/>
      <c r="BQ12" s="1404"/>
      <c r="BR12" s="1404"/>
      <c r="BS12" s="1404"/>
      <c r="BT12" s="1404"/>
      <c r="BU12" s="1404"/>
      <c r="BV12" s="1404"/>
      <c r="BW12" s="1404"/>
      <c r="BX12" s="1404"/>
      <c r="BY12" s="1404"/>
      <c r="BZ12" s="1404"/>
      <c r="CA12" s="1404"/>
      <c r="CB12" s="1404"/>
      <c r="CC12" s="1404"/>
      <c r="CD12" s="1404"/>
      <c r="CE12" s="1404"/>
      <c r="CF12" s="1404"/>
      <c r="CG12" s="1404"/>
      <c r="CH12" s="1404"/>
      <c r="CI12" s="1404"/>
      <c r="CJ12" s="1404"/>
      <c r="CK12" s="1404"/>
      <c r="CL12" s="1404"/>
      <c r="CM12" s="1404"/>
      <c r="CN12" s="1404"/>
      <c r="CO12" s="1404"/>
      <c r="CP12" s="1404"/>
      <c r="CQ12" s="1404"/>
      <c r="CR12" s="1404"/>
      <c r="CS12" s="1404"/>
      <c r="CT12" s="1404"/>
      <c r="CU12" s="1404"/>
      <c r="CV12" s="1404"/>
      <c r="CW12" s="1404"/>
      <c r="CX12" s="1404"/>
      <c r="CY12" s="1404"/>
      <c r="CZ12" s="1404"/>
      <c r="DA12" s="1404"/>
      <c r="DB12" s="1404"/>
      <c r="DC12" s="1404"/>
      <c r="DD12" s="1404"/>
      <c r="DE12" s="1404"/>
      <c r="DF12" s="1404"/>
      <c r="DG12" s="1404"/>
      <c r="DH12" s="1404"/>
      <c r="DI12" s="1404"/>
      <c r="DJ12" s="1404"/>
      <c r="DK12" s="1404"/>
      <c r="DL12" s="1404"/>
      <c r="DM12" s="1404"/>
      <c r="DN12" s="1404"/>
      <c r="DO12" s="1404"/>
      <c r="DP12" s="1404"/>
      <c r="DQ12" s="1404"/>
      <c r="DR12" s="1404"/>
      <c r="DS12" s="1404"/>
      <c r="DT12" s="1404"/>
      <c r="DU12" s="1404"/>
      <c r="DV12" s="1404"/>
      <c r="DW12" s="1404"/>
      <c r="DX12" s="1404"/>
      <c r="DY12" s="1404"/>
      <c r="DZ12" s="1404"/>
      <c r="EA12" s="1404"/>
      <c r="EB12" s="1404"/>
      <c r="EC12" s="1404"/>
      <c r="ED12" s="1404"/>
      <c r="EE12" s="1404"/>
      <c r="EF12" s="1404"/>
      <c r="EG12" s="1404"/>
      <c r="EH12" s="1404"/>
      <c r="EI12" s="1404"/>
      <c r="EJ12" s="1404"/>
      <c r="EK12" s="1404"/>
      <c r="EL12" s="1404"/>
      <c r="EM12" s="1404"/>
      <c r="EN12" s="1404"/>
      <c r="EO12" s="1404"/>
      <c r="EP12" s="1404"/>
      <c r="EQ12" s="1404"/>
      <c r="ER12" s="1404"/>
      <c r="ES12" s="1404"/>
      <c r="ET12" s="1404"/>
      <c r="EU12" s="1404"/>
      <c r="EV12" s="1404"/>
      <c r="EW12" s="1404"/>
      <c r="EX12" s="1404"/>
      <c r="EY12" s="1404"/>
      <c r="EZ12" s="1404"/>
      <c r="FA12" s="1404"/>
      <c r="FB12" s="1404"/>
      <c r="FC12" s="1404"/>
      <c r="FD12" s="1404"/>
      <c r="FE12" s="1404"/>
      <c r="FF12" s="1404"/>
      <c r="FG12" s="1404"/>
      <c r="FH12" s="1404"/>
      <c r="FI12" s="1404"/>
      <c r="FJ12" s="1404"/>
      <c r="FK12" s="1404"/>
      <c r="FL12" s="1404"/>
      <c r="FM12" s="1404"/>
      <c r="FN12" s="1404"/>
      <c r="FO12" s="1404"/>
      <c r="FP12" s="1404"/>
      <c r="FQ12" s="1404"/>
      <c r="FR12" s="1404"/>
      <c r="FS12" s="1404"/>
      <c r="FT12" s="1404"/>
      <c r="FU12" s="1404"/>
      <c r="FV12" s="1404"/>
      <c r="FW12" s="1404"/>
      <c r="FX12" s="1404"/>
      <c r="FY12" s="1404"/>
      <c r="FZ12" s="1404"/>
      <c r="GA12" s="1404"/>
      <c r="GB12" s="1404"/>
      <c r="GC12" s="1404"/>
      <c r="GD12" s="1404"/>
      <c r="GE12" s="1404"/>
      <c r="GF12" s="1404"/>
      <c r="GG12" s="1404"/>
      <c r="GH12" s="1404"/>
      <c r="GI12" s="1404"/>
      <c r="GJ12" s="1404"/>
      <c r="GK12" s="1404"/>
      <c r="GL12" s="1404"/>
      <c r="GM12" s="1404"/>
      <c r="GN12" s="1404"/>
      <c r="GO12" s="1404"/>
      <c r="GP12" s="1404"/>
      <c r="GQ12" s="1404"/>
      <c r="GR12" s="1404"/>
      <c r="GS12" s="1404"/>
      <c r="GT12" s="1404"/>
      <c r="GU12" s="1404"/>
      <c r="GV12" s="1404"/>
      <c r="GW12" s="1404"/>
      <c r="GX12" s="1404"/>
      <c r="GY12" s="1404"/>
      <c r="GZ12" s="1404"/>
      <c r="HA12" s="1404"/>
      <c r="HB12" s="1404"/>
      <c r="HC12" s="1404"/>
      <c r="HD12" s="1404"/>
      <c r="HE12" s="1404"/>
      <c r="HF12" s="1404"/>
      <c r="HG12" s="1404"/>
      <c r="HH12" s="1404"/>
      <c r="HI12" s="1404"/>
      <c r="HJ12" s="1404"/>
      <c r="HK12" s="1404"/>
      <c r="HL12" s="1404"/>
      <c r="HM12" s="1404"/>
      <c r="HN12" s="1404"/>
      <c r="HO12" s="1404"/>
      <c r="HP12" s="1404"/>
      <c r="HQ12" s="1404"/>
      <c r="HR12" s="1404"/>
      <c r="HS12" s="1404"/>
      <c r="HT12" s="1404"/>
      <c r="HU12" s="1404"/>
      <c r="HV12" s="1404"/>
      <c r="HW12" s="1404"/>
      <c r="HX12" s="1404"/>
      <c r="HY12" s="1404"/>
      <c r="HZ12" s="1404"/>
      <c r="IA12" s="1404"/>
      <c r="IB12" s="1404"/>
      <c r="IC12" s="1404"/>
      <c r="ID12" s="1404"/>
      <c r="IE12" s="1404"/>
      <c r="IF12" s="1404"/>
      <c r="IG12" s="1404"/>
      <c r="IH12" s="1404"/>
      <c r="II12" s="1404"/>
      <c r="IJ12" s="1404"/>
      <c r="IK12" s="1404"/>
      <c r="IL12" s="1404"/>
      <c r="IM12" s="1404"/>
      <c r="IN12" s="1404"/>
      <c r="IO12" s="1404"/>
      <c r="IP12" s="1404"/>
      <c r="IQ12" s="1404"/>
      <c r="IR12" s="1404"/>
      <c r="IS12" s="1404"/>
      <c r="IT12" s="1404"/>
      <c r="IU12" s="1404"/>
      <c r="IV12" s="1404"/>
    </row>
    <row r="13" spans="1:257" ht="14.25">
      <c r="A13" s="1405"/>
      <c r="B13" s="1406" t="s">
        <v>1057</v>
      </c>
      <c r="C13" s="3002">
        <v>44795</v>
      </c>
      <c r="D13" s="3003">
        <v>3.65</v>
      </c>
      <c r="E13" s="3003">
        <f>D13</f>
        <v>3.65</v>
      </c>
      <c r="F13" s="3003">
        <f>D13</f>
        <v>3.65</v>
      </c>
      <c r="G13" s="3003">
        <f>D13</f>
        <v>3.65</v>
      </c>
      <c r="H13" s="3003">
        <v>4.3</v>
      </c>
      <c r="I13" s="1407"/>
      <c r="J13" s="1407"/>
      <c r="K13" s="1405"/>
      <c r="L13" s="1406" t="s">
        <v>1057</v>
      </c>
      <c r="M13" s="1408">
        <v>42301</v>
      </c>
      <c r="N13" s="1407">
        <v>0.35</v>
      </c>
      <c r="O13" s="1407">
        <v>1.1000000000000001</v>
      </c>
      <c r="P13" s="1407">
        <v>1.3</v>
      </c>
      <c r="Q13" s="1407">
        <v>1.5</v>
      </c>
      <c r="R13" s="1407">
        <v>2.1</v>
      </c>
      <c r="S13" s="1407">
        <v>2.75</v>
      </c>
      <c r="T13" s="1407"/>
      <c r="U13" s="1407"/>
      <c r="V13" s="1407"/>
      <c r="W13" s="1407"/>
      <c r="X13" s="1407"/>
      <c r="Y13" s="1407"/>
      <c r="Z13" s="1407"/>
      <c r="AA13" s="1409"/>
      <c r="AB13" s="1409"/>
      <c r="AC13" s="1409"/>
      <c r="AD13" s="1409"/>
      <c r="AE13" s="1409"/>
      <c r="AF13" s="1409"/>
      <c r="AG13" s="1409"/>
      <c r="AH13" s="1409"/>
      <c r="AI13" s="1409"/>
      <c r="AJ13" s="1409"/>
      <c r="AK13" s="1409"/>
      <c r="AL13" s="1409"/>
      <c r="AM13" s="1409"/>
      <c r="AN13" s="1409"/>
      <c r="AO13" s="1409"/>
      <c r="AP13" s="1409"/>
      <c r="AQ13" s="1409"/>
      <c r="AR13" s="1409"/>
      <c r="AS13" s="1409"/>
      <c r="AT13" s="1409"/>
      <c r="AU13" s="1409"/>
      <c r="AV13" s="1409"/>
      <c r="AW13" s="1409"/>
      <c r="AX13" s="1409"/>
      <c r="AY13" s="1409"/>
      <c r="AZ13" s="1409"/>
      <c r="BA13" s="1409"/>
      <c r="BB13" s="1409"/>
      <c r="BC13" s="1409"/>
      <c r="BD13" s="1409"/>
      <c r="BE13" s="1409"/>
      <c r="BF13" s="1409"/>
      <c r="BG13" s="1409"/>
      <c r="BH13" s="1409"/>
      <c r="BI13" s="1409"/>
      <c r="BJ13" s="1409"/>
      <c r="BK13" s="1409"/>
      <c r="BL13" s="1409"/>
      <c r="BM13" s="1409"/>
      <c r="BN13" s="1409"/>
      <c r="BO13" s="1409"/>
      <c r="BP13" s="1409"/>
      <c r="BQ13" s="1409"/>
      <c r="BR13" s="1409"/>
      <c r="BS13" s="1409"/>
      <c r="BT13" s="1409"/>
      <c r="BU13" s="1409"/>
      <c r="BV13" s="1409"/>
      <c r="BW13" s="1409"/>
      <c r="BX13" s="1409"/>
      <c r="BY13" s="1409"/>
      <c r="BZ13" s="1409"/>
      <c r="CA13" s="1409"/>
      <c r="CB13" s="1409"/>
      <c r="CC13" s="1409"/>
      <c r="CD13" s="1409"/>
      <c r="CE13" s="1409"/>
      <c r="CF13" s="1409"/>
      <c r="CG13" s="1409"/>
      <c r="CH13" s="1409"/>
      <c r="CI13" s="1409"/>
      <c r="CJ13" s="1409"/>
      <c r="CK13" s="1409"/>
      <c r="CL13" s="1409"/>
      <c r="CM13" s="1409"/>
      <c r="CN13" s="1409"/>
      <c r="CO13" s="1409"/>
      <c r="CP13" s="1409"/>
      <c r="CQ13" s="1409"/>
      <c r="CR13" s="1409"/>
      <c r="CS13" s="1409"/>
      <c r="CT13" s="1409"/>
      <c r="CU13" s="1409"/>
      <c r="CV13" s="1409"/>
      <c r="CW13" s="1409"/>
      <c r="CX13" s="1409"/>
      <c r="CY13" s="1409"/>
      <c r="CZ13" s="1409"/>
      <c r="DA13" s="1409"/>
      <c r="DB13" s="1409"/>
      <c r="DC13" s="1409"/>
      <c r="DD13" s="1409"/>
      <c r="DE13" s="1409"/>
      <c r="DF13" s="1409"/>
      <c r="DG13" s="1409"/>
      <c r="DH13" s="1409"/>
      <c r="DI13" s="1409"/>
      <c r="DJ13" s="1409"/>
      <c r="DK13" s="1409"/>
      <c r="DL13" s="1409"/>
      <c r="DM13" s="1409"/>
      <c r="DN13" s="1409"/>
      <c r="DO13" s="1409"/>
      <c r="DP13" s="1409"/>
      <c r="DQ13" s="1409"/>
      <c r="DR13" s="1409"/>
      <c r="DS13" s="1409"/>
      <c r="DT13" s="1409"/>
      <c r="DU13" s="1409"/>
      <c r="DV13" s="1409"/>
      <c r="DW13" s="1409"/>
      <c r="DX13" s="1409"/>
      <c r="DY13" s="1409"/>
      <c r="DZ13" s="1409"/>
      <c r="EA13" s="1409"/>
      <c r="EB13" s="1409"/>
      <c r="EC13" s="1409"/>
      <c r="ED13" s="1409"/>
      <c r="EE13" s="1409"/>
      <c r="EF13" s="1409"/>
      <c r="EG13" s="1409"/>
      <c r="EH13" s="1409"/>
      <c r="EI13" s="1409"/>
      <c r="EJ13" s="1409"/>
      <c r="EK13" s="1409"/>
      <c r="EL13" s="1409"/>
      <c r="EM13" s="1409"/>
      <c r="EN13" s="1409"/>
      <c r="EO13" s="1409"/>
      <c r="EP13" s="1409"/>
      <c r="EQ13" s="1409"/>
      <c r="ER13" s="1409"/>
      <c r="ES13" s="1409"/>
      <c r="ET13" s="1409"/>
      <c r="EU13" s="1409"/>
      <c r="EV13" s="1409"/>
      <c r="EW13" s="1409"/>
      <c r="EX13" s="1409"/>
      <c r="EY13" s="1409"/>
      <c r="EZ13" s="1409"/>
      <c r="FA13" s="1409"/>
      <c r="FB13" s="1409"/>
      <c r="FC13" s="1409"/>
      <c r="FD13" s="1409"/>
      <c r="FE13" s="1409"/>
      <c r="FF13" s="1409"/>
      <c r="FG13" s="1409"/>
      <c r="FH13" s="1409"/>
      <c r="FI13" s="1409"/>
      <c r="FJ13" s="1409"/>
      <c r="FK13" s="1409"/>
      <c r="FL13" s="1409"/>
      <c r="FM13" s="1409"/>
      <c r="FN13" s="1409"/>
      <c r="FO13" s="1409"/>
      <c r="FP13" s="1409"/>
      <c r="FQ13" s="1409"/>
      <c r="FR13" s="1409"/>
      <c r="FS13" s="1409"/>
      <c r="FT13" s="1409"/>
      <c r="FU13" s="1409"/>
      <c r="FV13" s="1409"/>
      <c r="FW13" s="1409"/>
      <c r="FX13" s="1409"/>
      <c r="FY13" s="1409"/>
      <c r="FZ13" s="1409"/>
      <c r="GA13" s="1409"/>
      <c r="GB13" s="1409"/>
      <c r="GC13" s="1409"/>
      <c r="GD13" s="1409"/>
      <c r="GE13" s="1409"/>
      <c r="GF13" s="1409"/>
      <c r="GG13" s="1409"/>
      <c r="GH13" s="1409"/>
      <c r="GI13" s="1409"/>
      <c r="GJ13" s="1409"/>
      <c r="GK13" s="1409"/>
      <c r="GL13" s="1409"/>
      <c r="GM13" s="1409"/>
      <c r="GN13" s="1409"/>
      <c r="GO13" s="1409"/>
      <c r="GP13" s="1409"/>
      <c r="GQ13" s="1409"/>
      <c r="GR13" s="1409"/>
      <c r="GS13" s="1409"/>
      <c r="GT13" s="1409"/>
      <c r="GU13" s="1409"/>
      <c r="GV13" s="1409"/>
      <c r="GW13" s="1409"/>
      <c r="GX13" s="1409"/>
      <c r="GY13" s="1409"/>
      <c r="GZ13" s="1409"/>
      <c r="HA13" s="1409"/>
      <c r="HB13" s="1409"/>
      <c r="HC13" s="1409"/>
      <c r="HD13" s="1409"/>
      <c r="HE13" s="1409"/>
      <c r="HF13" s="1409"/>
      <c r="HG13" s="1409"/>
      <c r="HH13" s="1409"/>
      <c r="HI13" s="1409"/>
      <c r="HJ13" s="1409"/>
      <c r="HK13" s="1409"/>
      <c r="HL13" s="1409"/>
      <c r="HM13" s="1409"/>
      <c r="HN13" s="1409"/>
      <c r="HO13" s="1409"/>
      <c r="HP13" s="1409"/>
      <c r="HQ13" s="1409"/>
      <c r="HR13" s="1409"/>
      <c r="HS13" s="1409"/>
      <c r="HT13" s="1409"/>
      <c r="HU13" s="1409"/>
      <c r="HV13" s="1409"/>
      <c r="HW13" s="1409"/>
      <c r="HX13" s="1409"/>
      <c r="HY13" s="1409"/>
      <c r="HZ13" s="1409"/>
      <c r="IA13" s="1409"/>
      <c r="IB13" s="1409"/>
      <c r="IC13" s="1409"/>
      <c r="ID13" s="1409"/>
      <c r="IE13" s="1409"/>
      <c r="IF13" s="1409"/>
      <c r="IG13" s="1409"/>
      <c r="IH13" s="1409"/>
      <c r="II13" s="1409"/>
      <c r="IJ13" s="1409"/>
      <c r="IK13" s="1409"/>
      <c r="IL13" s="1409"/>
      <c r="IM13" s="1409"/>
      <c r="IN13" s="1409"/>
      <c r="IO13" s="1409"/>
      <c r="IP13" s="1409"/>
      <c r="IQ13" s="1409"/>
      <c r="IR13" s="1409"/>
      <c r="IS13" s="1409"/>
      <c r="IT13" s="1409"/>
      <c r="IU13" s="1409"/>
      <c r="IV13" s="1409"/>
      <c r="IW13" s="1410"/>
    </row>
    <row r="14" spans="1:257" ht="14.25">
      <c r="A14" s="1405"/>
      <c r="B14" s="2997"/>
      <c r="C14" s="2999">
        <v>44701</v>
      </c>
      <c r="D14" s="2998">
        <v>3.7</v>
      </c>
      <c r="E14" s="2998">
        <v>3.7</v>
      </c>
      <c r="F14" s="2998">
        <v>3.7</v>
      </c>
      <c r="G14" s="2998">
        <v>3.7</v>
      </c>
      <c r="H14" s="2998">
        <v>4.45</v>
      </c>
      <c r="I14" s="3003"/>
      <c r="J14" s="3003"/>
      <c r="K14" s="1405"/>
      <c r="L14" s="1411"/>
      <c r="M14" s="1412">
        <v>42242</v>
      </c>
      <c r="N14" s="1411">
        <v>0.35</v>
      </c>
      <c r="O14" s="1411">
        <v>1.35</v>
      </c>
      <c r="P14" s="1411">
        <v>1.55</v>
      </c>
      <c r="Q14" s="1411">
        <v>1.75</v>
      </c>
      <c r="R14" s="1411">
        <v>2.35</v>
      </c>
      <c r="S14" s="1411">
        <v>3</v>
      </c>
      <c r="T14" s="1411"/>
      <c r="U14" s="1411"/>
      <c r="V14" s="1411"/>
      <c r="W14" s="1411"/>
      <c r="X14" s="1411"/>
      <c r="Y14" s="1411"/>
      <c r="Z14" s="1411"/>
    </row>
    <row r="15" spans="1:257" ht="14.25">
      <c r="A15" s="1405"/>
      <c r="B15" s="2997"/>
      <c r="C15" s="2999">
        <v>44581</v>
      </c>
      <c r="D15" s="2998">
        <v>3.7</v>
      </c>
      <c r="E15" s="2998">
        <f>D15</f>
        <v>3.7</v>
      </c>
      <c r="F15" s="2998">
        <f>D15</f>
        <v>3.7</v>
      </c>
      <c r="G15" s="2998">
        <f>D15</f>
        <v>3.7</v>
      </c>
      <c r="H15" s="2998">
        <v>4.5999999999999996</v>
      </c>
      <c r="I15" s="3003"/>
      <c r="J15" s="3003"/>
      <c r="K15" s="1405"/>
      <c r="L15" s="1411"/>
      <c r="M15" s="1412">
        <v>42183</v>
      </c>
      <c r="N15" s="1411">
        <v>0.35</v>
      </c>
      <c r="O15" s="1411">
        <v>1.6</v>
      </c>
      <c r="P15" s="1411">
        <v>1.8</v>
      </c>
      <c r="Q15" s="1411">
        <v>2</v>
      </c>
      <c r="R15" s="1411">
        <v>2.6</v>
      </c>
      <c r="S15" s="1411">
        <v>3.25</v>
      </c>
      <c r="T15" s="1411"/>
      <c r="U15" s="1411"/>
      <c r="V15" s="1411"/>
      <c r="W15" s="1411"/>
      <c r="X15" s="1411"/>
      <c r="Y15" s="1411"/>
      <c r="Z15" s="1411"/>
    </row>
    <row r="16" spans="1:257" ht="14.25">
      <c r="A16" s="1405"/>
      <c r="B16" s="2998"/>
      <c r="C16" s="2999">
        <v>44550</v>
      </c>
      <c r="D16" s="2998">
        <v>3.8</v>
      </c>
      <c r="E16" s="2998">
        <f>D16</f>
        <v>3.8</v>
      </c>
      <c r="F16" s="2998">
        <f>D16</f>
        <v>3.8</v>
      </c>
      <c r="G16" s="2998">
        <f>D16</f>
        <v>3.8</v>
      </c>
      <c r="H16" s="2998">
        <v>4.6500000000000004</v>
      </c>
      <c r="I16" s="2998"/>
      <c r="J16" s="3003"/>
      <c r="L16" s="1411"/>
      <c r="M16" s="1412">
        <v>42135</v>
      </c>
      <c r="N16" s="1411">
        <v>0.35</v>
      </c>
      <c r="O16" s="1411">
        <v>1.85</v>
      </c>
      <c r="P16" s="1411">
        <v>2.0499999999999998</v>
      </c>
      <c r="Q16" s="1411">
        <v>2.25</v>
      </c>
      <c r="R16" s="1411">
        <v>2.85</v>
      </c>
      <c r="S16" s="1411">
        <v>3.5</v>
      </c>
      <c r="T16" s="1411"/>
      <c r="U16" s="1411"/>
      <c r="V16" s="1411"/>
      <c r="W16" s="1411"/>
      <c r="X16" s="1411"/>
      <c r="Y16" s="1411"/>
      <c r="Z16" s="1411"/>
    </row>
    <row r="17" spans="1:256" ht="14.25">
      <c r="A17" s="1405"/>
      <c r="B17" s="2998"/>
      <c r="C17" s="2999">
        <v>43941</v>
      </c>
      <c r="D17" s="2998">
        <v>3.85</v>
      </c>
      <c r="E17" s="2998">
        <v>3.85</v>
      </c>
      <c r="F17" s="2998">
        <v>3.85</v>
      </c>
      <c r="G17" s="2998">
        <v>3.85</v>
      </c>
      <c r="H17" s="2998">
        <v>4.6500000000000004</v>
      </c>
      <c r="I17" s="2998"/>
      <c r="J17" s="2998"/>
      <c r="L17" s="1411"/>
      <c r="M17" s="1412">
        <v>42064</v>
      </c>
      <c r="N17" s="1411">
        <v>0.35</v>
      </c>
      <c r="O17" s="1411">
        <v>2.1</v>
      </c>
      <c r="P17" s="1411">
        <v>2.2999999999999998</v>
      </c>
      <c r="Q17" s="1411">
        <v>2.5</v>
      </c>
      <c r="R17" s="1411">
        <v>3.1</v>
      </c>
      <c r="S17" s="1411">
        <v>3.75</v>
      </c>
      <c r="T17" s="1411">
        <v>4.5</v>
      </c>
      <c r="U17" s="1411">
        <v>2.35</v>
      </c>
      <c r="V17" s="1411">
        <v>2.5499999999999998</v>
      </c>
      <c r="W17" s="1411">
        <v>2.75</v>
      </c>
      <c r="X17" s="1411"/>
      <c r="Y17" s="1411">
        <v>0.8</v>
      </c>
      <c r="Z17" s="1411">
        <v>1.35</v>
      </c>
    </row>
    <row r="18" spans="1:256" ht="15">
      <c r="A18" s="1405"/>
      <c r="B18" s="2998"/>
      <c r="C18" s="2999">
        <v>43881</v>
      </c>
      <c r="D18" s="2998">
        <v>4.05</v>
      </c>
      <c r="E18" s="2998">
        <v>4.05</v>
      </c>
      <c r="F18" s="2998">
        <v>4.05</v>
      </c>
      <c r="G18" s="2998">
        <v>4.05</v>
      </c>
      <c r="H18" s="2998">
        <v>4.75</v>
      </c>
      <c r="I18" s="2998"/>
      <c r="J18" s="2998"/>
      <c r="L18" s="3007"/>
      <c r="M18" s="3006">
        <v>41965</v>
      </c>
      <c r="N18" s="3007">
        <v>0.35</v>
      </c>
      <c r="O18" s="3007">
        <v>2.35</v>
      </c>
      <c r="P18" s="3007">
        <v>2.5499999999999998</v>
      </c>
      <c r="Q18" s="3007">
        <v>2.75</v>
      </c>
      <c r="R18" s="3007">
        <v>3.35</v>
      </c>
      <c r="S18" s="3007">
        <v>4</v>
      </c>
      <c r="T18" s="3007">
        <v>4.75</v>
      </c>
      <c r="U18" s="3008">
        <v>2.35</v>
      </c>
      <c r="V18" s="3008">
        <v>2.5499999999999998</v>
      </c>
      <c r="W18" s="3008">
        <v>2.75</v>
      </c>
      <c r="X18" s="3007"/>
      <c r="Y18" s="3008">
        <v>0.8</v>
      </c>
      <c r="Z18" s="3008">
        <v>1.35</v>
      </c>
    </row>
    <row r="19" spans="1:256" s="3009" customFormat="1" ht="14.25">
      <c r="A19" s="1405"/>
      <c r="B19" s="2998"/>
      <c r="C19" s="2999">
        <v>43789</v>
      </c>
      <c r="D19" s="2998">
        <v>4.1500000000000004</v>
      </c>
      <c r="E19" s="2998">
        <v>4.1500000000000004</v>
      </c>
      <c r="F19" s="2998">
        <v>4.1500000000000004</v>
      </c>
      <c r="G19" s="2998">
        <v>4.1500000000000004</v>
      </c>
      <c r="H19" s="2998">
        <v>4.8</v>
      </c>
      <c r="I19" s="2998"/>
      <c r="J19" s="2998"/>
      <c r="K19" s="1363"/>
      <c r="L19" s="1411"/>
      <c r="M19" s="1412">
        <v>41096</v>
      </c>
      <c r="N19" s="1411">
        <v>0.35</v>
      </c>
      <c r="O19" s="1411">
        <v>2.6</v>
      </c>
      <c r="P19" s="1411">
        <v>2.8</v>
      </c>
      <c r="Q19" s="1411">
        <v>3</v>
      </c>
      <c r="R19" s="1411">
        <v>3.75</v>
      </c>
      <c r="S19" s="1411">
        <v>4.25</v>
      </c>
      <c r="T19" s="1411">
        <v>4.75</v>
      </c>
      <c r="U19" s="1411">
        <v>2.85</v>
      </c>
      <c r="V19" s="1411">
        <v>2.9</v>
      </c>
      <c r="W19" s="1411">
        <v>3</v>
      </c>
      <c r="X19" s="1411">
        <v>1.1499999999999999</v>
      </c>
      <c r="Y19" s="1411">
        <v>0.8</v>
      </c>
      <c r="Z19" s="1411">
        <v>1.35</v>
      </c>
      <c r="AA19" s="1404"/>
      <c r="AB19" s="1404"/>
      <c r="AC19" s="1404"/>
      <c r="AD19" s="1404"/>
      <c r="AE19" s="1404"/>
      <c r="AF19" s="1404"/>
      <c r="AG19" s="1404"/>
      <c r="AH19" s="1404"/>
      <c r="AI19" s="1404"/>
      <c r="AJ19" s="1404"/>
      <c r="AK19" s="1404"/>
      <c r="AL19" s="1404"/>
      <c r="AM19" s="1404"/>
      <c r="AN19" s="1404"/>
      <c r="AO19" s="1404"/>
      <c r="AP19" s="1404"/>
      <c r="AQ19" s="1404"/>
      <c r="AR19" s="1404"/>
      <c r="AS19" s="1404"/>
      <c r="AT19" s="1404"/>
      <c r="AU19" s="1404"/>
      <c r="AV19" s="1404"/>
      <c r="AW19" s="1404"/>
      <c r="AX19" s="1404"/>
      <c r="AY19" s="1404"/>
      <c r="AZ19" s="1404"/>
      <c r="BA19" s="1404"/>
      <c r="BB19" s="1404"/>
      <c r="BC19" s="1404"/>
      <c r="BD19" s="1404"/>
      <c r="BE19" s="1404"/>
      <c r="BF19" s="1404"/>
      <c r="BG19" s="1404"/>
      <c r="BH19" s="1404"/>
      <c r="BI19" s="1404"/>
      <c r="BJ19" s="1404"/>
      <c r="BK19" s="1404"/>
      <c r="BL19" s="1404"/>
      <c r="BM19" s="1404"/>
      <c r="BN19" s="1404"/>
      <c r="BO19" s="1404"/>
      <c r="BP19" s="1404"/>
      <c r="BQ19" s="1404"/>
      <c r="BR19" s="1404"/>
      <c r="BS19" s="1404"/>
      <c r="BT19" s="1404"/>
      <c r="BU19" s="1404"/>
      <c r="BV19" s="1404"/>
      <c r="BW19" s="1404"/>
      <c r="BX19" s="1404"/>
      <c r="BY19" s="1404"/>
      <c r="BZ19" s="1404"/>
      <c r="CA19" s="1404"/>
      <c r="CB19" s="1404"/>
      <c r="CC19" s="1404"/>
      <c r="CD19" s="1404"/>
      <c r="CE19" s="1404"/>
      <c r="CF19" s="1404"/>
      <c r="CG19" s="1404"/>
      <c r="CH19" s="1404"/>
      <c r="CI19" s="1404"/>
      <c r="CJ19" s="1404"/>
      <c r="CK19" s="1404"/>
      <c r="CL19" s="1404"/>
      <c r="CM19" s="1404"/>
      <c r="CN19" s="1404"/>
      <c r="CO19" s="1404"/>
      <c r="CP19" s="1404"/>
      <c r="CQ19" s="1404"/>
      <c r="CR19" s="1404"/>
      <c r="CS19" s="1404"/>
      <c r="CT19" s="1404"/>
      <c r="CU19" s="1404"/>
      <c r="CV19" s="1404"/>
      <c r="CW19" s="1404"/>
      <c r="CX19" s="1404"/>
      <c r="CY19" s="1404"/>
      <c r="CZ19" s="1404"/>
      <c r="DA19" s="1404"/>
      <c r="DB19" s="1404"/>
      <c r="DC19" s="1404"/>
      <c r="DD19" s="1404"/>
      <c r="DE19" s="1404"/>
      <c r="DF19" s="1404"/>
      <c r="DG19" s="1404"/>
      <c r="DH19" s="1404"/>
      <c r="DI19" s="1404"/>
      <c r="DJ19" s="1404"/>
      <c r="DK19" s="1404"/>
      <c r="DL19" s="1404"/>
      <c r="DM19" s="1404"/>
      <c r="DN19" s="1404"/>
      <c r="DO19" s="1404"/>
      <c r="DP19" s="1404"/>
      <c r="DQ19" s="1404"/>
      <c r="DR19" s="1404"/>
      <c r="DS19" s="1404"/>
      <c r="DT19" s="1404"/>
      <c r="DU19" s="1404"/>
      <c r="DV19" s="1404"/>
      <c r="DW19" s="1404"/>
      <c r="DX19" s="1404"/>
      <c r="DY19" s="1404"/>
      <c r="DZ19" s="1404"/>
      <c r="EA19" s="1404"/>
      <c r="EB19" s="1404"/>
      <c r="EC19" s="1404"/>
      <c r="ED19" s="1404"/>
      <c r="EE19" s="1404"/>
      <c r="EF19" s="1404"/>
      <c r="EG19" s="1404"/>
      <c r="EH19" s="1404"/>
      <c r="EI19" s="1404"/>
      <c r="EJ19" s="1404"/>
      <c r="EK19" s="1404"/>
      <c r="EL19" s="1404"/>
      <c r="EM19" s="1404"/>
      <c r="EN19" s="1404"/>
      <c r="EO19" s="1404"/>
      <c r="EP19" s="1404"/>
      <c r="EQ19" s="1404"/>
      <c r="ER19" s="1404"/>
      <c r="ES19" s="1404"/>
      <c r="ET19" s="1404"/>
      <c r="EU19" s="1404"/>
      <c r="EV19" s="1404"/>
      <c r="EW19" s="1404"/>
      <c r="EX19" s="1404"/>
      <c r="EY19" s="1404"/>
      <c r="EZ19" s="1404"/>
      <c r="FA19" s="1404"/>
      <c r="FB19" s="1404"/>
      <c r="FC19" s="1404"/>
      <c r="FD19" s="1404"/>
      <c r="FE19" s="1404"/>
      <c r="FF19" s="1404"/>
      <c r="FG19" s="1404"/>
      <c r="FH19" s="1404"/>
      <c r="FI19" s="1404"/>
      <c r="FJ19" s="1404"/>
      <c r="FK19" s="1404"/>
      <c r="FL19" s="1404"/>
      <c r="FM19" s="1404"/>
      <c r="FN19" s="1404"/>
      <c r="FO19" s="1404"/>
      <c r="FP19" s="1404"/>
      <c r="FQ19" s="1404"/>
      <c r="FR19" s="1404"/>
      <c r="FS19" s="1404"/>
      <c r="FT19" s="1404"/>
      <c r="FU19" s="1404"/>
      <c r="FV19" s="1404"/>
      <c r="FW19" s="1404"/>
      <c r="FX19" s="1404"/>
      <c r="FY19" s="1404"/>
      <c r="FZ19" s="1404"/>
      <c r="GA19" s="1404"/>
      <c r="GB19" s="1404"/>
      <c r="GC19" s="1404"/>
      <c r="GD19" s="1404"/>
      <c r="GE19" s="1404"/>
      <c r="GF19" s="1404"/>
      <c r="GG19" s="1404"/>
      <c r="GH19" s="1404"/>
      <c r="GI19" s="1404"/>
      <c r="GJ19" s="1404"/>
      <c r="GK19" s="1404"/>
      <c r="GL19" s="1404"/>
      <c r="GM19" s="1404"/>
      <c r="GN19" s="1404"/>
      <c r="GO19" s="1404"/>
      <c r="GP19" s="1404"/>
      <c r="GQ19" s="1404"/>
      <c r="GR19" s="1404"/>
      <c r="GS19" s="1404"/>
      <c r="GT19" s="1404"/>
      <c r="GU19" s="1404"/>
      <c r="GV19" s="1404"/>
      <c r="GW19" s="1404"/>
      <c r="GX19" s="1404"/>
      <c r="GY19" s="1404"/>
      <c r="GZ19" s="1404"/>
      <c r="HA19" s="1404"/>
      <c r="HB19" s="1404"/>
      <c r="HC19" s="1404"/>
      <c r="HD19" s="1404"/>
      <c r="HE19" s="1404"/>
      <c r="HF19" s="1404"/>
      <c r="HG19" s="1404"/>
      <c r="HH19" s="1404"/>
      <c r="HI19" s="1404"/>
      <c r="HJ19" s="1404"/>
      <c r="HK19" s="1404"/>
      <c r="HL19" s="1404"/>
      <c r="HM19" s="1404"/>
      <c r="HN19" s="1404"/>
      <c r="HO19" s="1404"/>
      <c r="HP19" s="1404"/>
      <c r="HQ19" s="1404"/>
      <c r="HR19" s="1404"/>
      <c r="HS19" s="1404"/>
      <c r="HT19" s="1404"/>
      <c r="HU19" s="1404"/>
      <c r="HV19" s="1404"/>
      <c r="HW19" s="1404"/>
      <c r="HX19" s="1404"/>
      <c r="HY19" s="1404"/>
      <c r="HZ19" s="1404"/>
      <c r="IA19" s="1404"/>
      <c r="IB19" s="1404"/>
      <c r="IC19" s="1404"/>
      <c r="ID19" s="1404"/>
      <c r="IE19" s="1404"/>
      <c r="IF19" s="1404"/>
      <c r="IG19" s="1404"/>
      <c r="IH19" s="1404"/>
      <c r="II19" s="1404"/>
      <c r="IJ19" s="1404"/>
      <c r="IK19" s="1404"/>
      <c r="IL19" s="1404"/>
      <c r="IM19" s="1404"/>
      <c r="IN19" s="1404"/>
      <c r="IO19" s="1404"/>
      <c r="IP19" s="1404"/>
      <c r="IQ19" s="1404"/>
      <c r="IR19" s="1404"/>
      <c r="IS19" s="1404"/>
      <c r="IT19" s="1404"/>
      <c r="IU19" s="1404"/>
      <c r="IV19" s="1404"/>
    </row>
    <row r="20" spans="1:256" ht="14.25">
      <c r="A20" s="1405"/>
      <c r="B20" s="2998"/>
      <c r="C20" s="2999">
        <v>43728</v>
      </c>
      <c r="D20" s="2998">
        <v>4.2</v>
      </c>
      <c r="E20" s="2998">
        <v>4.2</v>
      </c>
      <c r="F20" s="2998">
        <v>4.2</v>
      </c>
      <c r="G20" s="2998">
        <v>4.2</v>
      </c>
      <c r="H20" s="2998">
        <v>4.8499999999999996</v>
      </c>
      <c r="I20" s="2998"/>
      <c r="J20" s="2998"/>
      <c r="L20" s="1411"/>
      <c r="M20" s="1412">
        <v>41068</v>
      </c>
      <c r="N20" s="1411">
        <v>0.4</v>
      </c>
      <c r="O20" s="1411">
        <v>2.85</v>
      </c>
      <c r="P20" s="1411">
        <v>3.05</v>
      </c>
      <c r="Q20" s="1411">
        <v>3.25</v>
      </c>
      <c r="R20" s="1411">
        <v>4.0999999999999996</v>
      </c>
      <c r="S20" s="1411">
        <v>4.6500000000000004</v>
      </c>
      <c r="T20" s="1411">
        <v>5.0999999999999996</v>
      </c>
      <c r="U20" s="1411">
        <v>3.1</v>
      </c>
      <c r="V20" s="1411">
        <v>3.15</v>
      </c>
      <c r="W20" s="1411">
        <v>3.25</v>
      </c>
      <c r="X20" s="1411">
        <v>1.31</v>
      </c>
      <c r="Y20" s="1411">
        <v>0.94</v>
      </c>
      <c r="Z20" s="1411">
        <v>1.49</v>
      </c>
    </row>
    <row r="21" spans="1:256" ht="14.25">
      <c r="A21" s="1405"/>
      <c r="B21" s="2997" t="s">
        <v>2814</v>
      </c>
      <c r="C21" s="3000">
        <v>43697</v>
      </c>
      <c r="D21" s="3001">
        <v>4.25</v>
      </c>
      <c r="E21" s="3001">
        <v>4.25</v>
      </c>
      <c r="F21" s="3001">
        <v>4.25</v>
      </c>
      <c r="G21" s="3001">
        <v>4.25</v>
      </c>
      <c r="H21" s="3001">
        <v>4.8499999999999996</v>
      </c>
      <c r="I21" s="3001"/>
      <c r="J21" s="3001"/>
      <c r="K21" s="1399"/>
      <c r="L21" s="1411"/>
      <c r="M21" s="1412">
        <v>40731</v>
      </c>
      <c r="N21" s="1411">
        <v>0.5</v>
      </c>
      <c r="O21" s="1411">
        <v>3.1</v>
      </c>
      <c r="P21" s="1411">
        <v>3.3</v>
      </c>
      <c r="Q21" s="1411">
        <v>3.5</v>
      </c>
      <c r="R21" s="1411">
        <v>4.4000000000000004</v>
      </c>
      <c r="S21" s="1411">
        <v>5</v>
      </c>
      <c r="T21" s="1411">
        <v>5.5</v>
      </c>
      <c r="U21" s="1411">
        <v>3.1</v>
      </c>
      <c r="V21" s="1411">
        <v>3.3</v>
      </c>
      <c r="W21" s="1411">
        <v>3.5</v>
      </c>
      <c r="X21" s="1411">
        <v>1.31</v>
      </c>
      <c r="Y21" s="1411">
        <v>0.95</v>
      </c>
      <c r="Z21" s="1411">
        <v>1.49</v>
      </c>
    </row>
    <row r="22" spans="1:256" ht="14.25">
      <c r="A22" s="3004"/>
      <c r="B22" s="3005"/>
      <c r="C22" s="3006">
        <v>42301</v>
      </c>
      <c r="D22" s="3007">
        <v>4.3499999999999996</v>
      </c>
      <c r="E22" s="3007">
        <v>4.3499999999999996</v>
      </c>
      <c r="F22" s="3007">
        <v>4.75</v>
      </c>
      <c r="G22" s="3007">
        <v>4.75</v>
      </c>
      <c r="H22" s="3007">
        <v>4.9000000000000004</v>
      </c>
      <c r="I22" s="3007"/>
      <c r="J22" s="3007"/>
      <c r="L22" s="1411"/>
      <c r="M22" s="1412">
        <v>40639</v>
      </c>
      <c r="N22" s="1411">
        <v>0.5</v>
      </c>
      <c r="O22" s="1411">
        <v>2.85</v>
      </c>
      <c r="P22" s="1411">
        <v>3.05</v>
      </c>
      <c r="Q22" s="1411">
        <v>3.25</v>
      </c>
      <c r="R22" s="1411">
        <v>4.1500000000000004</v>
      </c>
      <c r="S22" s="1411">
        <v>4.75</v>
      </c>
      <c r="T22" s="1411">
        <v>5.25</v>
      </c>
      <c r="U22" s="1411">
        <v>2.85</v>
      </c>
      <c r="V22" s="1411">
        <v>3.05</v>
      </c>
      <c r="W22" s="1411">
        <v>3.25</v>
      </c>
      <c r="X22" s="1411">
        <v>1.31</v>
      </c>
      <c r="Y22" s="1411">
        <v>0.95</v>
      </c>
      <c r="Z22" s="1411">
        <v>1.49</v>
      </c>
    </row>
    <row r="23" spans="1:256">
      <c r="B23" s="1411"/>
      <c r="C23" s="1412">
        <v>42242</v>
      </c>
      <c r="D23" s="1411">
        <v>4.5999999999999996</v>
      </c>
      <c r="E23" s="1411">
        <v>4.5999999999999996</v>
      </c>
      <c r="F23" s="1411">
        <v>5</v>
      </c>
      <c r="G23" s="1411">
        <v>5</v>
      </c>
      <c r="H23" s="1411">
        <v>5.15</v>
      </c>
      <c r="I23" s="1411">
        <v>2.75</v>
      </c>
      <c r="J23" s="1411">
        <v>3.25</v>
      </c>
      <c r="L23" s="1411"/>
      <c r="M23" s="1412">
        <v>40583</v>
      </c>
      <c r="N23" s="1411">
        <v>0.4</v>
      </c>
      <c r="O23" s="1411">
        <v>2.6</v>
      </c>
      <c r="P23" s="1411">
        <v>2.8</v>
      </c>
      <c r="Q23" s="1411">
        <v>3</v>
      </c>
      <c r="R23" s="1411">
        <v>3.9</v>
      </c>
      <c r="S23" s="1411">
        <v>4.5</v>
      </c>
      <c r="T23" s="1411">
        <v>5</v>
      </c>
      <c r="U23" s="1411">
        <v>2.6</v>
      </c>
      <c r="V23" s="1411">
        <v>2.8</v>
      </c>
      <c r="W23" s="1411">
        <v>3</v>
      </c>
      <c r="X23" s="1411">
        <v>1.21</v>
      </c>
      <c r="Y23" s="1411">
        <v>0.85</v>
      </c>
      <c r="Z23" s="1411">
        <v>1.39</v>
      </c>
    </row>
    <row r="24" spans="1:256">
      <c r="B24" s="1411"/>
      <c r="C24" s="1412">
        <v>42183</v>
      </c>
      <c r="D24" s="1411">
        <v>4.8499999999999996</v>
      </c>
      <c r="E24" s="1411">
        <v>4.8499999999999996</v>
      </c>
      <c r="F24" s="1411">
        <v>5.25</v>
      </c>
      <c r="G24" s="1411">
        <v>5.25</v>
      </c>
      <c r="H24" s="1411">
        <v>5.4</v>
      </c>
      <c r="I24" s="1411">
        <v>3</v>
      </c>
      <c r="J24" s="1411">
        <v>3.5</v>
      </c>
      <c r="L24" s="1411"/>
      <c r="M24" s="1412">
        <v>40538</v>
      </c>
      <c r="N24" s="1411">
        <v>0.36</v>
      </c>
      <c r="O24" s="1411">
        <v>2.25</v>
      </c>
      <c r="P24" s="1411">
        <v>2.5</v>
      </c>
      <c r="Q24" s="1411">
        <v>2.75</v>
      </c>
      <c r="R24" s="1411">
        <v>3.55</v>
      </c>
      <c r="S24" s="1411">
        <v>4.1500000000000004</v>
      </c>
      <c r="T24" s="1411">
        <v>4.55</v>
      </c>
      <c r="U24" s="1411">
        <v>2.16</v>
      </c>
      <c r="V24" s="1411">
        <v>2.5</v>
      </c>
      <c r="W24" s="1411">
        <v>2.85</v>
      </c>
      <c r="X24" s="1411">
        <v>1.17</v>
      </c>
      <c r="Y24" s="1411">
        <v>0.81</v>
      </c>
      <c r="Z24" s="1411">
        <v>1.35</v>
      </c>
    </row>
    <row r="25" spans="1:256">
      <c r="B25" s="1411"/>
      <c r="C25" s="1412">
        <v>42135</v>
      </c>
      <c r="D25" s="1411">
        <v>5.0999999999999996</v>
      </c>
      <c r="E25" s="1411">
        <v>5.0999999999999996</v>
      </c>
      <c r="F25" s="1411">
        <v>5.5</v>
      </c>
      <c r="G25" s="1411">
        <v>5.5</v>
      </c>
      <c r="H25" s="1411">
        <v>5.65</v>
      </c>
      <c r="I25" s="1411">
        <v>3.25</v>
      </c>
      <c r="J25" s="1411">
        <v>3.75</v>
      </c>
      <c r="L25" s="1411"/>
      <c r="M25" s="1412">
        <v>40471</v>
      </c>
      <c r="N25" s="1411">
        <v>0.36</v>
      </c>
      <c r="O25" s="1411">
        <v>1.91</v>
      </c>
      <c r="P25" s="1411">
        <v>2.2000000000000002</v>
      </c>
      <c r="Q25" s="1411">
        <v>2.5</v>
      </c>
      <c r="R25" s="1411">
        <v>3.25</v>
      </c>
      <c r="S25" s="1411">
        <v>3.85</v>
      </c>
      <c r="T25" s="1411">
        <v>4.2</v>
      </c>
      <c r="U25" s="1411">
        <v>1.91</v>
      </c>
      <c r="V25" s="1411">
        <v>2.2000000000000002</v>
      </c>
      <c r="W25" s="1411">
        <v>2.5</v>
      </c>
      <c r="X25" s="1411">
        <v>1.17</v>
      </c>
      <c r="Y25" s="1411">
        <v>0.81</v>
      </c>
      <c r="Z25" s="1411">
        <v>1.35</v>
      </c>
    </row>
    <row r="26" spans="1:256">
      <c r="B26" s="1411"/>
      <c r="C26" s="1412">
        <v>42064</v>
      </c>
      <c r="D26" s="1411">
        <v>5.35</v>
      </c>
      <c r="E26" s="1411">
        <v>5.35</v>
      </c>
      <c r="F26" s="1411">
        <v>5.75</v>
      </c>
      <c r="G26" s="1411">
        <v>5.75</v>
      </c>
      <c r="H26" s="1411">
        <v>5.9</v>
      </c>
      <c r="I26" s="1411"/>
      <c r="J26" s="1411"/>
      <c r="L26" s="1411"/>
      <c r="M26" s="1412">
        <v>39805</v>
      </c>
      <c r="N26" s="1411">
        <v>0.36</v>
      </c>
      <c r="O26" s="1411">
        <v>1.71</v>
      </c>
      <c r="P26" s="1411">
        <v>1.98</v>
      </c>
      <c r="Q26" s="1411">
        <v>2.25</v>
      </c>
      <c r="R26" s="1411">
        <v>2.79</v>
      </c>
      <c r="S26" s="1411">
        <v>3.33</v>
      </c>
      <c r="T26" s="1411">
        <v>3.6</v>
      </c>
      <c r="U26" s="1411">
        <v>1.71</v>
      </c>
      <c r="V26" s="1411">
        <v>1.98</v>
      </c>
      <c r="W26" s="1411">
        <v>2.25</v>
      </c>
      <c r="X26" s="1411">
        <v>1.17</v>
      </c>
      <c r="Y26" s="1411">
        <v>0.81</v>
      </c>
      <c r="Z26" s="1411">
        <v>1.35</v>
      </c>
    </row>
    <row r="27" spans="1:256">
      <c r="B27" s="1411"/>
      <c r="C27" s="1412">
        <v>41965</v>
      </c>
      <c r="D27" s="1411">
        <v>5.6</v>
      </c>
      <c r="E27" s="1411">
        <v>5.6</v>
      </c>
      <c r="F27" s="1411">
        <v>6</v>
      </c>
      <c r="G27" s="1411">
        <v>6</v>
      </c>
      <c r="H27" s="1411">
        <v>6.15</v>
      </c>
      <c r="I27" s="1411"/>
      <c r="J27" s="1411"/>
      <c r="L27" s="1411"/>
      <c r="M27" s="1412">
        <v>39779</v>
      </c>
      <c r="N27" s="1411">
        <v>0.36</v>
      </c>
      <c r="O27" s="1411">
        <v>1.98</v>
      </c>
      <c r="P27" s="1411">
        <v>2.25</v>
      </c>
      <c r="Q27" s="1411">
        <v>2.52</v>
      </c>
      <c r="R27" s="1411">
        <v>3.06</v>
      </c>
      <c r="S27" s="1411">
        <v>3.6</v>
      </c>
      <c r="T27" s="1411">
        <v>3.87</v>
      </c>
      <c r="U27" s="1411">
        <v>1.98</v>
      </c>
      <c r="V27" s="1411">
        <v>2.25</v>
      </c>
      <c r="W27" s="1411">
        <v>2.52</v>
      </c>
      <c r="X27" s="1411">
        <v>1.17</v>
      </c>
      <c r="Y27" s="1411">
        <v>0.81</v>
      </c>
      <c r="Z27" s="1411">
        <v>1.35</v>
      </c>
    </row>
    <row r="28" spans="1:256">
      <c r="B28" s="1411"/>
      <c r="C28" s="1412">
        <v>41096</v>
      </c>
      <c r="D28" s="1411">
        <v>5.6</v>
      </c>
      <c r="E28" s="1411">
        <v>6</v>
      </c>
      <c r="F28" s="1411">
        <v>6.15</v>
      </c>
      <c r="G28" s="1411">
        <v>6.4</v>
      </c>
      <c r="H28" s="1411">
        <v>6.55</v>
      </c>
      <c r="I28" s="1411">
        <v>4</v>
      </c>
      <c r="J28" s="1411">
        <v>4.5</v>
      </c>
      <c r="L28" s="1411"/>
      <c r="M28" s="1412">
        <v>39751</v>
      </c>
      <c r="N28" s="1411">
        <v>0.72</v>
      </c>
      <c r="O28" s="1411">
        <v>2.88</v>
      </c>
      <c r="P28" s="1411">
        <v>3.24</v>
      </c>
      <c r="Q28" s="1411">
        <v>3.6</v>
      </c>
      <c r="R28" s="1411">
        <v>4.1399999999999997</v>
      </c>
      <c r="S28" s="1411">
        <v>4.7699999999999996</v>
      </c>
      <c r="T28" s="1411">
        <v>5.13</v>
      </c>
      <c r="U28" s="1411">
        <v>2.88</v>
      </c>
      <c r="V28" s="1411">
        <v>3.24</v>
      </c>
      <c r="W28" s="1411">
        <v>3.6</v>
      </c>
      <c r="X28" s="1411">
        <v>1.53</v>
      </c>
      <c r="Y28" s="1411">
        <v>1.17</v>
      </c>
      <c r="Z28" s="1411">
        <v>1.71</v>
      </c>
    </row>
    <row r="29" spans="1:256">
      <c r="B29" s="1411"/>
      <c r="C29" s="1412">
        <v>41068</v>
      </c>
      <c r="D29" s="1411">
        <v>5.85</v>
      </c>
      <c r="E29" s="1411">
        <v>6.31</v>
      </c>
      <c r="F29" s="1411">
        <v>6.4</v>
      </c>
      <c r="G29" s="1411">
        <v>6.65</v>
      </c>
      <c r="H29" s="1411">
        <v>6.8</v>
      </c>
      <c r="I29" s="1411">
        <v>4.2</v>
      </c>
      <c r="J29" s="1411">
        <v>4.7</v>
      </c>
      <c r="L29" s="1411"/>
      <c r="M29" s="1413">
        <v>39736</v>
      </c>
      <c r="N29" s="1411">
        <v>0.72</v>
      </c>
      <c r="O29" s="1411">
        <v>3.15</v>
      </c>
      <c r="P29" s="1411">
        <v>3.51</v>
      </c>
      <c r="Q29" s="1411">
        <v>3.87</v>
      </c>
      <c r="R29" s="1411">
        <v>4.41</v>
      </c>
      <c r="S29" s="1411">
        <v>5.13</v>
      </c>
      <c r="T29" s="1411">
        <v>5.58</v>
      </c>
      <c r="U29" s="1411">
        <v>3.15</v>
      </c>
      <c r="V29" s="1411">
        <v>3.51</v>
      </c>
      <c r="W29" s="1411">
        <v>3.87</v>
      </c>
      <c r="X29" s="1411">
        <v>1.53</v>
      </c>
      <c r="Y29" s="1411">
        <v>1.17</v>
      </c>
      <c r="Z29" s="1411">
        <v>1.71</v>
      </c>
    </row>
    <row r="30" spans="1:256">
      <c r="B30" s="1411"/>
      <c r="C30" s="1412">
        <v>40731</v>
      </c>
      <c r="D30" s="1411">
        <v>6.1</v>
      </c>
      <c r="E30" s="1411">
        <v>6.56</v>
      </c>
      <c r="F30" s="1411">
        <v>6.65</v>
      </c>
      <c r="G30" s="1411">
        <v>6.9</v>
      </c>
      <c r="H30" s="1411">
        <v>7.05</v>
      </c>
      <c r="I30" s="1411">
        <v>4.45</v>
      </c>
      <c r="J30" s="1411">
        <v>4.9000000000000004</v>
      </c>
      <c r="L30" s="1411"/>
      <c r="M30" s="1412">
        <v>39730</v>
      </c>
      <c r="N30" s="1411">
        <v>0.72</v>
      </c>
      <c r="O30" s="1411">
        <v>3.15</v>
      </c>
      <c r="P30" s="1411">
        <v>3.51</v>
      </c>
      <c r="Q30" s="1411">
        <v>3.87</v>
      </c>
      <c r="R30" s="1411">
        <v>4.41</v>
      </c>
      <c r="S30" s="1411">
        <v>5.13</v>
      </c>
      <c r="T30" s="1411">
        <v>5.58</v>
      </c>
      <c r="U30" s="1411">
        <v>3.15</v>
      </c>
      <c r="V30" s="1411">
        <v>3.51</v>
      </c>
      <c r="W30" s="1411">
        <v>3.87</v>
      </c>
      <c r="X30" s="1411">
        <v>1.53</v>
      </c>
      <c r="Y30" s="1411">
        <v>1.17</v>
      </c>
      <c r="Z30" s="1411">
        <v>1.71</v>
      </c>
    </row>
    <row r="31" spans="1:256">
      <c r="B31" s="1411"/>
      <c r="C31" s="1412">
        <v>40639</v>
      </c>
      <c r="D31" s="1411">
        <v>5.85</v>
      </c>
      <c r="E31" s="1411">
        <v>6.31</v>
      </c>
      <c r="F31" s="1411">
        <v>6.4</v>
      </c>
      <c r="G31" s="1411">
        <v>6.65</v>
      </c>
      <c r="H31" s="1411">
        <v>6.8</v>
      </c>
      <c r="I31" s="1411">
        <v>4.2</v>
      </c>
      <c r="J31" s="1411">
        <v>4.7</v>
      </c>
      <c r="L31" s="1411"/>
      <c r="M31" s="1412">
        <v>39437</v>
      </c>
      <c r="N31" s="1411">
        <v>0.72</v>
      </c>
      <c r="O31" s="1411">
        <v>3.33</v>
      </c>
      <c r="P31" s="1411">
        <v>3.78</v>
      </c>
      <c r="Q31" s="1411">
        <v>4.1399999999999997</v>
      </c>
      <c r="R31" s="1411">
        <v>4.68</v>
      </c>
      <c r="S31" s="1411">
        <v>5.4</v>
      </c>
      <c r="T31" s="1411">
        <v>5.85</v>
      </c>
      <c r="U31" s="1411">
        <v>3.33</v>
      </c>
      <c r="V31" s="1411">
        <v>3.78</v>
      </c>
      <c r="W31" s="1411">
        <v>4.1399999999999997</v>
      </c>
      <c r="X31" s="1411">
        <v>1.53</v>
      </c>
      <c r="Y31" s="1411">
        <v>1.17</v>
      </c>
      <c r="Z31" s="1411">
        <v>1.71</v>
      </c>
    </row>
    <row r="32" spans="1:256">
      <c r="B32" s="1411"/>
      <c r="C32" s="1412">
        <v>40583</v>
      </c>
      <c r="D32" s="1411">
        <v>5.6</v>
      </c>
      <c r="E32" s="1411">
        <v>6.06</v>
      </c>
      <c r="F32" s="1411">
        <v>6.1</v>
      </c>
      <c r="G32" s="1411">
        <v>6.45</v>
      </c>
      <c r="H32" s="1411">
        <v>6.6</v>
      </c>
      <c r="I32" s="1411">
        <v>4</v>
      </c>
      <c r="J32" s="1411">
        <v>4.5</v>
      </c>
      <c r="L32" s="1411"/>
      <c r="M32" s="1412">
        <v>39340</v>
      </c>
      <c r="N32" s="1411">
        <v>0.81</v>
      </c>
      <c r="O32" s="1411">
        <v>2.88</v>
      </c>
      <c r="P32" s="1411">
        <v>3.42</v>
      </c>
      <c r="Q32" s="1411">
        <v>3.87</v>
      </c>
      <c r="R32" s="1411">
        <v>4.5</v>
      </c>
      <c r="S32" s="1411">
        <v>5.22</v>
      </c>
      <c r="T32" s="1411">
        <v>5.76</v>
      </c>
      <c r="U32" s="1411">
        <v>2.88</v>
      </c>
      <c r="V32" s="1411">
        <v>3.42</v>
      </c>
      <c r="W32" s="1411">
        <v>3.87</v>
      </c>
      <c r="X32" s="1411">
        <v>1.53</v>
      </c>
      <c r="Y32" s="1411">
        <v>1.17</v>
      </c>
      <c r="Z32" s="1411">
        <v>1.71</v>
      </c>
    </row>
    <row r="33" spans="2:26">
      <c r="B33" s="1411"/>
      <c r="C33" s="1412">
        <v>40538</v>
      </c>
      <c r="D33" s="1411">
        <v>5.35</v>
      </c>
      <c r="E33" s="1411">
        <v>5.81</v>
      </c>
      <c r="F33" s="1411">
        <v>5.85</v>
      </c>
      <c r="G33" s="1411">
        <v>6.22</v>
      </c>
      <c r="H33" s="1411">
        <v>6.4</v>
      </c>
      <c r="I33" s="1411">
        <v>3.75</v>
      </c>
      <c r="J33" s="1411">
        <v>4.3</v>
      </c>
      <c r="L33" s="1411"/>
      <c r="M33" s="1412">
        <v>39316</v>
      </c>
      <c r="N33" s="1411">
        <v>0.81</v>
      </c>
      <c r="O33" s="1411">
        <v>2.61</v>
      </c>
      <c r="P33" s="1411">
        <v>3.15</v>
      </c>
      <c r="Q33" s="1411">
        <v>3.6</v>
      </c>
      <c r="R33" s="1411">
        <v>4.2300000000000004</v>
      </c>
      <c r="S33" s="1411">
        <v>4.95</v>
      </c>
      <c r="T33" s="1411">
        <v>5.49</v>
      </c>
      <c r="U33" s="1411">
        <v>2.61</v>
      </c>
      <c r="V33" s="1411">
        <v>3.15</v>
      </c>
      <c r="W33" s="1411">
        <v>3.6</v>
      </c>
      <c r="X33" s="1411">
        <v>1.53</v>
      </c>
      <c r="Y33" s="1411">
        <v>1.17</v>
      </c>
      <c r="Z33" s="1411">
        <v>1.71</v>
      </c>
    </row>
    <row r="34" spans="2:26">
      <c r="B34" s="1411"/>
      <c r="C34" s="1412">
        <v>40471</v>
      </c>
      <c r="D34" s="1411">
        <v>5.0999999999999996</v>
      </c>
      <c r="E34" s="1411">
        <v>5.56</v>
      </c>
      <c r="F34" s="1411">
        <v>5.6</v>
      </c>
      <c r="G34" s="1411">
        <v>5.96</v>
      </c>
      <c r="H34" s="1411">
        <v>6.14</v>
      </c>
      <c r="I34" s="1411">
        <v>3.5</v>
      </c>
      <c r="J34" s="1411">
        <v>4.05</v>
      </c>
      <c r="L34" s="1411"/>
      <c r="M34" s="1412">
        <v>39284</v>
      </c>
      <c r="N34" s="1411">
        <v>0.81</v>
      </c>
      <c r="O34" s="1411">
        <v>2.34</v>
      </c>
      <c r="P34" s="1411">
        <v>2.88</v>
      </c>
      <c r="Q34" s="1411">
        <v>3.33</v>
      </c>
      <c r="R34" s="1411">
        <v>3.96</v>
      </c>
      <c r="S34" s="1411">
        <v>4.68</v>
      </c>
      <c r="T34" s="1411">
        <v>5.22</v>
      </c>
      <c r="U34" s="1411">
        <v>2.34</v>
      </c>
      <c r="V34" s="1411">
        <v>2.88</v>
      </c>
      <c r="W34" s="1411">
        <v>3.33</v>
      </c>
      <c r="X34" s="1411">
        <v>1.53</v>
      </c>
      <c r="Y34" s="1411">
        <v>1.17</v>
      </c>
      <c r="Z34" s="1411">
        <v>1.71</v>
      </c>
    </row>
    <row r="35" spans="2:26">
      <c r="B35" s="1411"/>
      <c r="C35" s="1412">
        <v>39805</v>
      </c>
      <c r="D35" s="1411">
        <v>4.8600000000000003</v>
      </c>
      <c r="E35" s="1411">
        <v>5.31</v>
      </c>
      <c r="F35" s="1411">
        <v>5.4</v>
      </c>
      <c r="G35" s="1411">
        <v>5.76</v>
      </c>
      <c r="H35" s="1411">
        <v>5.94</v>
      </c>
      <c r="I35" s="1411">
        <v>3.33</v>
      </c>
      <c r="J35" s="1411">
        <v>3.87</v>
      </c>
      <c r="L35" s="1411"/>
      <c r="M35" s="1412">
        <v>39221</v>
      </c>
      <c r="N35" s="1411">
        <v>0.72</v>
      </c>
      <c r="O35" s="1411">
        <v>2.0699999999999998</v>
      </c>
      <c r="P35" s="1411">
        <v>2.61</v>
      </c>
      <c r="Q35" s="1411">
        <v>3.06</v>
      </c>
      <c r="R35" s="1411">
        <v>3.69</v>
      </c>
      <c r="S35" s="1411">
        <v>4.41</v>
      </c>
      <c r="T35" s="1411">
        <v>4.95</v>
      </c>
      <c r="U35" s="1411">
        <v>2.0699999999999998</v>
      </c>
      <c r="V35" s="1411">
        <v>2.61</v>
      </c>
      <c r="W35" s="1411">
        <v>3.06</v>
      </c>
      <c r="X35" s="1411">
        <v>1.44</v>
      </c>
      <c r="Y35" s="1411">
        <v>1.08</v>
      </c>
      <c r="Z35" s="1411">
        <v>1.62</v>
      </c>
    </row>
    <row r="36" spans="2:26">
      <c r="B36" s="1411"/>
      <c r="C36" s="1412">
        <v>39779</v>
      </c>
      <c r="D36" s="1411">
        <v>5.04</v>
      </c>
      <c r="E36" s="1411">
        <v>5.58</v>
      </c>
      <c r="F36" s="1411">
        <v>5.67</v>
      </c>
      <c r="G36" s="1411">
        <v>5.94</v>
      </c>
      <c r="H36" s="1411">
        <v>6.12</v>
      </c>
      <c r="I36" s="1411">
        <v>3.51</v>
      </c>
      <c r="J36" s="1411">
        <v>4.05</v>
      </c>
      <c r="L36" s="1411"/>
      <c r="M36" s="1412">
        <v>39159</v>
      </c>
      <c r="N36" s="1411">
        <v>0.72</v>
      </c>
      <c r="O36" s="1411">
        <v>1.98</v>
      </c>
      <c r="P36" s="1411">
        <v>2.4300000000000002</v>
      </c>
      <c r="Q36" s="1411">
        <v>2.79</v>
      </c>
      <c r="R36" s="1411">
        <v>3.33</v>
      </c>
      <c r="S36" s="1411">
        <v>3.96</v>
      </c>
      <c r="T36" s="1411">
        <v>4.41</v>
      </c>
      <c r="U36" s="1411">
        <v>1.98</v>
      </c>
      <c r="V36" s="1411">
        <v>2.4300000000000002</v>
      </c>
      <c r="W36" s="1411">
        <v>2.79</v>
      </c>
      <c r="X36" s="1411">
        <v>1.44</v>
      </c>
      <c r="Y36" s="1411">
        <v>1.08</v>
      </c>
      <c r="Z36" s="1411">
        <v>1.62</v>
      </c>
    </row>
    <row r="37" spans="2:26">
      <c r="B37" s="1411"/>
      <c r="C37" s="1412">
        <v>39751</v>
      </c>
      <c r="D37" s="1411">
        <v>6.03</v>
      </c>
      <c r="E37" s="1411">
        <v>6.66</v>
      </c>
      <c r="F37" s="1411">
        <v>6.75</v>
      </c>
      <c r="G37" s="1411">
        <v>7.02</v>
      </c>
      <c r="H37" s="1411">
        <v>7.2</v>
      </c>
      <c r="I37" s="1411">
        <v>4.05</v>
      </c>
      <c r="J37" s="1411">
        <v>4.59</v>
      </c>
      <c r="L37" s="1411"/>
      <c r="M37" s="1412">
        <v>38948</v>
      </c>
      <c r="N37" s="1411">
        <v>0.72</v>
      </c>
      <c r="O37" s="1411">
        <v>1.8</v>
      </c>
      <c r="P37" s="1411">
        <v>2.25</v>
      </c>
      <c r="Q37" s="1411">
        <v>2.52</v>
      </c>
      <c r="R37" s="1411">
        <v>3.06</v>
      </c>
      <c r="S37" s="1411">
        <v>3.69</v>
      </c>
      <c r="T37" s="1411">
        <v>4.1399999999999997</v>
      </c>
      <c r="U37" s="1411">
        <v>1.8</v>
      </c>
      <c r="V37" s="1411">
        <v>2.25</v>
      </c>
      <c r="W37" s="1411">
        <v>2.52</v>
      </c>
      <c r="X37" s="1411">
        <v>1.44</v>
      </c>
      <c r="Y37" s="1411">
        <v>1.08</v>
      </c>
      <c r="Z37" s="1411">
        <v>1.62</v>
      </c>
    </row>
    <row r="38" spans="2:26">
      <c r="B38" s="1411"/>
      <c r="C38" s="1413">
        <v>39748</v>
      </c>
      <c r="D38" s="1411">
        <v>6.12</v>
      </c>
      <c r="E38" s="1411">
        <v>6.93</v>
      </c>
      <c r="F38" s="1411">
        <v>7.02</v>
      </c>
      <c r="G38" s="1411">
        <v>7.29</v>
      </c>
      <c r="H38" s="1411">
        <v>7.47</v>
      </c>
      <c r="I38" s="1411">
        <v>4.05</v>
      </c>
      <c r="J38" s="1411">
        <v>4.59</v>
      </c>
      <c r="L38" s="1411"/>
      <c r="M38" s="1412">
        <v>38289</v>
      </c>
      <c r="N38" s="1411">
        <v>0.72</v>
      </c>
      <c r="O38" s="1411">
        <v>1.71</v>
      </c>
      <c r="P38" s="1411">
        <v>2.0699999999999998</v>
      </c>
      <c r="Q38" s="1411">
        <v>2.25</v>
      </c>
      <c r="R38" s="1411">
        <v>2.7</v>
      </c>
      <c r="S38" s="1411">
        <v>3.24</v>
      </c>
      <c r="T38" s="1411">
        <v>3.6</v>
      </c>
      <c r="U38" s="1411">
        <v>1.71</v>
      </c>
      <c r="V38" s="1411">
        <v>2.0699999999999998</v>
      </c>
      <c r="W38" s="1411">
        <v>2.25</v>
      </c>
      <c r="X38" s="1411">
        <v>1.44</v>
      </c>
      <c r="Y38" s="1411">
        <v>1.08</v>
      </c>
      <c r="Z38" s="1411">
        <v>1.62</v>
      </c>
    </row>
    <row r="39" spans="2:26">
      <c r="B39" s="1411"/>
      <c r="C39" s="1412">
        <v>39730</v>
      </c>
      <c r="D39" s="1411">
        <v>6.12</v>
      </c>
      <c r="E39" s="1411">
        <v>6.93</v>
      </c>
      <c r="F39" s="1411">
        <v>7.02</v>
      </c>
      <c r="G39" s="1411">
        <v>7.29</v>
      </c>
      <c r="H39" s="1411">
        <v>7.47</v>
      </c>
      <c r="I39" s="1411">
        <v>4.32</v>
      </c>
      <c r="J39" s="1411">
        <v>4.8600000000000003</v>
      </c>
      <c r="L39" s="1411"/>
      <c r="M39" s="1412">
        <v>37308</v>
      </c>
      <c r="N39" s="1411">
        <v>0.72</v>
      </c>
      <c r="O39" s="1411">
        <v>1.71</v>
      </c>
      <c r="P39" s="1411">
        <v>1.89</v>
      </c>
      <c r="Q39" s="1411">
        <v>1.98</v>
      </c>
      <c r="R39" s="1411">
        <v>2.25</v>
      </c>
      <c r="S39" s="1411">
        <v>2.52</v>
      </c>
      <c r="T39" s="1411">
        <v>2.79</v>
      </c>
      <c r="U39" s="1411">
        <v>1.71</v>
      </c>
      <c r="V39" s="1411">
        <v>1.89</v>
      </c>
      <c r="W39" s="1411">
        <v>1.98</v>
      </c>
      <c r="X39" s="1411">
        <v>1.44</v>
      </c>
      <c r="Y39" s="1411">
        <v>1.08</v>
      </c>
      <c r="Z39" s="1411">
        <v>1.62</v>
      </c>
    </row>
    <row r="40" spans="2:26">
      <c r="B40" s="1411"/>
      <c r="C40" s="1412">
        <v>39707</v>
      </c>
      <c r="D40" s="1411">
        <v>6.21</v>
      </c>
      <c r="E40" s="1411">
        <v>7.2</v>
      </c>
      <c r="F40" s="1411">
        <v>7.29</v>
      </c>
      <c r="G40" s="1411">
        <v>7.56</v>
      </c>
      <c r="H40" s="1411">
        <v>7.74</v>
      </c>
      <c r="I40" s="1411">
        <v>4.59</v>
      </c>
      <c r="J40" s="1411">
        <v>5.13</v>
      </c>
      <c r="L40" s="1411"/>
      <c r="M40" s="1412">
        <v>36321</v>
      </c>
      <c r="N40" s="1411">
        <v>0.99</v>
      </c>
      <c r="O40" s="1411">
        <v>1.98</v>
      </c>
      <c r="P40" s="1411">
        <v>2.16</v>
      </c>
      <c r="Q40" s="1411">
        <v>2.25</v>
      </c>
      <c r="R40" s="1411">
        <v>2.4300000000000002</v>
      </c>
      <c r="S40" s="1411">
        <v>2.7</v>
      </c>
      <c r="T40" s="1411">
        <v>2.88</v>
      </c>
      <c r="U40" s="1411">
        <v>1.98</v>
      </c>
      <c r="V40" s="1411">
        <v>2.16</v>
      </c>
      <c r="W40" s="1411">
        <v>2.25</v>
      </c>
      <c r="X40" s="1411">
        <v>1.71</v>
      </c>
      <c r="Y40" s="1411">
        <v>1.35</v>
      </c>
      <c r="Z40" s="1411">
        <v>1.89</v>
      </c>
    </row>
    <row r="41" spans="2:26">
      <c r="B41" s="1411"/>
      <c r="C41" s="1412">
        <v>39437</v>
      </c>
      <c r="D41" s="1411">
        <v>6.57</v>
      </c>
      <c r="E41" s="1411">
        <v>7.47</v>
      </c>
      <c r="F41" s="1411">
        <v>7.56</v>
      </c>
      <c r="G41" s="1411">
        <v>7.74</v>
      </c>
      <c r="H41" s="1411">
        <v>7.83</v>
      </c>
      <c r="I41" s="1411">
        <v>4.7699999999999996</v>
      </c>
      <c r="J41" s="1411">
        <v>5.22</v>
      </c>
      <c r="L41" s="1411"/>
      <c r="M41" s="1412">
        <v>36136</v>
      </c>
      <c r="N41" s="1411">
        <v>1.44</v>
      </c>
      <c r="O41" s="1411">
        <v>2.79</v>
      </c>
      <c r="P41" s="1411">
        <v>3.33</v>
      </c>
      <c r="Q41" s="1411">
        <v>3.78</v>
      </c>
      <c r="R41" s="1411">
        <v>3.96</v>
      </c>
      <c r="S41" s="1411">
        <v>4.1399999999999997</v>
      </c>
      <c r="T41" s="1411">
        <v>4.5</v>
      </c>
      <c r="U41" s="1411">
        <v>3.33</v>
      </c>
      <c r="V41" s="1411">
        <v>3.78</v>
      </c>
      <c r="W41" s="1411">
        <v>4.1399999999999997</v>
      </c>
      <c r="X41" s="1411">
        <v>2.16</v>
      </c>
      <c r="Y41" s="1411">
        <v>1.8</v>
      </c>
      <c r="Z41" s="1411">
        <v>2.34</v>
      </c>
    </row>
    <row r="42" spans="2:26">
      <c r="B42" s="1411"/>
      <c r="C42" s="1412">
        <v>39340</v>
      </c>
      <c r="D42" s="1411">
        <v>6.48</v>
      </c>
      <c r="E42" s="1411">
        <v>7.29</v>
      </c>
      <c r="F42" s="1411">
        <v>7.47</v>
      </c>
      <c r="G42" s="1411">
        <v>7.65</v>
      </c>
      <c r="H42" s="1411">
        <v>7.83</v>
      </c>
      <c r="I42" s="1411">
        <v>4.7699999999999996</v>
      </c>
      <c r="J42" s="1411">
        <v>5.22</v>
      </c>
      <c r="L42" s="1411"/>
      <c r="M42" s="1412">
        <v>35977</v>
      </c>
      <c r="N42" s="1411">
        <v>1.44</v>
      </c>
      <c r="O42" s="1411">
        <v>2.79</v>
      </c>
      <c r="P42" s="1411">
        <v>3.96</v>
      </c>
      <c r="Q42" s="1411">
        <v>4.7699999999999996</v>
      </c>
      <c r="R42" s="1411">
        <v>4.8600000000000003</v>
      </c>
      <c r="S42" s="1411">
        <v>4.95</v>
      </c>
      <c r="T42" s="1411">
        <v>5.22</v>
      </c>
      <c r="U42" s="1411">
        <v>3.96</v>
      </c>
      <c r="V42" s="1411">
        <v>4.7699999999999996</v>
      </c>
      <c r="W42" s="1411">
        <v>4.95</v>
      </c>
      <c r="X42" s="1411" t="s">
        <v>1058</v>
      </c>
      <c r="Y42" s="1411" t="s">
        <v>1058</v>
      </c>
      <c r="Z42" s="1411" t="s">
        <v>1058</v>
      </c>
    </row>
    <row r="43" spans="2:26">
      <c r="B43" s="1411"/>
      <c r="C43" s="1412">
        <v>39316</v>
      </c>
      <c r="D43" s="1411">
        <v>6.21</v>
      </c>
      <c r="E43" s="1411">
        <v>7.02</v>
      </c>
      <c r="F43" s="1411">
        <v>7.2</v>
      </c>
      <c r="G43" s="1411">
        <v>7.38</v>
      </c>
      <c r="H43" s="1411">
        <v>7.56</v>
      </c>
      <c r="I43" s="1411">
        <v>4.59</v>
      </c>
      <c r="J43" s="1411">
        <v>5.04</v>
      </c>
      <c r="L43" s="1411"/>
      <c r="M43" s="1412">
        <v>35879</v>
      </c>
      <c r="N43" s="1411">
        <v>1.71</v>
      </c>
      <c r="O43" s="1411">
        <v>2.88</v>
      </c>
      <c r="P43" s="1411">
        <v>4.1399999999999997</v>
      </c>
      <c r="Q43" s="1411">
        <v>5.22</v>
      </c>
      <c r="R43" s="1411">
        <v>5.58</v>
      </c>
      <c r="S43" s="1411">
        <v>6.21</v>
      </c>
      <c r="T43" s="1411">
        <v>6.66</v>
      </c>
      <c r="U43" s="1411">
        <v>4.1399999999999997</v>
      </c>
      <c r="V43" s="1411">
        <v>5.22</v>
      </c>
      <c r="W43" s="1411">
        <v>6.21</v>
      </c>
      <c r="X43" s="1411" t="s">
        <v>1058</v>
      </c>
      <c r="Y43" s="1411" t="s">
        <v>1058</v>
      </c>
      <c r="Z43" s="1411" t="s">
        <v>1058</v>
      </c>
    </row>
    <row r="44" spans="2:26">
      <c r="B44" s="1411"/>
      <c r="C44" s="1412">
        <v>39284</v>
      </c>
      <c r="D44" s="1411">
        <v>6.03</v>
      </c>
      <c r="E44" s="1411">
        <v>6.84</v>
      </c>
      <c r="F44" s="1411">
        <v>7.02</v>
      </c>
      <c r="G44" s="1411">
        <v>7.2</v>
      </c>
      <c r="H44" s="1411">
        <v>7.38</v>
      </c>
      <c r="I44" s="1411">
        <v>4.5</v>
      </c>
      <c r="J44" s="1411">
        <v>4.95</v>
      </c>
      <c r="L44" s="1411"/>
      <c r="M44" s="1412">
        <v>35726</v>
      </c>
      <c r="N44" s="1411">
        <v>1.71</v>
      </c>
      <c r="O44" s="1411">
        <v>2.88</v>
      </c>
      <c r="P44" s="1411">
        <v>4.1399999999999997</v>
      </c>
      <c r="Q44" s="1411">
        <v>5.67</v>
      </c>
      <c r="R44" s="1411">
        <v>5.94</v>
      </c>
      <c r="S44" s="1411">
        <v>6.21</v>
      </c>
      <c r="T44" s="1411">
        <v>6.66</v>
      </c>
      <c r="U44" s="1411">
        <v>4.1399999999999997</v>
      </c>
      <c r="V44" s="1411">
        <v>5.67</v>
      </c>
      <c r="W44" s="1411">
        <v>6.21</v>
      </c>
      <c r="X44" s="1411" t="s">
        <v>1058</v>
      </c>
      <c r="Y44" s="1411" t="s">
        <v>1058</v>
      </c>
      <c r="Z44" s="1411" t="s">
        <v>1058</v>
      </c>
    </row>
    <row r="45" spans="2:26">
      <c r="B45" s="1411"/>
      <c r="C45" s="1412">
        <v>39221</v>
      </c>
      <c r="D45" s="1411">
        <v>5.85</v>
      </c>
      <c r="E45" s="1411">
        <v>6.57</v>
      </c>
      <c r="F45" s="1411">
        <v>6.75</v>
      </c>
      <c r="G45" s="1411">
        <v>6.93</v>
      </c>
      <c r="H45" s="1411">
        <v>7.2</v>
      </c>
      <c r="I45" s="1411">
        <v>4.41</v>
      </c>
      <c r="J45" s="1411">
        <v>4.8600000000000003</v>
      </c>
      <c r="L45" s="1411"/>
      <c r="M45" s="1412">
        <v>35300</v>
      </c>
      <c r="N45" s="1411">
        <v>1.98</v>
      </c>
      <c r="O45" s="1411">
        <v>3.33</v>
      </c>
      <c r="P45" s="1411">
        <v>5.4</v>
      </c>
      <c r="Q45" s="1411">
        <v>7.47</v>
      </c>
      <c r="R45" s="1411">
        <v>7.92</v>
      </c>
      <c r="S45" s="1411">
        <v>8.2799999999999994</v>
      </c>
      <c r="T45" s="1411">
        <v>9</v>
      </c>
      <c r="U45" s="1411">
        <v>5.4</v>
      </c>
      <c r="V45" s="1411">
        <v>7.47</v>
      </c>
      <c r="W45" s="1411">
        <v>8.2799999999999994</v>
      </c>
      <c r="X45" s="1411" t="s">
        <v>1058</v>
      </c>
      <c r="Y45" s="1411" t="s">
        <v>1058</v>
      </c>
      <c r="Z45" s="1411" t="s">
        <v>1058</v>
      </c>
    </row>
    <row r="46" spans="2:26">
      <c r="B46" s="1411"/>
      <c r="C46" s="1412">
        <v>39159</v>
      </c>
      <c r="D46" s="1411">
        <v>5.67</v>
      </c>
      <c r="E46" s="1411">
        <v>6.39</v>
      </c>
      <c r="F46" s="1411">
        <v>6.57</v>
      </c>
      <c r="G46" s="1411">
        <v>6.75</v>
      </c>
      <c r="H46" s="1411">
        <v>7.11</v>
      </c>
      <c r="I46" s="1411">
        <v>4.32</v>
      </c>
      <c r="J46" s="1411">
        <v>4.7699999999999996</v>
      </c>
      <c r="L46" s="1411"/>
      <c r="M46" s="1412">
        <v>35186</v>
      </c>
      <c r="N46" s="1411">
        <v>2.97</v>
      </c>
      <c r="O46" s="1411">
        <v>4.8600000000000003</v>
      </c>
      <c r="P46" s="1411">
        <v>7.2</v>
      </c>
      <c r="Q46" s="1411">
        <v>9.18</v>
      </c>
      <c r="R46" s="1411">
        <v>9.9</v>
      </c>
      <c r="S46" s="1411">
        <v>10.8</v>
      </c>
      <c r="T46" s="1411">
        <v>12.06</v>
      </c>
      <c r="U46" s="1411">
        <v>7.2</v>
      </c>
      <c r="V46" s="1411">
        <v>9.18</v>
      </c>
      <c r="W46" s="1411">
        <v>10.8</v>
      </c>
      <c r="X46" s="1411" t="s">
        <v>1058</v>
      </c>
      <c r="Y46" s="1411" t="s">
        <v>1058</v>
      </c>
      <c r="Z46" s="1411" t="s">
        <v>1058</v>
      </c>
    </row>
    <row r="47" spans="2:26">
      <c r="B47" s="1411"/>
      <c r="C47" s="1412">
        <v>38948</v>
      </c>
      <c r="D47" s="1411">
        <v>5.58</v>
      </c>
      <c r="E47" s="1411">
        <v>6.12</v>
      </c>
      <c r="F47" s="1411">
        <v>6.3</v>
      </c>
      <c r="G47" s="1411">
        <v>6.48</v>
      </c>
      <c r="H47" s="1411">
        <v>6.84</v>
      </c>
      <c r="I47" s="1411">
        <v>4.1399999999999997</v>
      </c>
      <c r="J47" s="1411">
        <v>4.59</v>
      </c>
      <c r="L47" s="1411"/>
      <c r="M47" s="1412">
        <v>34161</v>
      </c>
      <c r="N47" s="1411">
        <v>3.15</v>
      </c>
      <c r="O47" s="1411">
        <v>6.66</v>
      </c>
      <c r="P47" s="1411">
        <v>9</v>
      </c>
      <c r="Q47" s="1411">
        <v>10.98</v>
      </c>
      <c r="R47" s="1411">
        <v>11.7</v>
      </c>
      <c r="S47" s="1411">
        <v>12.24</v>
      </c>
      <c r="T47" s="1411">
        <v>13.86</v>
      </c>
      <c r="U47" s="1411">
        <v>9</v>
      </c>
      <c r="V47" s="1411">
        <v>10.98</v>
      </c>
      <c r="W47" s="1411">
        <v>12.24</v>
      </c>
      <c r="X47" s="1411" t="s">
        <v>1058</v>
      </c>
      <c r="Y47" s="1411" t="s">
        <v>1058</v>
      </c>
      <c r="Z47" s="1411" t="s">
        <v>1058</v>
      </c>
    </row>
    <row r="48" spans="2:26">
      <c r="B48" s="1411"/>
      <c r="C48" s="1412">
        <v>38835</v>
      </c>
      <c r="D48" s="1411">
        <v>5.4</v>
      </c>
      <c r="E48" s="1411">
        <v>5.85</v>
      </c>
      <c r="F48" s="1411">
        <v>6.03</v>
      </c>
      <c r="G48" s="1411">
        <v>6.12</v>
      </c>
      <c r="H48" s="1411">
        <v>6.39</v>
      </c>
      <c r="I48" s="1411">
        <v>4.1399999999999997</v>
      </c>
      <c r="J48" s="1411">
        <v>4.59</v>
      </c>
      <c r="L48" s="1411"/>
      <c r="M48" s="1412">
        <v>34104</v>
      </c>
      <c r="N48" s="1411">
        <v>2.16</v>
      </c>
      <c r="O48" s="1411">
        <v>4.8600000000000003</v>
      </c>
      <c r="P48" s="1411">
        <v>7.2</v>
      </c>
      <c r="Q48" s="1411">
        <v>9.18</v>
      </c>
      <c r="R48" s="1411">
        <v>9.9</v>
      </c>
      <c r="S48" s="1411">
        <v>10.8</v>
      </c>
      <c r="T48" s="1411">
        <v>12.06</v>
      </c>
      <c r="U48" s="1411">
        <v>7.2</v>
      </c>
      <c r="V48" s="1411">
        <v>9.18</v>
      </c>
      <c r="W48" s="1411">
        <v>10.8</v>
      </c>
      <c r="X48" s="1411" t="s">
        <v>1058</v>
      </c>
      <c r="Y48" s="1411" t="s">
        <v>1058</v>
      </c>
      <c r="Z48" s="1411" t="s">
        <v>1058</v>
      </c>
    </row>
    <row r="49" spans="2:26">
      <c r="B49" s="1411"/>
      <c r="C49" s="1412">
        <v>38428</v>
      </c>
      <c r="D49" s="1411">
        <v>5.22</v>
      </c>
      <c r="E49" s="1411">
        <v>5.58</v>
      </c>
      <c r="F49" s="1411">
        <v>5.76</v>
      </c>
      <c r="G49" s="1411">
        <v>5.85</v>
      </c>
      <c r="H49" s="1411">
        <v>6.12</v>
      </c>
      <c r="I49" s="1411">
        <v>3.96</v>
      </c>
      <c r="J49" s="1411">
        <v>4.41</v>
      </c>
      <c r="L49" s="1411"/>
      <c r="M49" s="1412">
        <v>33349</v>
      </c>
      <c r="N49" s="1411">
        <v>1.8</v>
      </c>
      <c r="O49" s="1411">
        <v>3.24</v>
      </c>
      <c r="P49" s="1411">
        <v>5.4</v>
      </c>
      <c r="Q49" s="1411">
        <v>7.56</v>
      </c>
      <c r="R49" s="1411">
        <v>7.92</v>
      </c>
      <c r="S49" s="1411">
        <v>8.2799999999999994</v>
      </c>
      <c r="T49" s="1411">
        <v>9</v>
      </c>
      <c r="U49" s="1411">
        <v>6.12</v>
      </c>
      <c r="V49" s="1411">
        <v>6.84</v>
      </c>
      <c r="W49" s="1411">
        <v>7.56</v>
      </c>
      <c r="X49" s="1411" t="s">
        <v>1058</v>
      </c>
      <c r="Y49" s="1411" t="s">
        <v>1058</v>
      </c>
      <c r="Z49" s="1411" t="s">
        <v>1058</v>
      </c>
    </row>
    <row r="50" spans="2:26">
      <c r="B50" s="1411"/>
      <c r="C50" s="1412">
        <v>38289</v>
      </c>
      <c r="D50" s="1411">
        <v>5.22</v>
      </c>
      <c r="E50" s="1411">
        <v>5.58</v>
      </c>
      <c r="F50" s="1411">
        <v>5.76</v>
      </c>
      <c r="G50" s="1411">
        <v>5.85</v>
      </c>
      <c r="H50" s="1411">
        <v>6.12</v>
      </c>
      <c r="I50" s="1411">
        <v>3.78</v>
      </c>
      <c r="J50" s="1411">
        <v>4.2300000000000004</v>
      </c>
      <c r="L50" s="1411"/>
      <c r="M50" s="1412">
        <v>33106</v>
      </c>
      <c r="N50" s="1411">
        <v>2.16</v>
      </c>
      <c r="O50" s="1411">
        <v>4.32</v>
      </c>
      <c r="P50" s="1411">
        <v>6.48</v>
      </c>
      <c r="Q50" s="1411">
        <v>8.64</v>
      </c>
      <c r="R50" s="1411">
        <v>9.36</v>
      </c>
      <c r="S50" s="1411">
        <v>10.08</v>
      </c>
      <c r="T50" s="1411">
        <v>11.52</v>
      </c>
      <c r="U50" s="1411">
        <v>7.2</v>
      </c>
      <c r="V50" s="1411">
        <v>8.64</v>
      </c>
      <c r="W50" s="1411">
        <v>10.08</v>
      </c>
      <c r="X50" s="1411" t="s">
        <v>1058</v>
      </c>
      <c r="Y50" s="1411" t="s">
        <v>1058</v>
      </c>
      <c r="Z50" s="1411" t="s">
        <v>1058</v>
      </c>
    </row>
    <row r="51" spans="2:26">
      <c r="B51" s="1411"/>
      <c r="C51" s="1412">
        <v>37308</v>
      </c>
      <c r="D51" s="1411">
        <v>5.04</v>
      </c>
      <c r="E51" s="1411">
        <v>5.31</v>
      </c>
      <c r="F51" s="1411">
        <v>5.49</v>
      </c>
      <c r="G51" s="1411">
        <v>5.58</v>
      </c>
      <c r="H51" s="1411">
        <v>5.76</v>
      </c>
      <c r="I51" s="1411">
        <v>3.6</v>
      </c>
      <c r="J51" s="1411">
        <v>4.05</v>
      </c>
      <c r="L51" s="1411"/>
      <c r="M51" s="1412">
        <v>32978</v>
      </c>
      <c r="N51" s="1411">
        <v>2.88</v>
      </c>
      <c r="O51" s="1411">
        <v>6.3</v>
      </c>
      <c r="P51" s="1411">
        <v>7.74</v>
      </c>
      <c r="Q51" s="1411">
        <v>10.08</v>
      </c>
      <c r="R51" s="1411">
        <v>10.98</v>
      </c>
      <c r="S51" s="1411">
        <v>11.88</v>
      </c>
      <c r="T51" s="1411">
        <v>13.68</v>
      </c>
      <c r="U51" s="1411" t="s">
        <v>1058</v>
      </c>
      <c r="V51" s="1411" t="s">
        <v>1058</v>
      </c>
      <c r="W51" s="1411" t="s">
        <v>1058</v>
      </c>
      <c r="X51" s="1411" t="s">
        <v>1058</v>
      </c>
      <c r="Y51" s="1411" t="s">
        <v>1058</v>
      </c>
      <c r="Z51" s="1411" t="s">
        <v>1058</v>
      </c>
    </row>
    <row r="52" spans="2:26">
      <c r="B52" s="1411"/>
      <c r="C52" s="1412">
        <v>36321</v>
      </c>
      <c r="D52" s="1411">
        <v>5.58</v>
      </c>
      <c r="E52" s="1411">
        <v>5.85</v>
      </c>
      <c r="F52" s="1411">
        <v>5.94</v>
      </c>
      <c r="G52" s="1411">
        <v>6.03</v>
      </c>
      <c r="H52" s="1411">
        <v>6.21</v>
      </c>
      <c r="I52" s="1411">
        <v>4.1399999999999997</v>
      </c>
      <c r="J52" s="1411">
        <v>4.59</v>
      </c>
      <c r="L52" s="1411"/>
      <c r="M52" s="1412"/>
      <c r="N52" s="1411"/>
      <c r="O52" s="1411"/>
      <c r="P52" s="1411"/>
      <c r="Q52" s="1411"/>
      <c r="R52" s="1411"/>
      <c r="S52" s="1411"/>
      <c r="T52" s="1411"/>
      <c r="U52" s="1411"/>
      <c r="V52" s="1411"/>
      <c r="W52" s="1411"/>
      <c r="X52" s="1411"/>
      <c r="Y52" s="1411"/>
      <c r="Z52" s="1411"/>
    </row>
    <row r="53" spans="2:26">
      <c r="B53" s="1411"/>
      <c r="C53" s="1412">
        <v>36136</v>
      </c>
      <c r="D53" s="1411">
        <v>6.12</v>
      </c>
      <c r="E53" s="1411">
        <v>6.39</v>
      </c>
      <c r="F53" s="1411">
        <v>6.66</v>
      </c>
      <c r="G53" s="1411">
        <v>7.2</v>
      </c>
      <c r="H53" s="1411">
        <v>7.56</v>
      </c>
      <c r="I53" s="1411">
        <v>0</v>
      </c>
      <c r="J53" s="1411">
        <v>0</v>
      </c>
      <c r="L53" s="1411"/>
      <c r="M53" s="1412"/>
      <c r="N53" s="1411"/>
      <c r="O53" s="1411"/>
      <c r="P53" s="1411"/>
      <c r="Q53" s="1411"/>
      <c r="R53" s="1411"/>
      <c r="S53" s="1411"/>
      <c r="T53" s="1411"/>
      <c r="U53" s="1411"/>
      <c r="V53" s="1411"/>
      <c r="W53" s="1411"/>
      <c r="X53" s="1411"/>
      <c r="Y53" s="1411"/>
      <c r="Z53" s="1411"/>
    </row>
    <row r="54" spans="2:26">
      <c r="B54" s="1411"/>
      <c r="C54" s="1412">
        <v>35977</v>
      </c>
      <c r="D54" s="1411">
        <v>6.57</v>
      </c>
      <c r="E54" s="1411">
        <v>6.93</v>
      </c>
      <c r="F54" s="1411">
        <v>7.11</v>
      </c>
      <c r="G54" s="1411">
        <v>7.65</v>
      </c>
      <c r="H54" s="1411">
        <v>8.01</v>
      </c>
      <c r="I54" s="1411">
        <v>0</v>
      </c>
      <c r="J54" s="1411">
        <v>0</v>
      </c>
      <c r="L54" s="1411"/>
      <c r="M54" s="1412"/>
      <c r="N54" s="1411"/>
      <c r="O54" s="1411"/>
      <c r="P54" s="1411"/>
      <c r="Q54" s="1411"/>
      <c r="R54" s="1411"/>
      <c r="S54" s="1411"/>
      <c r="T54" s="1411"/>
      <c r="U54" s="1411"/>
      <c r="V54" s="1411"/>
      <c r="W54" s="1411"/>
      <c r="X54" s="1411"/>
      <c r="Y54" s="1411"/>
      <c r="Z54" s="1411"/>
    </row>
    <row r="55" spans="2:26">
      <c r="B55" s="1411"/>
      <c r="C55" s="1412">
        <v>35879</v>
      </c>
      <c r="D55" s="1411">
        <v>7.02</v>
      </c>
      <c r="E55" s="1411">
        <v>7.92</v>
      </c>
      <c r="F55" s="1411">
        <v>9</v>
      </c>
      <c r="G55" s="1411">
        <v>9.7200000000000006</v>
      </c>
      <c r="H55" s="1411">
        <v>10.35</v>
      </c>
      <c r="I55" s="1411">
        <v>0</v>
      </c>
      <c r="J55" s="1411">
        <v>0</v>
      </c>
      <c r="L55" s="1411"/>
      <c r="M55" s="1412"/>
      <c r="N55" s="1411"/>
      <c r="O55" s="1411"/>
      <c r="P55" s="1411"/>
      <c r="Q55" s="1411"/>
      <c r="R55" s="1411"/>
      <c r="S55" s="1411"/>
      <c r="T55" s="1411"/>
      <c r="U55" s="1411"/>
      <c r="V55" s="1411"/>
      <c r="W55" s="1411"/>
      <c r="X55" s="1411"/>
      <c r="Y55" s="1411"/>
      <c r="Z55" s="1411"/>
    </row>
    <row r="56" spans="2:26">
      <c r="B56" s="1411"/>
      <c r="C56" s="1412">
        <v>35726</v>
      </c>
      <c r="D56" s="1411">
        <v>7.65</v>
      </c>
      <c r="E56" s="1411">
        <v>8.64</v>
      </c>
      <c r="F56" s="1411">
        <v>9.36</v>
      </c>
      <c r="G56" s="1411">
        <v>9.9</v>
      </c>
      <c r="H56" s="1411">
        <v>10.53</v>
      </c>
      <c r="I56" s="1411">
        <v>0</v>
      </c>
      <c r="J56" s="1411">
        <v>0</v>
      </c>
      <c r="L56" s="1411"/>
      <c r="M56" s="1412"/>
      <c r="N56" s="1411"/>
      <c r="O56" s="1411"/>
      <c r="P56" s="1411"/>
      <c r="Q56" s="1411"/>
      <c r="R56" s="1411"/>
      <c r="S56" s="1411"/>
      <c r="T56" s="1411"/>
      <c r="U56" s="1411"/>
      <c r="V56" s="1411"/>
      <c r="W56" s="1411"/>
      <c r="X56" s="1411"/>
      <c r="Y56" s="1411"/>
      <c r="Z56" s="1411"/>
    </row>
    <row r="57" spans="2:26">
      <c r="B57" s="1411"/>
      <c r="C57" s="1412">
        <v>35300</v>
      </c>
      <c r="D57" s="1411">
        <v>9.18</v>
      </c>
      <c r="E57" s="1411">
        <v>10.08</v>
      </c>
      <c r="F57" s="1411">
        <v>10.98</v>
      </c>
      <c r="G57" s="1411">
        <v>11.7</v>
      </c>
      <c r="H57" s="1411">
        <v>12.42</v>
      </c>
      <c r="I57" s="1411">
        <v>0</v>
      </c>
      <c r="J57" s="1411">
        <v>0</v>
      </c>
      <c r="L57" s="1411"/>
      <c r="M57" s="1412"/>
      <c r="N57" s="1411"/>
      <c r="O57" s="1411"/>
      <c r="P57" s="1411"/>
      <c r="Q57" s="1411"/>
      <c r="R57" s="1411"/>
      <c r="S57" s="1411"/>
      <c r="T57" s="1411"/>
      <c r="U57" s="1411"/>
      <c r="V57" s="1411"/>
      <c r="W57" s="1411"/>
      <c r="X57" s="1411"/>
      <c r="Y57" s="1411"/>
      <c r="Z57" s="1411"/>
    </row>
    <row r="58" spans="2:26">
      <c r="B58" s="1411"/>
      <c r="C58" s="1412">
        <v>35186</v>
      </c>
      <c r="D58" s="1411">
        <v>9.7200000000000006</v>
      </c>
      <c r="E58" s="1411">
        <v>10.98</v>
      </c>
      <c r="F58" s="1411">
        <v>13.14</v>
      </c>
      <c r="G58" s="1411">
        <v>14.94</v>
      </c>
      <c r="H58" s="1411">
        <v>15.12</v>
      </c>
      <c r="I58" s="1411">
        <v>0</v>
      </c>
      <c r="J58" s="1411">
        <v>0</v>
      </c>
    </row>
    <row r="59" spans="2:26">
      <c r="B59" s="1411"/>
      <c r="C59" s="1412">
        <v>34881</v>
      </c>
      <c r="D59" s="1411">
        <v>10.08</v>
      </c>
      <c r="E59" s="1411">
        <v>12.06</v>
      </c>
      <c r="F59" s="1411">
        <v>13.5</v>
      </c>
      <c r="G59" s="1411">
        <v>15.12</v>
      </c>
      <c r="H59" s="1411">
        <v>15.3</v>
      </c>
      <c r="I59" s="1411">
        <v>0</v>
      </c>
      <c r="J59" s="1411">
        <v>0</v>
      </c>
    </row>
    <row r="60" spans="2:26">
      <c r="B60" s="1411"/>
      <c r="C60" s="1412">
        <v>34700</v>
      </c>
      <c r="D60" s="1411">
        <v>9</v>
      </c>
      <c r="E60" s="1411">
        <v>10.98</v>
      </c>
      <c r="F60" s="1411">
        <v>12.96</v>
      </c>
      <c r="G60" s="1411">
        <v>14.58</v>
      </c>
      <c r="H60" s="1411">
        <v>14.76</v>
      </c>
      <c r="I60" s="1411">
        <v>0</v>
      </c>
      <c r="J60" s="1411">
        <v>0</v>
      </c>
    </row>
    <row r="61" spans="2:26">
      <c r="B61" s="1411"/>
      <c r="C61" s="1412">
        <v>34161</v>
      </c>
      <c r="D61" s="1411">
        <v>9</v>
      </c>
      <c r="E61" s="1411">
        <v>10.98</v>
      </c>
      <c r="F61" s="1411">
        <v>12.24</v>
      </c>
      <c r="G61" s="1411">
        <v>13.86</v>
      </c>
      <c r="H61" s="1411">
        <v>14.04</v>
      </c>
      <c r="I61" s="1411">
        <v>0</v>
      </c>
      <c r="J61" s="1411">
        <v>0</v>
      </c>
    </row>
    <row r="62" spans="2:26">
      <c r="B62" s="1411"/>
      <c r="C62" s="1412">
        <v>34104</v>
      </c>
      <c r="D62" s="1411">
        <v>8.82</v>
      </c>
      <c r="E62" s="1411">
        <v>9.36</v>
      </c>
      <c r="F62" s="1411">
        <v>10.8</v>
      </c>
      <c r="G62" s="1411">
        <v>12.06</v>
      </c>
      <c r="H62" s="1411">
        <v>12.24</v>
      </c>
      <c r="I62" s="1411">
        <v>0</v>
      </c>
      <c r="J62" s="1411">
        <v>0</v>
      </c>
    </row>
    <row r="63" spans="2:26">
      <c r="B63" s="1411"/>
      <c r="C63" s="1412">
        <v>33349</v>
      </c>
      <c r="D63" s="1411">
        <v>8.1</v>
      </c>
      <c r="E63" s="1411">
        <v>8.64</v>
      </c>
      <c r="F63" s="1411">
        <v>9</v>
      </c>
      <c r="G63" s="1411">
        <v>9.5399999999999991</v>
      </c>
      <c r="H63" s="1411">
        <v>9.7200000000000006</v>
      </c>
      <c r="I63" s="1411">
        <v>0</v>
      </c>
      <c r="J63" s="1411">
        <v>0</v>
      </c>
    </row>
    <row r="64" spans="2:26">
      <c r="B64" s="1411"/>
      <c r="C64" s="1412">
        <v>33318</v>
      </c>
      <c r="D64" s="1411">
        <v>9</v>
      </c>
      <c r="E64" s="1411">
        <v>10.08</v>
      </c>
      <c r="F64" s="1411">
        <v>10.8</v>
      </c>
      <c r="G64" s="1411">
        <v>11.52</v>
      </c>
      <c r="H64" s="1411">
        <v>11.88</v>
      </c>
      <c r="I64" s="1411" t="s">
        <v>1058</v>
      </c>
      <c r="J64" s="1411" t="s">
        <v>1058</v>
      </c>
    </row>
    <row r="65" spans="2:10">
      <c r="B65" s="1411"/>
      <c r="C65" s="1412">
        <v>33106</v>
      </c>
      <c r="D65" s="1411">
        <v>8.64</v>
      </c>
      <c r="E65" s="1411">
        <v>9.36</v>
      </c>
      <c r="F65" s="1411">
        <v>10.08</v>
      </c>
      <c r="G65" s="1411">
        <v>10.8</v>
      </c>
      <c r="H65" s="1411">
        <v>11.16</v>
      </c>
      <c r="I65" s="1411">
        <v>0</v>
      </c>
      <c r="J65" s="1411">
        <v>0</v>
      </c>
    </row>
    <row r="66" spans="2:10">
      <c r="B66" s="1411"/>
      <c r="C66" s="1412">
        <v>32540</v>
      </c>
      <c r="D66" s="1411">
        <v>11.34</v>
      </c>
      <c r="E66" s="1411">
        <v>11.34</v>
      </c>
      <c r="F66" s="1411">
        <v>12.78</v>
      </c>
      <c r="G66" s="1411">
        <v>14.4</v>
      </c>
      <c r="H66" s="1411">
        <v>19.260000000000002</v>
      </c>
      <c r="I66" s="1411">
        <v>0</v>
      </c>
      <c r="J66" s="1411">
        <v>0</v>
      </c>
    </row>
    <row r="67" spans="2:10">
      <c r="B67" s="1411"/>
      <c r="C67" s="1412"/>
      <c r="D67" s="1411"/>
      <c r="E67" s="1411"/>
      <c r="F67" s="1411"/>
      <c r="G67" s="1411"/>
      <c r="H67" s="1411"/>
      <c r="I67" s="1411"/>
      <c r="J67" s="1411"/>
    </row>
    <row r="68" spans="2:10">
      <c r="B68" s="1414"/>
      <c r="C68" s="1415"/>
      <c r="D68" s="1414"/>
      <c r="E68" s="1414"/>
      <c r="F68" s="1414"/>
      <c r="G68" s="1414"/>
      <c r="H68" s="1414"/>
      <c r="I68" s="1414"/>
      <c r="J68" s="1414"/>
    </row>
    <row r="69" spans="2:10">
      <c r="B69" s="1414"/>
      <c r="C69" s="1415"/>
      <c r="D69" s="1414"/>
      <c r="E69" s="1414"/>
      <c r="F69" s="1414"/>
      <c r="G69" s="1414"/>
      <c r="H69" s="1414"/>
      <c r="I69" s="1414"/>
      <c r="J69" s="1414"/>
    </row>
    <row r="70" spans="2:10">
      <c r="B70" s="1414"/>
      <c r="C70" s="1415"/>
      <c r="D70" s="1414"/>
      <c r="E70" s="1414"/>
      <c r="F70" s="1414"/>
      <c r="G70" s="1414"/>
      <c r="H70" s="1414"/>
      <c r="I70" s="1414"/>
      <c r="J70" s="1414"/>
    </row>
    <row r="71" spans="2:10">
      <c r="B71" s="1363"/>
      <c r="C71" s="1363"/>
      <c r="D71" s="1363"/>
      <c r="E71" s="1363"/>
      <c r="F71" s="1363"/>
      <c r="G71" s="1363"/>
      <c r="H71" s="1363"/>
      <c r="I71" s="1363"/>
      <c r="J71" s="1363"/>
    </row>
    <row r="72" spans="2:10">
      <c r="B72" s="1363"/>
      <c r="C72" s="1363"/>
      <c r="D72" s="1363"/>
      <c r="E72" s="1363"/>
      <c r="F72" s="1363"/>
      <c r="G72" s="1363"/>
      <c r="H72" s="1363"/>
      <c r="I72" s="1363"/>
      <c r="J72" s="1363"/>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9" t="s">
        <v>1097</v>
      </c>
      <c r="E1" s="1463" t="s">
        <v>1101</v>
      </c>
      <c r="F1" s="1464" t="s">
        <v>1105</v>
      </c>
    </row>
    <row r="2" spans="1:13" ht="20.25">
      <c r="A2" s="1470" t="s">
        <v>1098</v>
      </c>
    </row>
    <row r="3" spans="1:13" ht="16.5">
      <c r="A3" s="1471" t="s">
        <v>1099</v>
      </c>
    </row>
    <row r="4" spans="1:13" ht="14.25">
      <c r="A4" s="1461" t="s">
        <v>1100</v>
      </c>
      <c r="B4" s="1466" t="s">
        <v>1102</v>
      </c>
      <c r="C4" s="1467"/>
      <c r="D4" s="1468"/>
      <c r="E4" s="1466" t="s">
        <v>27</v>
      </c>
      <c r="F4" s="1467"/>
      <c r="G4" s="1468"/>
      <c r="H4" s="1466" t="s">
        <v>1103</v>
      </c>
      <c r="I4" s="1467"/>
      <c r="J4" s="1468"/>
      <c r="K4" s="1466" t="s">
        <v>6</v>
      </c>
      <c r="L4" s="1467"/>
      <c r="M4" s="1468"/>
    </row>
    <row r="5" spans="1:13" ht="14.25">
      <c r="A5" s="1462" t="s">
        <v>1104</v>
      </c>
      <c r="B5" s="1461" t="s">
        <v>1106</v>
      </c>
      <c r="C5" s="1461" t="s">
        <v>1107</v>
      </c>
      <c r="D5" s="1461" t="s">
        <v>1108</v>
      </c>
      <c r="E5" s="1461" t="s">
        <v>1106</v>
      </c>
      <c r="F5" s="1461" t="s">
        <v>1107</v>
      </c>
      <c r="G5" s="1461" t="s">
        <v>1108</v>
      </c>
      <c r="H5" s="1461" t="s">
        <v>1106</v>
      </c>
      <c r="I5" s="1461" t="s">
        <v>1107</v>
      </c>
      <c r="J5" s="1461" t="s">
        <v>1108</v>
      </c>
      <c r="K5" s="1461" t="s">
        <v>1106</v>
      </c>
      <c r="L5" s="1461" t="s">
        <v>1107</v>
      </c>
      <c r="M5" s="1461" t="s">
        <v>1108</v>
      </c>
    </row>
    <row r="6" spans="1:13" ht="14.25">
      <c r="A6" s="1465" t="s">
        <v>211</v>
      </c>
      <c r="B6" s="1472">
        <v>26980</v>
      </c>
      <c r="C6" s="1472">
        <v>32980</v>
      </c>
      <c r="D6" s="1472">
        <v>29980</v>
      </c>
      <c r="E6" s="1472">
        <v>26170</v>
      </c>
      <c r="F6" s="1472">
        <v>31990</v>
      </c>
      <c r="G6" s="1472">
        <v>29080</v>
      </c>
      <c r="H6" s="1472">
        <v>25850</v>
      </c>
      <c r="I6" s="1472">
        <v>31590</v>
      </c>
      <c r="J6" s="1472">
        <v>28720</v>
      </c>
      <c r="K6" s="1472">
        <v>9860</v>
      </c>
      <c r="L6" s="1473">
        <v>13340</v>
      </c>
      <c r="M6" s="1472">
        <v>11600</v>
      </c>
    </row>
    <row r="7" spans="1:13" ht="14.25">
      <c r="A7" s="1465" t="s">
        <v>268</v>
      </c>
      <c r="B7" s="1472">
        <v>21970</v>
      </c>
      <c r="C7" s="1472">
        <v>28730</v>
      </c>
      <c r="D7" s="1472">
        <v>25350</v>
      </c>
      <c r="E7" s="1472">
        <v>21480</v>
      </c>
      <c r="F7" s="1472">
        <v>28080</v>
      </c>
      <c r="G7" s="1472">
        <v>24780</v>
      </c>
      <c r="H7" s="1472">
        <v>21250</v>
      </c>
      <c r="I7" s="1472">
        <v>27790</v>
      </c>
      <c r="J7" s="1472">
        <v>24520</v>
      </c>
      <c r="K7" s="1472">
        <v>6660</v>
      </c>
      <c r="L7" s="1473">
        <v>10000</v>
      </c>
      <c r="M7" s="1472">
        <v>8330</v>
      </c>
    </row>
    <row r="8" spans="1:13" ht="14.25">
      <c r="A8" s="1465" t="s">
        <v>441</v>
      </c>
      <c r="B8" s="1472">
        <v>17430</v>
      </c>
      <c r="C8" s="1472">
        <v>24410</v>
      </c>
      <c r="D8" s="1472">
        <v>20920</v>
      </c>
      <c r="E8" s="1472">
        <v>17140</v>
      </c>
      <c r="F8" s="1472">
        <v>24000</v>
      </c>
      <c r="G8" s="1472">
        <v>20570</v>
      </c>
      <c r="H8" s="1472">
        <v>16990</v>
      </c>
      <c r="I8" s="1472">
        <v>23790</v>
      </c>
      <c r="J8" s="1472">
        <v>20390</v>
      </c>
      <c r="K8" s="1472">
        <v>4530</v>
      </c>
      <c r="L8" s="1473">
        <v>6790</v>
      </c>
      <c r="M8" s="1472">
        <v>5660</v>
      </c>
    </row>
    <row r="9" spans="1:13" ht="14.25">
      <c r="A9" s="1465" t="s">
        <v>137</v>
      </c>
      <c r="B9" s="1472">
        <v>13330</v>
      </c>
      <c r="C9" s="1472">
        <v>19990</v>
      </c>
      <c r="D9" s="1472">
        <v>16660</v>
      </c>
      <c r="E9" s="1472">
        <v>13160</v>
      </c>
      <c r="F9" s="1472">
        <v>19740</v>
      </c>
      <c r="G9" s="1472">
        <v>16450</v>
      </c>
      <c r="H9" s="1472">
        <v>13060</v>
      </c>
      <c r="I9" s="1472">
        <v>19600</v>
      </c>
      <c r="J9" s="1472">
        <v>16330</v>
      </c>
      <c r="K9" s="1472">
        <v>3090</v>
      </c>
      <c r="L9" s="1473">
        <v>4650</v>
      </c>
      <c r="M9" s="1472">
        <v>3870</v>
      </c>
    </row>
    <row r="10" spans="1:13" ht="14.25">
      <c r="A10" s="1465" t="s">
        <v>522</v>
      </c>
      <c r="B10" s="1472">
        <v>10420</v>
      </c>
      <c r="C10" s="1472">
        <v>15620</v>
      </c>
      <c r="D10" s="1472">
        <v>13020</v>
      </c>
      <c r="E10" s="1472">
        <v>10310</v>
      </c>
      <c r="F10" s="1472">
        <v>15470</v>
      </c>
      <c r="G10" s="1472">
        <v>12890</v>
      </c>
      <c r="H10" s="1472">
        <v>10250</v>
      </c>
      <c r="I10" s="1472">
        <v>15370</v>
      </c>
      <c r="J10" s="1472">
        <v>12810</v>
      </c>
      <c r="K10" s="1472">
        <v>2140</v>
      </c>
      <c r="L10" s="1473">
        <v>3200</v>
      </c>
      <c r="M10" s="1472">
        <v>2670</v>
      </c>
    </row>
    <row r="11" spans="1:13" ht="14.25">
      <c r="A11" s="1465" t="s">
        <v>56</v>
      </c>
      <c r="B11" s="1472">
        <v>8130</v>
      </c>
      <c r="C11" s="1472">
        <v>12190</v>
      </c>
      <c r="D11" s="1472">
        <v>10160</v>
      </c>
      <c r="E11" s="1472">
        <v>8060</v>
      </c>
      <c r="F11" s="1472">
        <v>12080</v>
      </c>
      <c r="G11" s="1472">
        <v>10070</v>
      </c>
      <c r="H11" s="1472">
        <v>8010</v>
      </c>
      <c r="I11" s="1472">
        <v>12010</v>
      </c>
      <c r="J11" s="1472">
        <v>10010</v>
      </c>
      <c r="K11" s="1472">
        <v>1490</v>
      </c>
      <c r="L11" s="1473">
        <v>2250</v>
      </c>
      <c r="M11" s="1472">
        <v>1870</v>
      </c>
    </row>
    <row r="12" spans="1:13" ht="14.25">
      <c r="A12" s="1465" t="s">
        <v>525</v>
      </c>
      <c r="B12" s="1472">
        <v>5940</v>
      </c>
      <c r="C12" s="1472">
        <v>8900</v>
      </c>
      <c r="D12" s="1472">
        <v>7420</v>
      </c>
      <c r="E12" s="1472">
        <v>5880</v>
      </c>
      <c r="F12" s="1472">
        <v>8820</v>
      </c>
      <c r="G12" s="1472">
        <v>7350</v>
      </c>
      <c r="H12" s="1472">
        <v>5840</v>
      </c>
      <c r="I12" s="1472">
        <v>8760</v>
      </c>
      <c r="J12" s="1472">
        <v>7300</v>
      </c>
      <c r="K12" s="1472">
        <v>1060</v>
      </c>
      <c r="L12" s="1473">
        <v>1600</v>
      </c>
      <c r="M12" s="1472">
        <v>1330</v>
      </c>
    </row>
    <row r="13" spans="1:13" ht="14.25">
      <c r="A13" s="1465" t="s">
        <v>527</v>
      </c>
      <c r="B13" s="1472">
        <v>3970</v>
      </c>
      <c r="C13" s="1472">
        <v>6330</v>
      </c>
      <c r="D13" s="1472">
        <v>5150</v>
      </c>
      <c r="E13" s="1472">
        <v>3920</v>
      </c>
      <c r="F13" s="1472">
        <v>6260</v>
      </c>
      <c r="G13" s="1472">
        <v>5090</v>
      </c>
      <c r="H13" s="1472">
        <v>3890</v>
      </c>
      <c r="I13" s="1472">
        <v>6210</v>
      </c>
      <c r="J13" s="1472">
        <v>5050</v>
      </c>
      <c r="K13" s="1472">
        <v>780</v>
      </c>
      <c r="L13" s="1473">
        <v>1160</v>
      </c>
      <c r="M13" s="1472">
        <v>970</v>
      </c>
    </row>
    <row r="14" spans="1:13" ht="14.25">
      <c r="A14" s="1465" t="s">
        <v>529</v>
      </c>
      <c r="B14" s="1472">
        <v>2680</v>
      </c>
      <c r="C14" s="1472">
        <v>4280</v>
      </c>
      <c r="D14" s="1472">
        <v>3480</v>
      </c>
      <c r="E14" s="1472">
        <v>2640</v>
      </c>
      <c r="F14" s="1472">
        <v>4220</v>
      </c>
      <c r="G14" s="1472">
        <v>3430</v>
      </c>
      <c r="H14" s="1472">
        <v>2620</v>
      </c>
      <c r="I14" s="1472">
        <v>4180</v>
      </c>
      <c r="J14" s="1472">
        <v>3400</v>
      </c>
      <c r="K14" s="1472">
        <v>580</v>
      </c>
      <c r="L14" s="1473">
        <v>880</v>
      </c>
      <c r="M14" s="1472">
        <v>730</v>
      </c>
    </row>
    <row r="15" spans="1:13" ht="14.25">
      <c r="A15" s="1465" t="s">
        <v>533</v>
      </c>
      <c r="B15" s="1472">
        <v>1700</v>
      </c>
      <c r="C15" s="1472">
        <v>2840</v>
      </c>
      <c r="D15" s="1472">
        <v>2270</v>
      </c>
      <c r="E15" s="1472">
        <v>1670</v>
      </c>
      <c r="F15" s="1472">
        <v>2790</v>
      </c>
      <c r="G15" s="1472">
        <v>2230</v>
      </c>
      <c r="H15" s="1472">
        <v>1650</v>
      </c>
      <c r="I15" s="1472">
        <v>2750</v>
      </c>
      <c r="J15" s="1472">
        <v>2200</v>
      </c>
      <c r="K15" s="1472">
        <v>450</v>
      </c>
      <c r="L15" s="1473">
        <v>670</v>
      </c>
      <c r="M15" s="1472">
        <v>560</v>
      </c>
    </row>
    <row r="16" spans="1:13" ht="14.25">
      <c r="A16" s="1465" t="s">
        <v>633</v>
      </c>
      <c r="B16" s="1472">
        <v>1070</v>
      </c>
      <c r="C16" s="1472">
        <v>1790</v>
      </c>
      <c r="D16" s="1472">
        <v>1430</v>
      </c>
      <c r="E16" s="1472">
        <v>1050</v>
      </c>
      <c r="F16" s="1472">
        <v>1750</v>
      </c>
      <c r="G16" s="1472">
        <v>1400</v>
      </c>
      <c r="H16" s="1472">
        <v>1030</v>
      </c>
      <c r="I16" s="1472">
        <v>1730</v>
      </c>
      <c r="J16" s="1472">
        <v>1380</v>
      </c>
      <c r="K16" s="1472">
        <v>350</v>
      </c>
      <c r="L16" s="1473">
        <v>530</v>
      </c>
      <c r="M16" s="1472">
        <v>440</v>
      </c>
    </row>
    <row r="17" spans="1:13" ht="14.25">
      <c r="A17" s="1465" t="s">
        <v>634</v>
      </c>
      <c r="B17" s="1472">
        <v>680</v>
      </c>
      <c r="C17" s="1472">
        <v>1120</v>
      </c>
      <c r="D17" s="1472">
        <v>900</v>
      </c>
      <c r="E17" s="1472">
        <v>650</v>
      </c>
      <c r="F17" s="1472">
        <v>1090</v>
      </c>
      <c r="G17" s="1472">
        <v>870</v>
      </c>
      <c r="H17" s="1472">
        <v>630</v>
      </c>
      <c r="I17" s="1472">
        <v>1070</v>
      </c>
      <c r="J17" s="1472">
        <v>850</v>
      </c>
      <c r="K17" s="1472">
        <v>280</v>
      </c>
      <c r="L17" s="1473">
        <v>420</v>
      </c>
      <c r="M17" s="1472">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P8"/>
  <sheetViews>
    <sheetView workbookViewId="0">
      <selection activeCell="O15" sqref="O15"/>
    </sheetView>
  </sheetViews>
  <sheetFormatPr defaultRowHeight="13.5"/>
  <sheetData>
    <row r="1" spans="13:16">
      <c r="N1" s="3579" t="s">
        <v>3197</v>
      </c>
      <c r="O1" s="3579" t="s">
        <v>3196</v>
      </c>
      <c r="P1" s="3579"/>
    </row>
    <row r="2" spans="13:16">
      <c r="M2" s="3579" t="s">
        <v>3195</v>
      </c>
      <c r="O2">
        <v>3.64</v>
      </c>
    </row>
    <row r="3" spans="13:16">
      <c r="M3" s="3579" t="s">
        <v>3198</v>
      </c>
      <c r="O3">
        <v>4.8</v>
      </c>
    </row>
    <row r="4" spans="13:16">
      <c r="M4" s="3579" t="s">
        <v>3199</v>
      </c>
      <c r="O4">
        <v>5</v>
      </c>
    </row>
    <row r="5" spans="13:16">
      <c r="M5" s="3579" t="s">
        <v>3200</v>
      </c>
      <c r="O5">
        <v>6.78</v>
      </c>
    </row>
    <row r="6" spans="13:16">
      <c r="M6" s="3579" t="s">
        <v>3201</v>
      </c>
      <c r="O6">
        <v>4.78</v>
      </c>
    </row>
    <row r="7" spans="13:16">
      <c r="M7" s="3579" t="s">
        <v>3202</v>
      </c>
      <c r="O7">
        <v>5.29</v>
      </c>
    </row>
    <row r="8" spans="13:16">
      <c r="M8" s="3579" t="s">
        <v>3203</v>
      </c>
      <c r="O8">
        <v>4.7699999999999996</v>
      </c>
    </row>
  </sheetData>
  <phoneticPr fontId="140"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3" customWidth="1"/>
    <col min="2" max="9" width="12.125" style="1613" customWidth="1"/>
    <col min="10" max="16384" width="9" style="1613"/>
  </cols>
  <sheetData>
    <row r="1" spans="1:9" ht="18.75" thickBot="1">
      <c r="A1" s="3243" t="str">
        <f>IF(项目基本情况!B9="房地产市场价值","估价结果一览表","结果表-2")</f>
        <v>结果表-2</v>
      </c>
      <c r="B1" s="3243"/>
      <c r="C1" s="3243"/>
      <c r="D1" s="3243"/>
      <c r="E1" s="3243"/>
      <c r="F1" s="3243"/>
      <c r="G1" s="3243"/>
      <c r="H1" s="3243"/>
      <c r="I1" s="3243"/>
    </row>
    <row r="2" spans="1:9" ht="30" customHeight="1" thickTop="1">
      <c r="A2" s="3244" t="s">
        <v>1364</v>
      </c>
      <c r="B2" s="3244" t="s">
        <v>1365</v>
      </c>
      <c r="C2" s="3244" t="s">
        <v>1366</v>
      </c>
      <c r="D2" s="3244" t="str">
        <f>结果表!D116</f>
        <v>出让国有建设用地使用权价值</v>
      </c>
      <c r="E2" s="3244"/>
      <c r="F2" s="3244" t="str">
        <f>结果表!F116</f>
        <v>在建建筑物价值</v>
      </c>
      <c r="G2" s="3244"/>
      <c r="H2" s="3244" t="str">
        <f>IF(项目基本情况!B9="房地产市场价值","房地产市场价值","房地产价值")</f>
        <v>房地产价值</v>
      </c>
      <c r="I2" s="3244"/>
    </row>
    <row r="3" spans="1:9" ht="15">
      <c r="A3" s="3245"/>
      <c r="B3" s="3245"/>
      <c r="C3" s="3245"/>
      <c r="D3" s="944" t="s">
        <v>1361</v>
      </c>
      <c r="E3" s="944" t="s">
        <v>1367</v>
      </c>
      <c r="F3" s="944" t="s">
        <v>1361</v>
      </c>
      <c r="G3" s="944" t="s">
        <v>1362</v>
      </c>
      <c r="H3" s="944" t="s">
        <v>1361</v>
      </c>
      <c r="I3" s="944" t="s">
        <v>1362</v>
      </c>
    </row>
    <row r="4" spans="1:9" ht="15">
      <c r="A4" s="1641" t="str">
        <f>项目基本情况!S2</f>
        <v>北京市房地产</v>
      </c>
      <c r="B4" s="944">
        <f>项目基本情况!C17</f>
        <v>6531.86</v>
      </c>
      <c r="C4" s="944">
        <f>项目基本情况!C18</f>
        <v>0</v>
      </c>
      <c r="D4" s="944">
        <f ca="1">结果表!D118</f>
        <v>16383</v>
      </c>
      <c r="E4" s="944">
        <f ca="1">结果表!E118</f>
        <v>25082</v>
      </c>
      <c r="F4" s="944">
        <f ca="1">结果表!F118</f>
        <v>1680</v>
      </c>
      <c r="G4" s="944">
        <f ca="1">结果表!G118</f>
        <v>2572</v>
      </c>
      <c r="H4" s="944">
        <f ca="1">结果表!H118</f>
        <v>18063</v>
      </c>
      <c r="I4" s="944">
        <f ca="1">结果表!I118</f>
        <v>27654</v>
      </c>
    </row>
    <row r="5" spans="1:9" ht="30" customHeight="1">
      <c r="A5" s="3245" t="s">
        <v>1363</v>
      </c>
      <c r="B5" s="3245"/>
      <c r="C5" s="3245"/>
      <c r="D5" s="3246" t="str">
        <f ca="1">结果表!D119</f>
        <v>壹亿陆仟叁佰捌拾叁万元整</v>
      </c>
      <c r="E5" s="3246"/>
      <c r="F5" s="3246" t="str">
        <f ca="1">结果表!F119</f>
        <v>壹仟陆佰捌拾万元整</v>
      </c>
      <c r="G5" s="3246"/>
      <c r="H5" s="3246" t="str">
        <f ca="1">结果表!H119</f>
        <v>壹亿捌仟零陆拾叁万元整</v>
      </c>
      <c r="I5" s="3246"/>
    </row>
    <row r="6" spans="1:9" ht="15.75">
      <c r="A6" s="3247" t="str">
        <f>结果表!A120</f>
        <v>估价师知悉的法定优先受偿款</v>
      </c>
      <c r="B6" s="3247"/>
      <c r="C6" s="3247"/>
      <c r="D6" s="3247">
        <f>结果表!D120</f>
        <v>3208</v>
      </c>
      <c r="E6" s="3247"/>
      <c r="F6" s="3247"/>
      <c r="G6" s="3247"/>
      <c r="H6" s="3247"/>
      <c r="I6" s="3247"/>
    </row>
    <row r="7" spans="1:9" ht="15">
      <c r="A7" s="3245" t="s">
        <v>1363</v>
      </c>
      <c r="B7" s="3245"/>
      <c r="C7" s="3245"/>
      <c r="D7" s="3248" t="str">
        <f>结果表!D121</f>
        <v>叁仟贰佰零捌万元整</v>
      </c>
      <c r="E7" s="3249"/>
      <c r="F7" s="3249"/>
      <c r="G7" s="3249"/>
      <c r="H7" s="3249"/>
      <c r="I7" s="3250"/>
    </row>
    <row r="8" spans="1:9" ht="15.75">
      <c r="A8" s="3247" t="str">
        <f>结果表!A122</f>
        <v>房地产抵押价值</v>
      </c>
      <c r="B8" s="3247"/>
      <c r="C8" s="3247"/>
      <c r="D8" s="3247">
        <f ca="1">结果表!D122</f>
        <v>14855</v>
      </c>
      <c r="E8" s="3247"/>
      <c r="F8" s="3247"/>
      <c r="G8" s="3247"/>
      <c r="H8" s="3247"/>
      <c r="I8" s="3247"/>
    </row>
    <row r="9" spans="1:9" ht="15">
      <c r="A9" s="3245" t="s">
        <v>1363</v>
      </c>
      <c r="B9" s="3245"/>
      <c r="C9" s="3245"/>
      <c r="D9" s="3246" t="str">
        <f ca="1">结果表!D123</f>
        <v>壹亿肆仟捌佰伍拾伍万元整</v>
      </c>
      <c r="E9" s="3246"/>
      <c r="F9" s="3246"/>
      <c r="G9" s="3246"/>
      <c r="H9" s="3246"/>
      <c r="I9" s="3246"/>
    </row>
    <row r="10" spans="1:9" ht="15.75">
      <c r="A10" s="3247" t="str">
        <f>结果表!A124</f>
        <v/>
      </c>
      <c r="B10" s="3247"/>
      <c r="C10" s="3247"/>
      <c r="D10" s="3247" t="str">
        <f>结果表!D124</f>
        <v>——</v>
      </c>
      <c r="E10" s="3247"/>
      <c r="F10" s="3247"/>
      <c r="G10" s="3247"/>
      <c r="H10" s="3247"/>
      <c r="I10" s="3247"/>
    </row>
    <row r="11" spans="1:9" ht="15">
      <c r="A11" s="3245" t="s">
        <v>1363</v>
      </c>
      <c r="B11" s="3245"/>
      <c r="C11" s="3245"/>
      <c r="D11" s="3246" t="e">
        <f>结果表!D125</f>
        <v>#VALUE!</v>
      </c>
      <c r="E11" s="3246"/>
      <c r="F11" s="3246"/>
      <c r="G11" s="3246"/>
      <c r="H11" s="3246"/>
      <c r="I11" s="3246"/>
    </row>
    <row r="12" spans="1:9" ht="15.75">
      <c r="A12" s="3247" t="str">
        <f>结果表!A126</f>
        <v/>
      </c>
      <c r="B12" s="3247"/>
      <c r="C12" s="3247"/>
      <c r="D12" s="3247" t="str">
        <f>结果表!D126</f>
        <v>——</v>
      </c>
      <c r="E12" s="3247"/>
      <c r="F12" s="3247"/>
      <c r="G12" s="3247"/>
      <c r="H12" s="3247"/>
      <c r="I12" s="3247"/>
    </row>
    <row r="13" spans="1:9" ht="15.75" thickBot="1">
      <c r="A13" s="3251" t="s">
        <v>1363</v>
      </c>
      <c r="B13" s="3251"/>
      <c r="C13" s="3251"/>
      <c r="D13" s="3252" t="e">
        <f>结果表!D127</f>
        <v>#VALUE!</v>
      </c>
      <c r="E13" s="3252"/>
      <c r="F13" s="3252"/>
      <c r="G13" s="3252"/>
      <c r="H13" s="3252"/>
      <c r="I13" s="3252"/>
    </row>
    <row r="14" spans="1:9" ht="15" thickTop="1">
      <c r="A14" s="3253" t="s">
        <v>1368</v>
      </c>
      <c r="B14" s="3253"/>
      <c r="C14" s="3253"/>
      <c r="D14" s="3253"/>
      <c r="E14" s="3253"/>
      <c r="F14" s="3253"/>
      <c r="G14" s="3253"/>
      <c r="H14" s="3253"/>
      <c r="I14" s="3253"/>
    </row>
    <row r="16" spans="1:9" ht="18.75">
      <c r="A16" s="1642" t="s">
        <v>1351</v>
      </c>
      <c r="B16" s="1625"/>
      <c r="C16" s="1625"/>
      <c r="D16" s="1625"/>
      <c r="E16" s="1625"/>
      <c r="F16" s="1625"/>
      <c r="G16" s="1625"/>
      <c r="H16" s="1625"/>
      <c r="I16" s="1625"/>
    </row>
    <row r="17" spans="1:9">
      <c r="A17" s="1625"/>
      <c r="B17" s="1625"/>
      <c r="C17" s="1625"/>
      <c r="D17" s="1625"/>
      <c r="E17" s="1625"/>
      <c r="F17" s="1625"/>
      <c r="G17" s="1625"/>
      <c r="H17" s="1625"/>
      <c r="I17" s="1625"/>
    </row>
    <row r="18" spans="1:9">
      <c r="A18" s="1625"/>
      <c r="B18" s="1625"/>
      <c r="C18" s="1625"/>
      <c r="D18" s="1625"/>
      <c r="E18" s="1625"/>
      <c r="F18" s="1625"/>
      <c r="G18" s="1625"/>
      <c r="H18" s="1625"/>
      <c r="I18" s="1625"/>
    </row>
    <row r="19" spans="1:9">
      <c r="A19" s="1625"/>
      <c r="B19" s="1625"/>
      <c r="C19" s="1625"/>
      <c r="D19" s="1625"/>
      <c r="E19" s="1625"/>
      <c r="F19" s="1625"/>
      <c r="G19" s="1625"/>
      <c r="H19" s="1625"/>
      <c r="I19" s="1625"/>
    </row>
    <row r="20" spans="1:9">
      <c r="A20" s="1625"/>
      <c r="B20" s="1625"/>
      <c r="C20" s="1625"/>
      <c r="D20" s="1625"/>
      <c r="E20" s="1625"/>
      <c r="F20" s="1625"/>
      <c r="G20" s="1625"/>
      <c r="H20" s="1625"/>
      <c r="I20" s="1625"/>
    </row>
    <row r="21" spans="1:9">
      <c r="A21" s="1625"/>
      <c r="B21" s="1625"/>
      <c r="C21" s="1625"/>
      <c r="D21" s="1625"/>
      <c r="E21" s="1625"/>
      <c r="F21" s="1625"/>
      <c r="G21" s="1625"/>
      <c r="H21" s="1625"/>
      <c r="I21" s="1625"/>
    </row>
    <row r="22" spans="1:9">
      <c r="A22" s="1625"/>
      <c r="B22" s="1625"/>
      <c r="C22" s="1625"/>
      <c r="D22" s="1625"/>
      <c r="E22" s="1625"/>
      <c r="F22" s="1625"/>
      <c r="G22" s="1625"/>
      <c r="H22" s="1625"/>
      <c r="I22" s="162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3" customWidth="1"/>
    <col min="2" max="3" width="22.375" style="1613" customWidth="1"/>
    <col min="4" max="4" width="23" style="1613" customWidth="1"/>
    <col min="5" max="16384" width="9" style="1613"/>
  </cols>
  <sheetData>
    <row r="1" spans="1:4" ht="18.75">
      <c r="A1" s="3254" t="s">
        <v>1385</v>
      </c>
      <c r="B1" s="3254"/>
      <c r="C1" s="3254"/>
      <c r="D1" s="3254"/>
    </row>
    <row r="2" spans="1:4" ht="18">
      <c r="A2" s="3255" t="s">
        <v>1369</v>
      </c>
      <c r="B2" s="3255"/>
      <c r="C2" s="3255"/>
      <c r="D2" s="3255"/>
    </row>
    <row r="3" spans="1:4" ht="18.75">
      <c r="A3" s="1645" t="s">
        <v>1370</v>
      </c>
      <c r="B3" s="1645" t="s">
        <v>1371</v>
      </c>
      <c r="C3" s="1645" t="s">
        <v>1372</v>
      </c>
      <c r="D3" s="1645" t="s">
        <v>1373</v>
      </c>
    </row>
    <row r="4" spans="1:4" ht="56.25" customHeight="1">
      <c r="A4" s="1646">
        <f>项目基本情况!B4</f>
        <v>0</v>
      </c>
      <c r="B4" s="1647">
        <f>项目基本情况!C4</f>
        <v>0</v>
      </c>
      <c r="C4" s="1648"/>
      <c r="D4" s="1649" t="s">
        <v>1374</v>
      </c>
    </row>
    <row r="5" spans="1:4" ht="56.25" customHeight="1">
      <c r="A5" s="1646">
        <f>项目基本情况!D4</f>
        <v>0</v>
      </c>
      <c r="B5" s="1647">
        <f>项目基本情况!E4</f>
        <v>0</v>
      </c>
      <c r="C5" s="1650"/>
      <c r="D5" s="1649" t="s">
        <v>1374</v>
      </c>
    </row>
    <row r="6" spans="1:4" ht="18">
      <c r="A6" s="3255" t="s">
        <v>1375</v>
      </c>
      <c r="B6" s="3255"/>
      <c r="C6" s="3255"/>
      <c r="D6" s="3255"/>
    </row>
    <row r="7" spans="1:4" ht="18.75">
      <c r="A7" s="1645" t="s">
        <v>1370</v>
      </c>
      <c r="B7" s="1647" t="s">
        <v>1376</v>
      </c>
      <c r="C7" s="1645" t="s">
        <v>1372</v>
      </c>
      <c r="D7" s="1645" t="s">
        <v>1373</v>
      </c>
    </row>
    <row r="8" spans="1:4" ht="56.25" customHeight="1">
      <c r="A8" s="1651" t="s">
        <v>656</v>
      </c>
      <c r="B8" s="1651" t="s">
        <v>1</v>
      </c>
      <c r="C8" s="1648"/>
      <c r="D8" s="1649" t="s">
        <v>1374</v>
      </c>
    </row>
    <row r="9" spans="1:4">
      <c r="A9" s="684"/>
      <c r="B9" s="684"/>
      <c r="C9" s="684"/>
      <c r="D9" s="684"/>
    </row>
    <row r="10" spans="1:4" ht="18.75">
      <c r="A10" s="1652" t="s">
        <v>1377</v>
      </c>
      <c r="B10" s="684"/>
      <c r="C10" s="684"/>
      <c r="D10" s="684"/>
    </row>
    <row r="11" spans="1:4" ht="30" customHeight="1">
      <c r="A11" s="3256" t="s">
        <v>1378</v>
      </c>
      <c r="B11" s="3257"/>
      <c r="C11" s="3257"/>
      <c r="D11" s="3257"/>
    </row>
    <row r="12" spans="1:4" ht="15.75">
      <c r="A12" s="325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58"/>
      <c r="C12" s="3258"/>
      <c r="D12" s="3258"/>
    </row>
    <row r="13" spans="1:4" ht="30" customHeight="1">
      <c r="A13" s="325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58"/>
      <c r="C13" s="3258"/>
      <c r="D13" s="3258"/>
    </row>
    <row r="14" spans="1:4" ht="15.75" customHeight="1">
      <c r="A14" s="3257" t="str">
        <f>IF(项目基本情况!B8="抵押","4.本次评估估价师所知悉的法定优先受偿款情况说明如下：","——")</f>
        <v>4.本次评估估价师所知悉的法定优先受偿款情况说明如下：</v>
      </c>
      <c r="B14" s="3258"/>
      <c r="C14" s="3258"/>
      <c r="D14" s="3258"/>
    </row>
    <row r="15" spans="1:4" ht="42" customHeight="1">
      <c r="A15" s="325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57"/>
      <c r="C15" s="3257"/>
      <c r="D15" s="3257"/>
    </row>
    <row r="16" spans="1:4" ht="30" customHeight="1">
      <c r="A16" s="3260" t="s">
        <v>1379</v>
      </c>
      <c r="B16" s="3260"/>
      <c r="C16" s="3260"/>
      <c r="D16" s="3260"/>
    </row>
    <row r="17" spans="1:4" ht="144" customHeight="1">
      <c r="A17" s="3260" t="s">
        <v>1380</v>
      </c>
      <c r="B17" s="3260"/>
      <c r="C17" s="3260"/>
      <c r="D17" s="3260"/>
    </row>
    <row r="18" spans="1:4" ht="15.75" customHeight="1">
      <c r="A18" s="3257" t="str">
        <f>IF(项目基本情况!B8="抵押",结果表!K120,"——")</f>
        <v>故，本次评估估价师知悉的法定优先受偿款为人民币3208万元整。</v>
      </c>
      <c r="B18" s="3257"/>
      <c r="C18" s="3257"/>
      <c r="D18" s="3257"/>
    </row>
    <row r="19" spans="1:4" ht="46.5" customHeight="1">
      <c r="A19" s="325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57"/>
      <c r="C19" s="3257"/>
      <c r="D19" s="3257"/>
    </row>
    <row r="20" spans="1:4" ht="57.75" customHeight="1">
      <c r="A20" s="325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57"/>
      <c r="C20" s="3257"/>
      <c r="D20" s="3257"/>
    </row>
    <row r="21" spans="1:4" ht="57.75" customHeight="1">
      <c r="A21" s="326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61"/>
      <c r="C21" s="3261"/>
      <c r="D21" s="3261"/>
    </row>
    <row r="22" spans="1:4" ht="18.75" customHeight="1">
      <c r="A22" s="3262" t="s">
        <v>1381</v>
      </c>
      <c r="B22" s="3262"/>
      <c r="C22" s="3262"/>
      <c r="D22" s="3262"/>
    </row>
    <row r="23" spans="1:4">
      <c r="A23" s="1653"/>
      <c r="B23" s="1625"/>
      <c r="C23" s="1625"/>
      <c r="D23" s="1625"/>
    </row>
    <row r="24" spans="1:4">
      <c r="A24" s="1653"/>
      <c r="B24" s="1625"/>
      <c r="C24" s="1625"/>
      <c r="D24" s="1625"/>
    </row>
    <row r="25" spans="1:4" ht="18.75">
      <c r="A25" s="1654" t="s">
        <v>1382</v>
      </c>
    </row>
    <row r="26" spans="1:4" ht="18">
      <c r="A26" s="1623"/>
    </row>
    <row r="27" spans="1:4" ht="18.75">
      <c r="A27" s="1623" t="s">
        <v>1383</v>
      </c>
    </row>
    <row r="30" spans="1:4" ht="18.75">
      <c r="D30" s="1654" t="s">
        <v>1384</v>
      </c>
    </row>
    <row r="31" spans="1:4" ht="13.5" customHeight="1">
      <c r="C31" s="3259">
        <v>42551</v>
      </c>
      <c r="D31" s="325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11" customWidth="1"/>
    <col min="3" max="10" width="12.5" style="1611" customWidth="1"/>
    <col min="11" max="16384" width="9" style="1611"/>
  </cols>
  <sheetData>
    <row r="1" spans="1:10" ht="18.75">
      <c r="A1" s="1644" t="s">
        <v>657</v>
      </c>
      <c r="B1" s="1655"/>
      <c r="C1" s="1655"/>
      <c r="D1" s="1655"/>
      <c r="E1" s="1655"/>
      <c r="F1" s="1655"/>
      <c r="G1" s="1655"/>
      <c r="H1" s="1655"/>
      <c r="I1" s="1655"/>
      <c r="J1" s="1655"/>
    </row>
    <row r="2" spans="1:10" ht="18.75">
      <c r="A2" s="1656"/>
      <c r="B2" s="1655"/>
      <c r="C2" s="1655"/>
      <c r="D2" s="1655"/>
      <c r="E2" s="1655"/>
      <c r="F2" s="1655"/>
      <c r="G2" s="1655"/>
      <c r="H2" s="1655"/>
      <c r="I2" s="1655"/>
      <c r="J2" s="1655"/>
    </row>
    <row r="3" spans="1:10">
      <c r="A3" s="1655"/>
      <c r="B3" s="1655"/>
      <c r="C3" s="1655"/>
      <c r="D3" s="1655"/>
      <c r="E3" s="1655"/>
      <c r="F3" s="1655"/>
      <c r="G3" s="1655"/>
      <c r="H3" s="1655"/>
      <c r="I3" s="1655"/>
      <c r="J3" s="1655"/>
    </row>
    <row r="4" spans="1:10">
      <c r="A4" s="1655"/>
      <c r="B4" s="1655"/>
      <c r="C4" s="1655"/>
      <c r="D4" s="1655"/>
      <c r="E4" s="1655"/>
      <c r="F4" s="1655"/>
      <c r="G4" s="1655"/>
      <c r="H4" s="1655"/>
      <c r="I4" s="1655"/>
      <c r="J4" s="1655"/>
    </row>
    <row r="5" spans="1:10">
      <c r="A5" s="1655"/>
      <c r="B5" s="1655"/>
      <c r="C5" s="1655"/>
      <c r="D5" s="1655"/>
      <c r="E5" s="1655"/>
      <c r="F5" s="1655"/>
      <c r="G5" s="1655"/>
      <c r="H5" s="1655"/>
      <c r="I5" s="1655"/>
      <c r="J5" s="1655"/>
    </row>
    <row r="6" spans="1:10">
      <c r="A6" s="1655"/>
      <c r="B6" s="1655"/>
      <c r="C6" s="1655"/>
      <c r="D6" s="1655"/>
      <c r="E6" s="1655"/>
      <c r="F6" s="1655"/>
      <c r="G6" s="1655"/>
      <c r="H6" s="1655"/>
      <c r="I6" s="1655"/>
      <c r="J6" s="1655"/>
    </row>
    <row r="7" spans="1:10">
      <c r="A7" s="1655"/>
      <c r="B7" s="1655"/>
      <c r="C7" s="1655"/>
      <c r="D7" s="1655"/>
      <c r="E7" s="1655"/>
      <c r="F7" s="1655"/>
      <c r="G7" s="1655"/>
      <c r="H7" s="1655"/>
      <c r="I7" s="1655"/>
      <c r="J7" s="1655"/>
    </row>
    <row r="8" spans="1:10">
      <c r="A8" s="1655"/>
      <c r="B8" s="1655"/>
      <c r="C8" s="1655"/>
      <c r="D8" s="1655"/>
      <c r="E8" s="1655"/>
      <c r="F8" s="1655"/>
      <c r="G8" s="1655"/>
      <c r="H8" s="1655"/>
      <c r="I8" s="1655"/>
      <c r="J8" s="1655"/>
    </row>
    <row r="9" spans="1:10">
      <c r="A9" s="1655"/>
      <c r="B9" s="1655"/>
      <c r="C9" s="1655"/>
      <c r="D9" s="1655"/>
      <c r="E9" s="1655"/>
      <c r="F9" s="1655"/>
      <c r="G9" s="1655"/>
      <c r="H9" s="1655"/>
      <c r="I9" s="1655"/>
      <c r="J9" s="1655"/>
    </row>
    <row r="10" spans="1:10">
      <c r="A10" s="1655"/>
      <c r="B10" s="1655"/>
      <c r="C10" s="1655"/>
      <c r="D10" s="1655"/>
      <c r="E10" s="1655"/>
      <c r="F10" s="1655"/>
      <c r="G10" s="1655"/>
      <c r="H10" s="1655"/>
      <c r="I10" s="1655"/>
      <c r="J10" s="1655"/>
    </row>
    <row r="11" spans="1:10">
      <c r="A11" s="1655"/>
      <c r="B11" s="1655"/>
      <c r="C11" s="1655"/>
      <c r="D11" s="1655"/>
      <c r="E11" s="1655"/>
      <c r="F11" s="1655"/>
      <c r="G11" s="1655"/>
      <c r="H11" s="1655"/>
      <c r="I11" s="1655"/>
      <c r="J11" s="1655"/>
    </row>
    <row r="12" spans="1:10">
      <c r="A12" s="1655"/>
      <c r="B12" s="1655"/>
      <c r="C12" s="1655"/>
      <c r="D12" s="1655"/>
      <c r="E12" s="1655"/>
      <c r="F12" s="1655"/>
      <c r="G12" s="1655"/>
      <c r="H12" s="1655"/>
      <c r="I12" s="1655"/>
      <c r="J12" s="1655"/>
    </row>
    <row r="13" spans="1:10">
      <c r="A13" s="1655"/>
      <c r="B13" s="1655"/>
      <c r="C13" s="1655"/>
      <c r="D13" s="1655"/>
      <c r="E13" s="1655"/>
      <c r="F13" s="1655"/>
      <c r="G13" s="1655"/>
      <c r="H13" s="1655"/>
      <c r="I13" s="1655"/>
      <c r="J13" s="1655"/>
    </row>
    <row r="14" spans="1:10">
      <c r="A14" s="1655"/>
      <c r="B14" s="1655"/>
      <c r="C14" s="1655"/>
      <c r="D14" s="1655"/>
      <c r="E14" s="1655"/>
      <c r="F14" s="1655"/>
      <c r="G14" s="1655"/>
      <c r="H14" s="1655"/>
      <c r="I14" s="1655"/>
      <c r="J14" s="1655"/>
    </row>
    <row r="15" spans="1:10">
      <c r="A15" s="1655"/>
      <c r="B15" s="1655"/>
      <c r="C15" s="1655"/>
      <c r="D15" s="1655"/>
      <c r="E15" s="1655"/>
      <c r="F15" s="1655"/>
      <c r="G15" s="1655"/>
      <c r="H15" s="1655"/>
      <c r="I15" s="1655"/>
      <c r="J15" s="1655"/>
    </row>
    <row r="16" spans="1:10">
      <c r="A16" s="1655"/>
      <c r="B16" s="1655"/>
      <c r="C16" s="1655"/>
      <c r="D16" s="1655"/>
      <c r="E16" s="1655"/>
      <c r="F16" s="1655"/>
      <c r="G16" s="1655"/>
      <c r="H16" s="1655"/>
      <c r="I16" s="1655"/>
      <c r="J16" s="1655"/>
    </row>
    <row r="17" spans="1:10">
      <c r="A17" s="1655"/>
      <c r="B17" s="1655"/>
      <c r="C17" s="1655"/>
      <c r="D17" s="1655"/>
      <c r="E17" s="1655"/>
      <c r="F17" s="1655"/>
      <c r="G17" s="1655"/>
      <c r="H17" s="1655"/>
      <c r="I17" s="1655"/>
      <c r="J17" s="1655"/>
    </row>
    <row r="18" spans="1:10">
      <c r="A18" s="1655"/>
      <c r="B18" s="1655"/>
      <c r="C18" s="1655"/>
      <c r="D18" s="1655"/>
      <c r="E18" s="1655"/>
      <c r="F18" s="1655"/>
      <c r="G18" s="1655"/>
      <c r="H18" s="1655"/>
      <c r="I18" s="1655"/>
      <c r="J18" s="1655"/>
    </row>
    <row r="19" spans="1:10">
      <c r="A19" s="1655"/>
      <c r="B19" s="1655"/>
      <c r="C19" s="1655"/>
      <c r="D19" s="1655"/>
      <c r="E19" s="1655"/>
      <c r="F19" s="1655"/>
      <c r="G19" s="1655"/>
      <c r="H19" s="1655"/>
      <c r="I19" s="1655"/>
      <c r="J19" s="1655"/>
    </row>
    <row r="20" spans="1:10">
      <c r="A20" s="1655"/>
      <c r="B20" s="1655"/>
      <c r="C20" s="1655"/>
      <c r="D20" s="1655"/>
      <c r="E20" s="1655"/>
      <c r="F20" s="1655"/>
      <c r="G20" s="1655"/>
      <c r="H20" s="1655"/>
      <c r="I20" s="1655"/>
      <c r="J20" s="1655"/>
    </row>
    <row r="21" spans="1:10">
      <c r="A21" s="1655"/>
      <c r="B21" s="1655"/>
      <c r="C21" s="1655"/>
      <c r="D21" s="1655"/>
      <c r="E21" s="1655"/>
      <c r="F21" s="1655"/>
      <c r="G21" s="1655"/>
      <c r="H21" s="1655"/>
      <c r="I21" s="1655"/>
      <c r="J21" s="1655"/>
    </row>
    <row r="22" spans="1:10">
      <c r="A22" s="1655"/>
      <c r="B22" s="1655"/>
      <c r="C22" s="1655"/>
      <c r="D22" s="1655"/>
      <c r="E22" s="1655"/>
      <c r="F22" s="1655"/>
      <c r="G22" s="1655"/>
      <c r="H22" s="1655"/>
      <c r="I22" s="1655"/>
      <c r="J22" s="1655"/>
    </row>
    <row r="23" spans="1:10">
      <c r="A23" s="1655"/>
      <c r="B23" s="1655"/>
      <c r="C23" s="1655"/>
      <c r="D23" s="1655"/>
      <c r="E23" s="1655"/>
      <c r="F23" s="1655"/>
      <c r="G23" s="1655"/>
      <c r="H23" s="1655"/>
      <c r="I23" s="1655"/>
      <c r="J23" s="1655"/>
    </row>
    <row r="24" spans="1:10">
      <c r="A24" s="1655"/>
      <c r="B24" s="1655"/>
      <c r="C24" s="1655"/>
      <c r="D24" s="1655"/>
      <c r="E24" s="1655"/>
      <c r="F24" s="1655"/>
      <c r="G24" s="1655"/>
      <c r="H24" s="1655"/>
      <c r="I24" s="1655"/>
      <c r="J24" s="1655"/>
    </row>
    <row r="25" spans="1:10">
      <c r="A25" s="1655"/>
      <c r="B25" s="1655"/>
      <c r="C25" s="1655"/>
      <c r="D25" s="1655"/>
      <c r="E25" s="1655"/>
      <c r="F25" s="1655"/>
      <c r="G25" s="1655"/>
      <c r="H25" s="1655"/>
      <c r="I25" s="1655"/>
      <c r="J25" s="1655"/>
    </row>
    <row r="26" spans="1:10">
      <c r="A26" s="1655"/>
      <c r="B26" s="1655"/>
      <c r="C26" s="1655"/>
      <c r="D26" s="1655"/>
      <c r="E26" s="1655"/>
      <c r="F26" s="1655"/>
      <c r="G26" s="1655"/>
      <c r="H26" s="1655"/>
      <c r="I26" s="1655"/>
      <c r="J26" s="1655"/>
    </row>
    <row r="27" spans="1:10">
      <c r="A27" s="1655"/>
      <c r="B27" s="1655"/>
      <c r="C27" s="1655"/>
      <c r="D27" s="1655"/>
      <c r="E27" s="1655"/>
      <c r="F27" s="1655"/>
      <c r="G27" s="1655"/>
      <c r="H27" s="1655"/>
      <c r="I27" s="1655"/>
      <c r="J27" s="1655"/>
    </row>
    <row r="28" spans="1:10">
      <c r="A28" s="1655"/>
      <c r="B28" s="1655"/>
      <c r="C28" s="1655"/>
      <c r="D28" s="1655"/>
      <c r="E28" s="1655"/>
      <c r="F28" s="1655"/>
      <c r="G28" s="1655"/>
      <c r="H28" s="1655"/>
      <c r="I28" s="1655"/>
      <c r="J28" s="1655"/>
    </row>
    <row r="29" spans="1:10">
      <c r="A29" s="1655"/>
      <c r="B29" s="1655"/>
      <c r="C29" s="1655"/>
      <c r="D29" s="1655"/>
      <c r="E29" s="1655"/>
      <c r="F29" s="1655"/>
      <c r="G29" s="1655"/>
      <c r="H29" s="1655"/>
      <c r="I29" s="1655"/>
      <c r="J29" s="1655"/>
    </row>
    <row r="30" spans="1:10">
      <c r="A30" s="1655"/>
      <c r="B30" s="1655"/>
      <c r="C30" s="1655"/>
      <c r="D30" s="1655"/>
      <c r="E30" s="1655"/>
      <c r="F30" s="1655"/>
      <c r="G30" s="1655"/>
      <c r="H30" s="1655"/>
      <c r="I30" s="1655"/>
      <c r="J30" s="1655"/>
    </row>
    <row r="31" spans="1:10">
      <c r="A31" s="1655"/>
      <c r="B31" s="1655"/>
      <c r="C31" s="1655"/>
      <c r="D31" s="1655"/>
      <c r="E31" s="1655"/>
      <c r="F31" s="1655"/>
      <c r="G31" s="1655"/>
      <c r="H31" s="1655"/>
      <c r="I31" s="1655"/>
      <c r="J31" s="1655"/>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61" customWidth="1"/>
    <col min="2" max="16384" width="14.5" style="1643"/>
  </cols>
  <sheetData>
    <row r="1" spans="1:7" s="1658" customFormat="1" ht="18.75">
      <c r="A1" s="1657" t="s">
        <v>1386</v>
      </c>
    </row>
    <row r="3" spans="1:7">
      <c r="A3" s="1659" t="s">
        <v>82</v>
      </c>
      <c r="B3" s="1643" t="s">
        <v>1387</v>
      </c>
      <c r="G3" s="1660"/>
    </row>
    <row r="4" spans="1:7">
      <c r="G4" s="1660"/>
    </row>
    <row r="5" spans="1:7">
      <c r="A5" s="1662" t="s">
        <v>73</v>
      </c>
      <c r="B5" s="1643" t="s">
        <v>1388</v>
      </c>
      <c r="G5" s="1660"/>
    </row>
    <row r="6" spans="1:7">
      <c r="G6" s="1660"/>
    </row>
    <row r="7" spans="1:7">
      <c r="A7" s="1663" t="s">
        <v>135</v>
      </c>
      <c r="B7" s="1643" t="s">
        <v>1389</v>
      </c>
      <c r="G7" s="1660"/>
    </row>
    <row r="8" spans="1:7">
      <c r="G8" s="1660"/>
    </row>
    <row r="9" spans="1:7">
      <c r="A9" s="1664" t="s">
        <v>74</v>
      </c>
      <c r="B9" s="1643" t="s">
        <v>1390</v>
      </c>
    </row>
    <row r="11" spans="1:7">
      <c r="A11" s="1665" t="s">
        <v>75</v>
      </c>
      <c r="B11" s="1666" t="s">
        <v>72</v>
      </c>
    </row>
    <row r="13" spans="1:7">
      <c r="A13" s="1667" t="s">
        <v>1391</v>
      </c>
    </row>
    <row r="15" spans="1:7" ht="13.5">
      <c r="A15" s="3268" t="s">
        <v>1392</v>
      </c>
      <c r="B15" s="3263" t="s">
        <v>136</v>
      </c>
      <c r="C15" s="3264"/>
    </row>
    <row r="16" spans="1:7" ht="13.5">
      <c r="A16" s="3269"/>
      <c r="B16" s="3263" t="s">
        <v>69</v>
      </c>
      <c r="C16" s="3264"/>
    </row>
    <row r="17" spans="1:3" ht="13.5">
      <c r="A17" s="3269"/>
      <c r="B17" s="3266" t="s">
        <v>1393</v>
      </c>
      <c r="C17" s="1668" t="s">
        <v>1392</v>
      </c>
    </row>
    <row r="18" spans="1:3" ht="13.5">
      <c r="A18" s="3269"/>
      <c r="B18" s="3266"/>
      <c r="C18" s="1668" t="s">
        <v>1394</v>
      </c>
    </row>
    <row r="19" spans="1:3" ht="13.5">
      <c r="A19" s="3269"/>
      <c r="B19" s="3266"/>
      <c r="C19" s="1668" t="s">
        <v>1395</v>
      </c>
    </row>
    <row r="20" spans="1:3" ht="13.5">
      <c r="A20" s="3270"/>
      <c r="B20" s="3265" t="s">
        <v>1396</v>
      </c>
      <c r="C20" s="3264"/>
    </row>
    <row r="21" spans="1:3" ht="13.5">
      <c r="A21" s="1669" t="s">
        <v>1397</v>
      </c>
      <c r="B21" s="1670"/>
      <c r="C21" s="1671"/>
    </row>
    <row r="22" spans="1:3" ht="13.5">
      <c r="A22" s="3267" t="s">
        <v>1398</v>
      </c>
      <c r="B22" s="3265" t="s">
        <v>1399</v>
      </c>
      <c r="C22" s="3264"/>
    </row>
    <row r="23" spans="1:3" ht="13.5">
      <c r="A23" s="3267"/>
      <c r="B23" s="3265" t="s">
        <v>1400</v>
      </c>
      <c r="C23" s="3264"/>
    </row>
    <row r="24" spans="1:3" ht="13.5">
      <c r="A24" s="3267"/>
      <c r="B24" s="3265" t="s">
        <v>1401</v>
      </c>
      <c r="C24" s="3264"/>
    </row>
    <row r="25" spans="1:3" ht="13.5">
      <c r="A25" s="3267"/>
      <c r="B25" s="3266" t="s">
        <v>1402</v>
      </c>
      <c r="C25" s="1668" t="s">
        <v>1403</v>
      </c>
    </row>
    <row r="26" spans="1:3" ht="13.5">
      <c r="A26" s="3267"/>
      <c r="B26" s="3266"/>
      <c r="C26" s="1668" t="s">
        <v>1404</v>
      </c>
    </row>
    <row r="27" spans="1:3" ht="13.5">
      <c r="A27" s="3267"/>
      <c r="B27" s="3266"/>
      <c r="C27" s="1668" t="s">
        <v>1405</v>
      </c>
    </row>
    <row r="28" spans="1:3" ht="13.5">
      <c r="A28" s="3267"/>
      <c r="B28" s="3266"/>
      <c r="C28" s="1668" t="s">
        <v>1406</v>
      </c>
    </row>
    <row r="29" spans="1:3" ht="13.5">
      <c r="A29" s="3267"/>
      <c r="B29" s="3266"/>
      <c r="C29" s="1668" t="s">
        <v>1407</v>
      </c>
    </row>
    <row r="30" spans="1:3" ht="13.5">
      <c r="A30" s="3267"/>
      <c r="B30" s="3266"/>
      <c r="C30" s="1668" t="s">
        <v>1408</v>
      </c>
    </row>
    <row r="31" spans="1:3" ht="13.5">
      <c r="A31" s="3267"/>
      <c r="B31" s="3266"/>
      <c r="C31" s="1668" t="s">
        <v>1409</v>
      </c>
    </row>
    <row r="32" spans="1:3" ht="13.5">
      <c r="A32" s="3267"/>
      <c r="B32" s="3266"/>
      <c r="C32" s="1668" t="s">
        <v>1410</v>
      </c>
    </row>
    <row r="33" spans="1:3" ht="13.5">
      <c r="A33" s="3267"/>
      <c r="B33" s="3266"/>
      <c r="C33" s="1668" t="s">
        <v>1411</v>
      </c>
    </row>
    <row r="34" spans="1:3">
      <c r="A34" s="1672" t="s">
        <v>76</v>
      </c>
    </row>
    <row r="37" spans="1:3">
      <c r="A37" s="1672" t="s">
        <v>1412</v>
      </c>
    </row>
    <row r="38" spans="1:3" ht="13.5">
      <c r="A38" s="1673" t="s">
        <v>77</v>
      </c>
    </row>
    <row r="39" spans="1:3" ht="13.5">
      <c r="A39" s="1673" t="s">
        <v>78</v>
      </c>
    </row>
    <row r="40" spans="1:3" ht="13.5">
      <c r="A40" s="1673" t="s">
        <v>79</v>
      </c>
    </row>
    <row r="41" spans="1:3" ht="13.5">
      <c r="A41" s="1674" t="s">
        <v>80</v>
      </c>
    </row>
    <row r="42" spans="1:3" ht="13.5">
      <c r="A42" s="167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37" sqref="B37"/>
    </sheetView>
  </sheetViews>
  <sheetFormatPr defaultColWidth="22.625" defaultRowHeight="24" customHeight="1"/>
  <cols>
    <col min="1" max="1" width="24.625" style="2511" customWidth="1"/>
    <col min="2" max="2" width="38.625" style="2511" customWidth="1"/>
    <col min="3" max="3" width="26" style="2511" customWidth="1"/>
    <col min="4" max="4" width="35" style="2511" hidden="1" customWidth="1"/>
    <col min="5" max="5" width="30.125" style="2511" customWidth="1"/>
    <col min="6" max="6" width="35.5" style="2511" customWidth="1"/>
    <col min="7" max="7" width="31" style="2511" customWidth="1"/>
    <col min="8" max="8" width="37.5" style="2511" hidden="1" customWidth="1"/>
    <col min="9" max="16384" width="22.625" style="2511"/>
  </cols>
  <sheetData>
    <row r="1" spans="1:8" ht="24" customHeight="1">
      <c r="A1" s="2510"/>
      <c r="B1" s="2510"/>
      <c r="C1" s="2510"/>
      <c r="D1" s="2510"/>
      <c r="E1" s="2510"/>
      <c r="F1" s="2510"/>
      <c r="G1" s="2510"/>
      <c r="H1" s="2510"/>
    </row>
    <row r="2" spans="1:8" ht="24" customHeight="1">
      <c r="A2" s="2512" t="s">
        <v>2639</v>
      </c>
      <c r="B2" s="2513">
        <f ca="1">TODAY()</f>
        <v>44872</v>
      </c>
      <c r="C2" s="2514" t="s">
        <v>2640</v>
      </c>
      <c r="D2" s="2514"/>
      <c r="E2" s="2514"/>
      <c r="F2" s="2510"/>
      <c r="G2" s="2510"/>
      <c r="H2" s="2510"/>
    </row>
    <row r="3" spans="1:8" ht="24" customHeight="1">
      <c r="A3" s="2515" t="s">
        <v>2641</v>
      </c>
      <c r="B3" s="2516" t="s">
        <v>2642</v>
      </c>
      <c r="C3" s="2516" t="s">
        <v>2643</v>
      </c>
      <c r="D3" s="2517" t="s">
        <v>2644</v>
      </c>
      <c r="E3" s="2518" t="s">
        <v>2645</v>
      </c>
      <c r="F3" s="1425" t="s">
        <v>2646</v>
      </c>
      <c r="G3" s="2516" t="s">
        <v>2643</v>
      </c>
      <c r="H3" s="2517" t="s">
        <v>2647</v>
      </c>
    </row>
    <row r="4" spans="1:8" ht="24" customHeight="1">
      <c r="A4" s="1425" t="s">
        <v>2648</v>
      </c>
      <c r="B4" s="1425">
        <f ca="1">IF(C4&lt;B2,"已过期",1119970066)</f>
        <v>1119970066</v>
      </c>
      <c r="C4" s="2519">
        <v>44876</v>
      </c>
      <c r="D4" s="2520" t="str">
        <f ca="1">A4&amp;"（注册号："&amp;B4&amp;"）"</f>
        <v>梁津（注册号：1119970066）</v>
      </c>
      <c r="E4" s="2521" t="s">
        <v>2648</v>
      </c>
      <c r="F4" s="1425">
        <f ca="1">IF(G4&lt;B2,"已过期",96010014)</f>
        <v>96010014</v>
      </c>
      <c r="G4" s="2522">
        <v>47118</v>
      </c>
      <c r="H4" s="2523" t="str">
        <f ca="1">E4&amp;"（注册号："&amp;F4&amp;"）"</f>
        <v>梁津（注册号：96010014）</v>
      </c>
    </row>
    <row r="5" spans="1:8" ht="24" customHeight="1">
      <c r="A5" s="1425" t="s">
        <v>2649</v>
      </c>
      <c r="B5" s="1425">
        <f ca="1">IF(C5&lt;B2,"已过期",1119970111)</f>
        <v>1119970111</v>
      </c>
      <c r="C5" s="2519">
        <v>44876</v>
      </c>
      <c r="D5" s="2520" t="str">
        <f t="shared" ref="D5:D15" ca="1" si="0">A5&amp;"（注册号："&amp;B5&amp;"）"</f>
        <v>叶凌（注册号：1119970111）</v>
      </c>
      <c r="E5" s="2521" t="s">
        <v>2649</v>
      </c>
      <c r="F5" s="1425">
        <f ca="1">IF(G5&lt;B2,"已过期",94010078)</f>
        <v>94010078</v>
      </c>
      <c r="G5" s="2522">
        <v>46387</v>
      </c>
      <c r="H5" s="2523" t="str">
        <f t="shared" ref="H5:H16" ca="1" si="1">E5&amp;"（注册号："&amp;F5&amp;"）"</f>
        <v>叶凌（注册号：94010078）</v>
      </c>
    </row>
    <row r="6" spans="1:8" ht="24" customHeight="1">
      <c r="A6" s="1425" t="s">
        <v>2650</v>
      </c>
      <c r="B6" s="1425">
        <f ca="1">IF(C6&lt;B2,"已过期",1120050019)</f>
        <v>1120050019</v>
      </c>
      <c r="C6" s="2519">
        <v>45410</v>
      </c>
      <c r="D6" s="2520" t="str">
        <f t="shared" ca="1" si="0"/>
        <v>王鹏（注册号：1120050019）</v>
      </c>
      <c r="E6" s="2521" t="s">
        <v>2650</v>
      </c>
      <c r="F6" s="1425">
        <f ca="1">IF(G6&lt;B2,"已过期",2002110030)</f>
        <v>2002110030</v>
      </c>
      <c r="G6" s="2522">
        <v>46387</v>
      </c>
      <c r="H6" s="2523" t="str">
        <f t="shared" ca="1" si="1"/>
        <v>王鹏（注册号：2002110030）</v>
      </c>
    </row>
    <row r="7" spans="1:8" ht="24" customHeight="1">
      <c r="A7" s="1425" t="s">
        <v>2651</v>
      </c>
      <c r="B7" s="1425">
        <f ca="1">IF(C7&lt;B2,"已过期",1120000080)</f>
        <v>1120000080</v>
      </c>
      <c r="C7" s="2519">
        <v>44876</v>
      </c>
      <c r="D7" s="2520" t="str">
        <f t="shared" ca="1" si="0"/>
        <v>欧红伟（注册号：1120000080）</v>
      </c>
      <c r="E7" s="2521" t="s">
        <v>2651</v>
      </c>
      <c r="F7" s="1425">
        <f ca="1">IF(G7&lt;B2,"已过期",2000110082)</f>
        <v>2000110082</v>
      </c>
      <c r="G7" s="2522">
        <v>46387</v>
      </c>
      <c r="H7" s="2523" t="str">
        <f t="shared" ca="1" si="1"/>
        <v>欧红伟（注册号：2000110082）</v>
      </c>
    </row>
    <row r="8" spans="1:8" ht="24" customHeight="1">
      <c r="A8" s="1425" t="s">
        <v>2652</v>
      </c>
      <c r="B8" s="1425">
        <f ca="1">IF(C8&lt;B2,"已过期",1419970001)</f>
        <v>1419970001</v>
      </c>
      <c r="C8" s="2519">
        <v>44899</v>
      </c>
      <c r="D8" s="2520" t="str">
        <f t="shared" ca="1" si="0"/>
        <v>吴薇（注册号：1419970001）</v>
      </c>
      <c r="E8" s="2521" t="s">
        <v>2652</v>
      </c>
      <c r="F8" s="1425">
        <f ca="1">IF(G8&lt;B2,"已过期",2002110125)</f>
        <v>2002110125</v>
      </c>
      <c r="G8" s="2522">
        <v>47118</v>
      </c>
      <c r="H8" s="2523" t="str">
        <f t="shared" ca="1" si="1"/>
        <v>吴薇（注册号：2002110125）</v>
      </c>
    </row>
    <row r="9" spans="1:8" ht="24" customHeight="1">
      <c r="A9" s="1425" t="s">
        <v>2653</v>
      </c>
      <c r="B9" s="1425">
        <f ca="1">IF(C9&lt;B2,"已过期",1120060040)</f>
        <v>1120060040</v>
      </c>
      <c r="C9" s="2524">
        <v>45592</v>
      </c>
      <c r="D9" s="2520" t="str">
        <f t="shared" ca="1" si="0"/>
        <v>陈颖（注册号：1120060040）</v>
      </c>
      <c r="E9" s="2521" t="s">
        <v>2653</v>
      </c>
      <c r="F9" s="1425">
        <f ca="1">IF(G9&lt;B2,"已过期",2004110096)</f>
        <v>2004110096</v>
      </c>
      <c r="G9" s="2522">
        <v>47118</v>
      </c>
      <c r="H9" s="2523" t="str">
        <f t="shared" ca="1" si="1"/>
        <v>陈颖（注册号：2004110096）</v>
      </c>
    </row>
    <row r="10" spans="1:8" ht="24" customHeight="1">
      <c r="A10" s="1425" t="s">
        <v>2654</v>
      </c>
      <c r="B10" s="1425" t="str">
        <f ca="1">IF(C10&lt;B2,"已过期",1120100036)</f>
        <v>已过期</v>
      </c>
      <c r="C10" s="2524">
        <v>44675</v>
      </c>
      <c r="D10" s="2520" t="str">
        <f t="shared" ca="1" si="0"/>
        <v>崔锴（注册号：已过期）</v>
      </c>
      <c r="E10" s="2521" t="s">
        <v>2654</v>
      </c>
      <c r="F10" s="1425">
        <f ca="1">IF(G10&lt;B2,"已过期",2010110070)</f>
        <v>2010110070</v>
      </c>
      <c r="G10" s="2522">
        <v>47907</v>
      </c>
      <c r="H10" s="2523" t="str">
        <f t="shared" ca="1" si="1"/>
        <v>崔锴（注册号：2010110070）</v>
      </c>
    </row>
    <row r="11" spans="1:8" ht="24" customHeight="1">
      <c r="A11" s="1425" t="s">
        <v>2655</v>
      </c>
      <c r="B11" s="1425" t="str">
        <f ca="1">IF(C11&lt;B2,"已过期",1120070131)</f>
        <v>已过期</v>
      </c>
      <c r="C11" s="2519">
        <v>44849</v>
      </c>
      <c r="D11" s="2520" t="str">
        <f t="shared" ca="1" si="0"/>
        <v>郑燚（注册号：已过期）</v>
      </c>
      <c r="E11" s="2521" t="s">
        <v>2655</v>
      </c>
      <c r="F11" s="1425">
        <f ca="1">IF(G11&lt;B2,"已过期",2014110011)</f>
        <v>2014110011</v>
      </c>
      <c r="G11" s="2522">
        <v>49302</v>
      </c>
      <c r="H11" s="2523" t="str">
        <f t="shared" ca="1" si="1"/>
        <v>郑燚（注册号：2014110011）</v>
      </c>
    </row>
    <row r="12" spans="1:8" ht="24" customHeight="1">
      <c r="A12" s="1425" t="s">
        <v>2656</v>
      </c>
      <c r="B12" s="1425" t="str">
        <f ca="1">IF(C12&lt;B2,"已过期",1120040230)</f>
        <v>已过期</v>
      </c>
      <c r="C12" s="2524">
        <v>44864</v>
      </c>
      <c r="D12" s="2520" t="str">
        <f t="shared" ca="1" si="0"/>
        <v>苏海（注册号：已过期）</v>
      </c>
      <c r="E12" s="2521" t="s">
        <v>2656</v>
      </c>
      <c r="F12" s="1425">
        <f ca="1">IF(G12&lt;B2,"已过期",98030020)</f>
        <v>98030020</v>
      </c>
      <c r="G12" s="2522">
        <v>47118</v>
      </c>
      <c r="H12" s="2523" t="str">
        <f t="shared" ca="1" si="1"/>
        <v>苏海（注册号：98030020）</v>
      </c>
    </row>
    <row r="13" spans="1:8" ht="24" customHeight="1">
      <c r="A13" s="1425" t="s">
        <v>2657</v>
      </c>
      <c r="B13" s="1425" t="str">
        <f ca="1">IF(C13&lt;B2,"已过期",1120020033)</f>
        <v>已过期</v>
      </c>
      <c r="C13" s="2519">
        <v>44339</v>
      </c>
      <c r="D13" s="2520" t="str">
        <f t="shared" ca="1" si="0"/>
        <v>刘敬东（注册号：已过期）</v>
      </c>
      <c r="E13" s="2521" t="s">
        <v>2657</v>
      </c>
      <c r="F13" s="1425">
        <f ca="1">IF(G13&lt;B2,"已过期",2000110137)</f>
        <v>2000110137</v>
      </c>
      <c r="G13" s="2522">
        <v>46387</v>
      </c>
      <c r="H13" s="2523" t="str">
        <f t="shared" ca="1" si="1"/>
        <v>刘敬东（注册号：2000110137）</v>
      </c>
    </row>
    <row r="14" spans="1:8" ht="24" customHeight="1">
      <c r="A14" s="1425" t="s">
        <v>2658</v>
      </c>
      <c r="B14" s="1425">
        <f ca="1">IF(C14&lt;B2,"已过期",1119980106)</f>
        <v>1119980106</v>
      </c>
      <c r="C14" s="2524">
        <v>44969</v>
      </c>
      <c r="D14" s="2520" t="str">
        <f t="shared" ca="1" si="0"/>
        <v>刘俊财（注册号：1119980106）</v>
      </c>
      <c r="E14" s="2521" t="s">
        <v>2658</v>
      </c>
      <c r="F14" s="1425">
        <f ca="1">IF(G14&lt;B2,"已过期",96010063)</f>
        <v>96010063</v>
      </c>
      <c r="G14" s="2522">
        <v>47483</v>
      </c>
      <c r="H14" s="2523" t="str">
        <f t="shared" ca="1" si="1"/>
        <v>刘俊财（注册号：96010063）</v>
      </c>
    </row>
    <row r="15" spans="1:8" ht="24" customHeight="1">
      <c r="A15" s="1425" t="s">
        <v>2942</v>
      </c>
      <c r="B15" s="1425">
        <v>1120210056</v>
      </c>
      <c r="C15" s="2524">
        <v>45410</v>
      </c>
      <c r="D15" s="2520" t="str">
        <f t="shared" si="0"/>
        <v>宁小鳗（注册号：1120210056）</v>
      </c>
      <c r="E15" s="2521" t="s">
        <v>2659</v>
      </c>
      <c r="F15" s="1425">
        <f ca="1">IF(G15&lt;B2,"已过期",2011110090)</f>
        <v>2011110090</v>
      </c>
      <c r="G15" s="2522">
        <v>48302</v>
      </c>
      <c r="H15" s="2523" t="str">
        <f t="shared" ca="1" si="1"/>
        <v>赵雯（注册号：2011110090）</v>
      </c>
    </row>
    <row r="16" spans="1:8" s="2526" customFormat="1" ht="24" customHeight="1">
      <c r="A16" s="1425"/>
      <c r="B16" s="1425"/>
      <c r="C16" s="1425"/>
      <c r="D16" s="2520" t="str">
        <f>A16&amp;"（注册号："&amp;B16&amp;"）"</f>
        <v>（注册号：）</v>
      </c>
      <c r="E16" s="2521"/>
      <c r="F16" s="1425"/>
      <c r="G16" s="1425"/>
      <c r="H16" s="2525" t="str">
        <f t="shared" si="1"/>
        <v>（注册号：）</v>
      </c>
    </row>
    <row r="17" spans="1:8" ht="24" customHeight="1">
      <c r="A17" s="3271" t="s">
        <v>2660</v>
      </c>
      <c r="B17" s="3271"/>
      <c r="C17" s="3271"/>
      <c r="D17" s="3271"/>
      <c r="E17" s="3271"/>
      <c r="F17" s="3271"/>
      <c r="G17" s="3271"/>
      <c r="H17" s="3271"/>
    </row>
    <row r="18" spans="1:8" ht="24" customHeight="1">
      <c r="A18" s="3272" t="s">
        <v>2661</v>
      </c>
      <c r="B18" s="3272"/>
      <c r="C18" s="3272"/>
      <c r="D18" s="2517"/>
      <c r="E18" s="3273" t="s">
        <v>2662</v>
      </c>
      <c r="F18" s="3272"/>
      <c r="G18" s="3272"/>
    </row>
    <row r="19" spans="1:8" s="2528" customFormat="1" ht="24" customHeight="1">
      <c r="A19" s="2527" t="s">
        <v>2663</v>
      </c>
      <c r="B19" s="2516" t="s">
        <v>2664</v>
      </c>
      <c r="C19" s="2516" t="s">
        <v>2643</v>
      </c>
      <c r="D19" s="2517"/>
      <c r="E19" s="2521" t="s">
        <v>2663</v>
      </c>
      <c r="F19" s="2516" t="s">
        <v>2664</v>
      </c>
      <c r="G19" s="2516" t="s">
        <v>2643</v>
      </c>
    </row>
    <row r="20" spans="1:8" s="2528" customFormat="1" ht="24" customHeight="1">
      <c r="A20" s="2529" t="s">
        <v>2665</v>
      </c>
      <c r="B20" s="2529" t="s">
        <v>2666</v>
      </c>
      <c r="C20" s="2522">
        <v>44820</v>
      </c>
      <c r="D20" s="2530"/>
      <c r="E20" s="2531" t="s">
        <v>2667</v>
      </c>
      <c r="F20" s="2534" t="s">
        <v>2943</v>
      </c>
      <c r="G20" s="2535">
        <v>44926</v>
      </c>
    </row>
    <row r="21" spans="1:8" s="2528" customFormat="1" ht="24" customHeight="1">
      <c r="A21" s="2529"/>
      <c r="B21" s="2529"/>
      <c r="C21" s="2532"/>
      <c r="D21" s="2533"/>
      <c r="E21" s="2531"/>
      <c r="F21" s="2534"/>
      <c r="G21" s="2535"/>
    </row>
    <row r="22" spans="1:8" ht="24" customHeight="1">
      <c r="C22" s="2536"/>
      <c r="D22" s="2536"/>
      <c r="E22" s="2537"/>
      <c r="F22" s="2538"/>
      <c r="G22" s="2539"/>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2022-11-07T02:22:22Z</dcterms:modified>
</cp:coreProperties>
</file>