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40" i="9" l="1"/>
  <c r="U19" i="1"/>
  <c r="N14" i="1"/>
  <c r="L14" i="1"/>
  <c r="Y6" i="1" l="1"/>
  <c r="N18" i="1"/>
  <c r="N20" i="1" s="1"/>
  <c r="F19" i="6"/>
  <c r="C38" i="9" s="1"/>
  <c r="AN13" i="3"/>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P61" i="67"/>
  <c r="K59" i="15"/>
  <c r="P74" i="15" s="1"/>
  <c r="P74" i="67"/>
  <c r="D115" i="39"/>
  <c r="E115" i="39"/>
  <c r="F115" i="39"/>
  <c r="G115" i="39"/>
  <c r="H115" i="39"/>
  <c r="I115" i="39"/>
  <c r="J115" i="39"/>
  <c r="K115" i="39"/>
  <c r="L115" i="39"/>
  <c r="M115" i="39"/>
  <c r="C115" i="39"/>
  <c r="A21" i="62"/>
  <c r="A20" i="62"/>
  <c r="A22" i="51"/>
  <c r="B17" i="72" s="1"/>
  <c r="A21" i="51"/>
  <c r="A20" i="51"/>
  <c r="B15" i="72" s="1"/>
  <c r="A14" i="62"/>
  <c r="B60" i="72" s="1"/>
  <c r="A13" i="62"/>
  <c r="B59" i="72" s="1"/>
  <c r="A19" i="62"/>
  <c r="B65" i="72" s="1"/>
  <c r="A12" i="62"/>
  <c r="B58" i="72" s="1"/>
  <c r="A120" i="9"/>
  <c r="H2" i="52"/>
  <c r="A1" i="52"/>
  <c r="A3" i="53"/>
  <c r="Q23" i="71"/>
  <c r="P23" i="71"/>
  <c r="O23" i="71"/>
  <c r="N23"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c r="AH9" i="43"/>
  <c r="AH12" i="43" s="1"/>
  <c r="AG9" i="43"/>
  <c r="AG10" i="43" s="1"/>
  <c r="AG12" i="43"/>
  <c r="AF9" i="43"/>
  <c r="AE9" i="43"/>
  <c r="AE12" i="43"/>
  <c r="AD9" i="43"/>
  <c r="AC9" i="43"/>
  <c r="AC12" i="43"/>
  <c r="AB9" i="43"/>
  <c r="AB12" i="43" s="1"/>
  <c r="AA9" i="43"/>
  <c r="AA12" i="43"/>
  <c r="Z9" i="43"/>
  <c r="Z12" i="43" s="1"/>
  <c r="AA10" i="43"/>
  <c r="AC10" i="43"/>
  <c r="AE10" i="43"/>
  <c r="AI10" i="43"/>
  <c r="Z10" i="43"/>
  <c r="K49" i="9"/>
  <c r="E107" i="9"/>
  <c r="B13" i="53" s="1"/>
  <c r="B29" i="72" s="1"/>
  <c r="A122" i="9"/>
  <c r="A8" i="52" s="1"/>
  <c r="B54" i="7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B49" i="48"/>
  <c r="B5" i="72"/>
  <c r="I19" i="43"/>
  <c r="D86" i="71"/>
  <c r="F85" i="71"/>
  <c r="E85" i="71"/>
  <c r="E84" i="71"/>
  <c r="E83" i="71"/>
  <c r="C85" i="71"/>
  <c r="D85" i="71"/>
  <c r="B85" i="71"/>
  <c r="B84" i="71" s="1"/>
  <c r="F84" i="71"/>
  <c r="F83" i="71" s="1"/>
  <c r="B83" i="71"/>
  <c r="D82" i="71"/>
  <c r="F81" i="71"/>
  <c r="E81" i="71"/>
  <c r="E80" i="71"/>
  <c r="E79" i="71"/>
  <c r="C81" i="71"/>
  <c r="D81" i="71"/>
  <c r="B81" i="71"/>
  <c r="B80" i="71" s="1"/>
  <c r="B79" i="71" s="1"/>
  <c r="F80" i="71"/>
  <c r="F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s="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V69" i="71"/>
  <c r="E69" i="71"/>
  <c r="U69" i="71"/>
  <c r="C69" i="71"/>
  <c r="C68" i="71" s="1"/>
  <c r="T69" i="71"/>
  <c r="B69" i="71"/>
  <c r="S69" i="71"/>
  <c r="Q68" i="71"/>
  <c r="P68" i="71"/>
  <c r="O68" i="71"/>
  <c r="N68" i="71"/>
  <c r="F68" i="71"/>
  <c r="F67" i="71"/>
  <c r="B68" i="71"/>
  <c r="B67" i="71"/>
  <c r="Q67" i="71"/>
  <c r="P67" i="71"/>
  <c r="O67" i="71"/>
  <c r="N67" i="71"/>
  <c r="Q66" i="71"/>
  <c r="P66" i="71"/>
  <c r="O66" i="71"/>
  <c r="N66" i="71"/>
  <c r="D66" i="71"/>
  <c r="F65" i="71"/>
  <c r="V65" i="71" s="1"/>
  <c r="E65" i="71"/>
  <c r="P65" i="71"/>
  <c r="C65" i="71"/>
  <c r="O65" i="71" s="1"/>
  <c r="B65" i="71"/>
  <c r="S65" i="71"/>
  <c r="B64" i="71"/>
  <c r="D62" i="71"/>
  <c r="Q61" i="71"/>
  <c r="P61" i="71"/>
  <c r="O61" i="71"/>
  <c r="N61" i="71"/>
  <c r="Q60" i="71"/>
  <c r="P60" i="71"/>
  <c r="O60" i="71"/>
  <c r="N60" i="71"/>
  <c r="Q59" i="71"/>
  <c r="P59" i="71"/>
  <c r="O59" i="71"/>
  <c r="N59" i="71"/>
  <c r="B60" i="71" s="1"/>
  <c r="B61" i="71" s="1"/>
  <c r="S61" i="71" s="1"/>
  <c r="Q58" i="71"/>
  <c r="F59" i="71" s="1"/>
  <c r="F60" i="71" s="1"/>
  <c r="F61" i="71"/>
  <c r="V61" i="71"/>
  <c r="P58" i="71"/>
  <c r="E59" i="71"/>
  <c r="O58" i="71"/>
  <c r="C59" i="71"/>
  <c r="C60" i="71" s="1"/>
  <c r="N58" i="71"/>
  <c r="B59" i="71"/>
  <c r="D58" i="71"/>
  <c r="Q57" i="71"/>
  <c r="P57" i="71"/>
  <c r="O57" i="71"/>
  <c r="N57" i="71"/>
  <c r="Q56" i="71"/>
  <c r="P56" i="71"/>
  <c r="O56" i="71"/>
  <c r="N56" i="71"/>
  <c r="Q55" i="71"/>
  <c r="P55" i="71"/>
  <c r="O55" i="71"/>
  <c r="N55" i="71"/>
  <c r="Q54" i="71"/>
  <c r="F55" i="71"/>
  <c r="F56" i="71" s="1"/>
  <c r="F57" i="71" s="1"/>
  <c r="V57" i="71"/>
  <c r="P54" i="71"/>
  <c r="E55" i="71" s="1"/>
  <c r="E56" i="71" s="1"/>
  <c r="E57" i="71" s="1"/>
  <c r="U57" i="71" s="1"/>
  <c r="O54" i="71"/>
  <c r="C55" i="71"/>
  <c r="C56" i="71" s="1"/>
  <c r="C57" i="71" s="1"/>
  <c r="N54" i="71"/>
  <c r="B55" i="71" s="1"/>
  <c r="B56" i="71" s="1"/>
  <c r="B57" i="7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C48" i="71" s="1"/>
  <c r="N47" i="71"/>
  <c r="Q46" i="71"/>
  <c r="F47" i="71"/>
  <c r="P46" i="71"/>
  <c r="E47" i="71"/>
  <c r="E48" i="71" s="1"/>
  <c r="E49" i="71" s="1"/>
  <c r="U49" i="71"/>
  <c r="O46" i="71"/>
  <c r="C47" i="71" s="1"/>
  <c r="N46" i="71"/>
  <c r="B47" i="71"/>
  <c r="B48" i="71"/>
  <c r="B49" i="71" s="1"/>
  <c r="S49" i="71" s="1"/>
  <c r="D46" i="71"/>
  <c r="T45" i="71"/>
  <c r="Q45" i="71"/>
  <c r="P45" i="71"/>
  <c r="O45" i="71"/>
  <c r="N45" i="71"/>
  <c r="D45" i="71"/>
  <c r="Q44" i="71"/>
  <c r="P44" i="71"/>
  <c r="O44" i="71"/>
  <c r="N44" i="71"/>
  <c r="Q43" i="71"/>
  <c r="P43" i="71"/>
  <c r="O43" i="71"/>
  <c r="N43" i="71"/>
  <c r="F44" i="71"/>
  <c r="F45" i="71" s="1"/>
  <c r="V45" i="71" s="1"/>
  <c r="Q42" i="71"/>
  <c r="F43" i="71" s="1"/>
  <c r="P42" i="71"/>
  <c r="E43" i="71"/>
  <c r="E44" i="71" s="1"/>
  <c r="E45" i="71" s="1"/>
  <c r="U45" i="71" s="1"/>
  <c r="O42" i="71"/>
  <c r="C43" i="71" s="1"/>
  <c r="N42" i="71"/>
  <c r="B43" i="71"/>
  <c r="B44" i="71" s="1"/>
  <c r="B45" i="71" s="1"/>
  <c r="S45" i="71" s="1"/>
  <c r="D42" i="71"/>
  <c r="Q41" i="71"/>
  <c r="P41" i="71"/>
  <c r="O41" i="71"/>
  <c r="N41" i="71"/>
  <c r="Q40" i="71"/>
  <c r="P40" i="71"/>
  <c r="O40" i="71"/>
  <c r="N40" i="71"/>
  <c r="Q39" i="71"/>
  <c r="P39" i="71"/>
  <c r="O39" i="71"/>
  <c r="N39" i="71"/>
  <c r="F39" i="71"/>
  <c r="F40" i="71" s="1"/>
  <c r="F41" i="71" s="1"/>
  <c r="V41" i="71"/>
  <c r="Q38" i="71"/>
  <c r="P38" i="71"/>
  <c r="E39" i="71"/>
  <c r="E40" i="71"/>
  <c r="E41" i="71" s="1"/>
  <c r="U41" i="71" s="1"/>
  <c r="O38" i="71"/>
  <c r="C39" i="71"/>
  <c r="C40" i="71" s="1"/>
  <c r="N38" i="71"/>
  <c r="B39" i="71" s="1"/>
  <c r="B40" i="71" s="1"/>
  <c r="B41" i="71" s="1"/>
  <c r="S41" i="71" s="1"/>
  <c r="D38" i="71"/>
  <c r="Q37" i="71"/>
  <c r="P37" i="71"/>
  <c r="O37" i="71"/>
  <c r="N37" i="71"/>
  <c r="Q36" i="71"/>
  <c r="P36" i="71"/>
  <c r="O36" i="71"/>
  <c r="Y36" i="71"/>
  <c r="Z36" i="71"/>
  <c r="N36" i="71"/>
  <c r="X36" i="71"/>
  <c r="Q35" i="71"/>
  <c r="AB32" i="71" s="1"/>
  <c r="AB35" i="71"/>
  <c r="P35" i="71"/>
  <c r="O35" i="71"/>
  <c r="Y35" i="71"/>
  <c r="Z35" i="71"/>
  <c r="N35" i="71"/>
  <c r="Q34" i="71"/>
  <c r="F35" i="71" s="1"/>
  <c r="F36" i="71" s="1"/>
  <c r="F37" i="71" s="1"/>
  <c r="V37" i="71" s="1"/>
  <c r="P34" i="71"/>
  <c r="O34" i="71"/>
  <c r="N34" i="71"/>
  <c r="D34" i="71"/>
  <c r="Q33" i="71"/>
  <c r="P33" i="71"/>
  <c r="O33" i="71"/>
  <c r="N33" i="71"/>
  <c r="Q32" i="71"/>
  <c r="P32" i="71"/>
  <c r="AA32" i="71" s="1"/>
  <c r="O32" i="71"/>
  <c r="N32" i="71"/>
  <c r="X32" i="71" s="1"/>
  <c r="Q31" i="71"/>
  <c r="P31" i="71"/>
  <c r="AA31" i="71" s="1"/>
  <c r="O31" i="71"/>
  <c r="Y31" i="71" s="1"/>
  <c r="Z31" i="71" s="1"/>
  <c r="N31" i="71"/>
  <c r="Q30" i="71"/>
  <c r="P30" i="71"/>
  <c r="O30" i="71"/>
  <c r="N30" i="71"/>
  <c r="X30" i="71" s="1"/>
  <c r="D30" i="71"/>
  <c r="Q29" i="71"/>
  <c r="P29" i="71"/>
  <c r="O29" i="71"/>
  <c r="N29" i="71"/>
  <c r="X28" i="71" s="1"/>
  <c r="Q28" i="71"/>
  <c r="P28" i="71"/>
  <c r="O28" i="71"/>
  <c r="Y27" i="71" s="1"/>
  <c r="Z27" i="71" s="1"/>
  <c r="Y28" i="71"/>
  <c r="Z28" i="71" s="1"/>
  <c r="N28" i="71"/>
  <c r="Q27" i="71"/>
  <c r="AB26" i="71" s="1"/>
  <c r="P27" i="71"/>
  <c r="O27" i="71"/>
  <c r="N27" i="71"/>
  <c r="Q26" i="71"/>
  <c r="F27" i="71" s="1"/>
  <c r="F28" i="71" s="1"/>
  <c r="F29" i="71" s="1"/>
  <c r="V29" i="71" s="1"/>
  <c r="P26" i="71"/>
  <c r="O26" i="71"/>
  <c r="N26" i="71"/>
  <c r="D26" i="71"/>
  <c r="O25" i="71"/>
  <c r="C25" i="71" s="1"/>
  <c r="D25" i="71" s="1"/>
  <c r="U25" i="71" s="1"/>
  <c r="N25" i="71"/>
  <c r="B27" i="71"/>
  <c r="B28" i="71"/>
  <c r="B29" i="71"/>
  <c r="S29" i="71" s="1"/>
  <c r="B31" i="71"/>
  <c r="B32" i="71" s="1"/>
  <c r="B33" i="71" s="1"/>
  <c r="S33" i="71" s="1"/>
  <c r="B35" i="71"/>
  <c r="B36" i="71" s="1"/>
  <c r="B37" i="71" s="1"/>
  <c r="S37" i="71"/>
  <c r="X34" i="71"/>
  <c r="N65" i="71"/>
  <c r="E31" i="71"/>
  <c r="AA30" i="71"/>
  <c r="C27" i="71"/>
  <c r="C28" i="71" s="1"/>
  <c r="C29" i="71" s="1"/>
  <c r="AA28" i="71"/>
  <c r="X29" i="71"/>
  <c r="C31" i="71"/>
  <c r="X31" i="71"/>
  <c r="X33" i="71"/>
  <c r="AA33" i="71"/>
  <c r="X35" i="71"/>
  <c r="F48" i="71"/>
  <c r="F49" i="71"/>
  <c r="V49" i="71" s="1"/>
  <c r="Y23" i="71"/>
  <c r="Z23" i="71" s="1"/>
  <c r="B25" i="71"/>
  <c r="S25" i="71" s="1"/>
  <c r="X24" i="71"/>
  <c r="D31" i="71"/>
  <c r="C44" i="71"/>
  <c r="D44" i="71" s="1"/>
  <c r="D43" i="71"/>
  <c r="D47" i="71"/>
  <c r="P25" i="71"/>
  <c r="E52" i="71"/>
  <c r="E53" i="71" s="1"/>
  <c r="U53" i="71" s="1"/>
  <c r="E60" i="71"/>
  <c r="E61" i="71" s="1"/>
  <c r="U61" i="71"/>
  <c r="U65" i="71"/>
  <c r="E64" i="71"/>
  <c r="Q25" i="71"/>
  <c r="AB23" i="71" s="1"/>
  <c r="C52" i="71"/>
  <c r="D51" i="71"/>
  <c r="D59" i="71"/>
  <c r="N64" i="71"/>
  <c r="B63" i="71"/>
  <c r="T65" i="71"/>
  <c r="D65" i="71"/>
  <c r="E68" i="71"/>
  <c r="E67" i="71"/>
  <c r="C72" i="71"/>
  <c r="E72" i="71"/>
  <c r="E71" i="71"/>
  <c r="D73" i="71"/>
  <c r="C76" i="71"/>
  <c r="E76" i="71"/>
  <c r="E75" i="71"/>
  <c r="D77" i="71"/>
  <c r="C80" i="71"/>
  <c r="C84" i="71"/>
  <c r="C83" i="71" s="1"/>
  <c r="T25" i="71"/>
  <c r="F25" i="71"/>
  <c r="F24" i="71"/>
  <c r="F23" i="71"/>
  <c r="E25" i="71"/>
  <c r="E24" i="71"/>
  <c r="E23" i="71"/>
  <c r="AA23" i="71"/>
  <c r="D80" i="71"/>
  <c r="C79" i="71"/>
  <c r="D79" i="71"/>
  <c r="D72" i="71"/>
  <c r="C71" i="71"/>
  <c r="D71" i="71" s="1"/>
  <c r="N62" i="71"/>
  <c r="N63" i="71"/>
  <c r="D84" i="71"/>
  <c r="D83" i="71"/>
  <c r="D76" i="71"/>
  <c r="C75" i="71"/>
  <c r="D75" i="71" s="1"/>
  <c r="D68" i="71"/>
  <c r="C67" i="71"/>
  <c r="D67" i="71" s="1"/>
  <c r="D56" i="71"/>
  <c r="C53" i="71"/>
  <c r="D53" i="71" s="1"/>
  <c r="D52" i="71"/>
  <c r="P64" i="71"/>
  <c r="E63" i="71"/>
  <c r="P62" i="71" s="1"/>
  <c r="V25" i="71"/>
  <c r="P63" i="71"/>
  <c r="T57" i="71"/>
  <c r="D57" i="71"/>
  <c r="O27" i="6"/>
  <c r="N27" i="6"/>
  <c r="P20" i="6"/>
  <c r="P21" i="6"/>
  <c r="P27" i="6" s="1"/>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c r="C22" i="20"/>
  <c r="B55" i="43" s="1"/>
  <c r="B75" i="43"/>
  <c r="B66" i="43"/>
  <c r="C25" i="40"/>
  <c r="C29" i="39"/>
  <c r="S18" i="36"/>
  <c r="S21" i="34"/>
  <c r="H25" i="40"/>
  <c r="AB25" i="40" s="1"/>
  <c r="J25" i="40"/>
  <c r="AC25" i="40" s="1"/>
  <c r="H29" i="39"/>
  <c r="AB29" i="39" s="1"/>
  <c r="J29" i="39"/>
  <c r="AC29" i="39" s="1"/>
  <c r="J18" i="36"/>
  <c r="AC18" i="36" s="1"/>
  <c r="H18" i="35"/>
  <c r="AB18" i="35" s="1"/>
  <c r="S18" i="35"/>
  <c r="G68" i="35"/>
  <c r="J18" i="35"/>
  <c r="F77" i="37"/>
  <c r="G77" i="37" s="1"/>
  <c r="H21" i="37"/>
  <c r="AB21" i="37" s="1"/>
  <c r="F21" i="37"/>
  <c r="AA21" i="37" s="1"/>
  <c r="H21" i="34"/>
  <c r="AB21" i="34" s="1"/>
  <c r="H21" i="33"/>
  <c r="U21" i="33" s="1"/>
  <c r="F21" i="33"/>
  <c r="E83" i="21"/>
  <c r="F83" i="21" s="1"/>
  <c r="H1" i="69"/>
  <c r="W25" i="40"/>
  <c r="U25" i="40"/>
  <c r="U29" i="39"/>
  <c r="W29" i="39"/>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s="1"/>
  <c r="K81" i="43"/>
  <c r="J81" i="43" s="1"/>
  <c r="M78" i="43"/>
  <c r="N78" i="43" s="1"/>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c r="N12" i="31" s="1"/>
  <c r="O12" i="31" s="1"/>
  <c r="P12" i="31" s="1"/>
  <c r="Q12" i="31" s="1"/>
  <c r="R12" i="31" s="1"/>
  <c r="S12" i="31" s="1"/>
  <c r="D10" i="31"/>
  <c r="E10" i="3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F15" i="4"/>
  <c r="F8" i="1"/>
  <c r="G8" i="1" s="1"/>
  <c r="F9" i="1"/>
  <c r="F10" i="1"/>
  <c r="G10" i="1" s="1"/>
  <c r="F11" i="1"/>
  <c r="F12" i="1"/>
  <c r="F13" i="1"/>
  <c r="D6" i="1"/>
  <c r="D9" i="1"/>
  <c r="D10" i="1"/>
  <c r="D11" i="1"/>
  <c r="D12" i="1"/>
  <c r="D13" i="1"/>
  <c r="D7" i="1"/>
  <c r="D8" i="1"/>
  <c r="A7" i="1"/>
  <c r="A8" i="1"/>
  <c r="B8" i="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AZ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A185" i="3" s="1"/>
  <c r="BB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15" i="62" s="1"/>
  <c r="A5" i="62"/>
  <c r="B72" i="72" s="1"/>
  <c r="A4" i="62"/>
  <c r="B70" i="72" s="1"/>
  <c r="F33" i="9"/>
  <c r="B37" i="48"/>
  <c r="B2" i="72" s="1"/>
  <c r="R35" i="4"/>
  <c r="Q35" i="4"/>
  <c r="P35" i="4"/>
  <c r="O35" i="4"/>
  <c r="N35" i="4"/>
  <c r="M35" i="4"/>
  <c r="L35" i="4"/>
  <c r="K34" i="4"/>
  <c r="T34" i="4" s="1"/>
  <c r="G13" i="1"/>
  <c r="I15" i="4"/>
  <c r="H15" i="4"/>
  <c r="G15" i="4"/>
  <c r="E15" i="4"/>
  <c r="F6" i="1" s="1"/>
  <c r="G6" i="1" s="1"/>
  <c r="D15" i="4"/>
  <c r="F7" i="1"/>
  <c r="G7" i="1" s="1"/>
  <c r="L21" i="4"/>
  <c r="F19" i="4"/>
  <c r="F2" i="52"/>
  <c r="B50" i="72" s="1"/>
  <c r="D2" i="52"/>
  <c r="B46" i="72" s="1"/>
  <c r="B8" i="53"/>
  <c r="B23" i="72" s="1"/>
  <c r="L4" i="9"/>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s="1"/>
  <c r="G55" i="34"/>
  <c r="H55" i="34" s="1"/>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L547" i="3" s="1"/>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L550" i="3" s="1"/>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L566" i="3" s="1"/>
  <c r="BQ566" i="3"/>
  <c r="BR566" i="3"/>
  <c r="BS566" i="3"/>
  <c r="BT566" i="3"/>
  <c r="H567" i="3"/>
  <c r="G567" i="3" s="1"/>
  <c r="AC567" i="3"/>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A570" i="3" s="1"/>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L571" i="3" s="1"/>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L573" i="3" s="1"/>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A575" i="3" s="1"/>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A582" i="3" s="1"/>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B111" i="39"/>
  <c r="H36" i="39" s="1"/>
  <c r="J30" i="36"/>
  <c r="H30" i="36"/>
  <c r="F30" i="36"/>
  <c r="S30" i="36" s="1"/>
  <c r="C26" i="35"/>
  <c r="C79" i="35"/>
  <c r="J31" i="35"/>
  <c r="AC31" i="35" s="1"/>
  <c r="H31" i="35"/>
  <c r="F31" i="35"/>
  <c r="D87" i="35"/>
  <c r="E87" i="35" s="1"/>
  <c r="F87" i="35" s="1"/>
  <c r="G87" i="35" s="1"/>
  <c r="H87" i="35" s="1"/>
  <c r="I87" i="35" s="1"/>
  <c r="J87" i="35" s="1"/>
  <c r="K87" i="35"/>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W41" i="33" s="1"/>
  <c r="D113" i="33"/>
  <c r="E113" i="33" s="1"/>
  <c r="F113" i="33" s="1"/>
  <c r="F37" i="33"/>
  <c r="D111" i="33"/>
  <c r="E111" i="33"/>
  <c r="F111" i="33"/>
  <c r="S515" i="31"/>
  <c r="S517" i="31"/>
  <c r="S518" i="31"/>
  <c r="S519" i="31"/>
  <c r="S521" i="31"/>
  <c r="S522" i="31"/>
  <c r="S523" i="31"/>
  <c r="F41" i="21"/>
  <c r="J41" i="21"/>
  <c r="AC41" i="21" s="1"/>
  <c r="H41" i="21"/>
  <c r="U41" i="21"/>
  <c r="D80" i="39"/>
  <c r="E80" i="39" s="1"/>
  <c r="F80" i="39" s="1"/>
  <c r="G80" i="39" s="1"/>
  <c r="H80" i="39" s="1"/>
  <c r="I80" i="39" s="1"/>
  <c r="J80" i="39" s="1"/>
  <c r="K80" i="39" s="1"/>
  <c r="L80" i="39" s="1"/>
  <c r="M80" i="39" s="1"/>
  <c r="D76" i="40"/>
  <c r="E76" i="40" s="1"/>
  <c r="F76" i="40"/>
  <c r="G76" i="40"/>
  <c r="H76" i="40" s="1"/>
  <c r="I76" i="40" s="1"/>
  <c r="J76" i="40" s="1"/>
  <c r="K76" i="40"/>
  <c r="L76" i="40" s="1"/>
  <c r="M76" i="40" s="1"/>
  <c r="B120" i="40"/>
  <c r="B118" i="40"/>
  <c r="J39" i="40"/>
  <c r="B116" i="40"/>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c r="D98" i="40"/>
  <c r="E98" i="40" s="1"/>
  <c r="F98" i="40" s="1"/>
  <c r="J28" i="40"/>
  <c r="AC28" i="40" s="1"/>
  <c r="D96" i="40"/>
  <c r="E96" i="40"/>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c r="D84" i="40"/>
  <c r="E84" i="40" s="1"/>
  <c r="F84" i="40" s="1"/>
  <c r="G84" i="40" s="1"/>
  <c r="B81" i="40"/>
  <c r="J14" i="40" s="1"/>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F40" i="40"/>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AC8" i="40" s="1"/>
  <c r="H8" i="40"/>
  <c r="F8" i="40"/>
  <c r="AA8" i="40" s="1"/>
  <c r="J38" i="39"/>
  <c r="W38" i="39" s="1"/>
  <c r="H38" i="39"/>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H9" i="39"/>
  <c r="AB9" i="39" s="1"/>
  <c r="F9" i="39"/>
  <c r="AA9" i="39" s="1"/>
  <c r="J8" i="39"/>
  <c r="AC8" i="39" s="1"/>
  <c r="H8" i="39"/>
  <c r="U8" i="39" s="1"/>
  <c r="F8" i="39"/>
  <c r="AA8" i="39" s="1"/>
  <c r="C20" i="36"/>
  <c r="C20" i="35"/>
  <c r="C16" i="36"/>
  <c r="C16" i="35"/>
  <c r="C14" i="36"/>
  <c r="C14" i="35"/>
  <c r="B80" i="37"/>
  <c r="H25" i="37"/>
  <c r="U25" i="37" s="1"/>
  <c r="B110" i="37"/>
  <c r="J39" i="37" s="1"/>
  <c r="AC39" i="37"/>
  <c r="B108" i="37"/>
  <c r="J38" i="37" s="1"/>
  <c r="AC38" i="37" s="1"/>
  <c r="C23" i="37"/>
  <c r="C19" i="37"/>
  <c r="C17" i="37"/>
  <c r="C15" i="37"/>
  <c r="B112" i="37"/>
  <c r="D107" i="37"/>
  <c r="E107" i="37"/>
  <c r="F107" i="37" s="1"/>
  <c r="G107" i="37" s="1"/>
  <c r="D105" i="37"/>
  <c r="E105" i="37" s="1"/>
  <c r="F105" i="37" s="1"/>
  <c r="D103" i="37"/>
  <c r="J35" i="37"/>
  <c r="W35" i="37" s="1"/>
  <c r="F97" i="37"/>
  <c r="E97" i="37"/>
  <c r="D97" i="37"/>
  <c r="C97" i="37"/>
  <c r="D96" i="37"/>
  <c r="E96" i="37" s="1"/>
  <c r="D94" i="37"/>
  <c r="E94" i="37" s="1"/>
  <c r="F94" i="37" s="1"/>
  <c r="G94" i="37" s="1"/>
  <c r="M90" i="37"/>
  <c r="L90" i="37"/>
  <c r="K90" i="37"/>
  <c r="J90" i="37"/>
  <c r="I90" i="37"/>
  <c r="H90" i="37"/>
  <c r="G90" i="37"/>
  <c r="F90" i="37"/>
  <c r="E90" i="37"/>
  <c r="D90" i="37"/>
  <c r="C90" i="37"/>
  <c r="D89" i="37"/>
  <c r="E89" i="37" s="1"/>
  <c r="B86" i="37"/>
  <c r="B84" i="37"/>
  <c r="H27" i="37" s="1"/>
  <c r="U27" i="37" s="1"/>
  <c r="B82" i="37"/>
  <c r="D79" i="37"/>
  <c r="E79" i="37" s="1"/>
  <c r="F79" i="37" s="1"/>
  <c r="D75" i="37"/>
  <c r="E75" i="37" s="1"/>
  <c r="D73" i="37"/>
  <c r="E73" i="37" s="1"/>
  <c r="F73" i="37"/>
  <c r="D71" i="37"/>
  <c r="H15" i="37"/>
  <c r="AB15" i="37" s="1"/>
  <c r="B68" i="37"/>
  <c r="J14" i="37" s="1"/>
  <c r="H14" i="37"/>
  <c r="B66" i="37"/>
  <c r="B64" i="37"/>
  <c r="H12" i="37" s="1"/>
  <c r="AB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F30" i="37"/>
  <c r="AA30" i="37"/>
  <c r="Q29" i="37"/>
  <c r="Z29" i="37" s="1"/>
  <c r="H29" i="37"/>
  <c r="AB29" i="37"/>
  <c r="Q28" i="37"/>
  <c r="Z28" i="37" s="1"/>
  <c r="Q27" i="37"/>
  <c r="Z27" i="37"/>
  <c r="Q26" i="37"/>
  <c r="Z26" i="37" s="1"/>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c r="F79" i="36"/>
  <c r="E79" i="36"/>
  <c r="D79" i="36"/>
  <c r="C79" i="36"/>
  <c r="B93" i="36"/>
  <c r="H33" i="36"/>
  <c r="B91" i="36"/>
  <c r="F32" i="36"/>
  <c r="S32" i="36" s="1"/>
  <c r="B95" i="36"/>
  <c r="H34" i="36"/>
  <c r="D83" i="36"/>
  <c r="E83" i="36"/>
  <c r="F83" i="36" s="1"/>
  <c r="G83" i="36" s="1"/>
  <c r="H83" i="36" s="1"/>
  <c r="I83" i="36" s="1"/>
  <c r="J83" i="36" s="1"/>
  <c r="K83" i="36" s="1"/>
  <c r="L83" i="36" s="1"/>
  <c r="M83" i="36" s="1"/>
  <c r="D78" i="36"/>
  <c r="E78" i="36"/>
  <c r="F78" i="36" s="1"/>
  <c r="G78" i="36" s="1"/>
  <c r="H78" i="36" s="1"/>
  <c r="I78" i="36" s="1"/>
  <c r="J78" i="36" s="1"/>
  <c r="K78" i="36"/>
  <c r="L78" i="36" s="1"/>
  <c r="M78" i="36" s="1"/>
  <c r="B75" i="36"/>
  <c r="B73" i="36"/>
  <c r="J24" i="36" s="1"/>
  <c r="W24" i="36" s="1"/>
  <c r="AC24" i="36"/>
  <c r="B71" i="36"/>
  <c r="H23" i="36" s="1"/>
  <c r="AB23" i="36" s="1"/>
  <c r="D70" i="36"/>
  <c r="H22" i="36"/>
  <c r="AB22" i="36"/>
  <c r="D68" i="36"/>
  <c r="E68" i="36" s="1"/>
  <c r="F68" i="36" s="1"/>
  <c r="G68" i="36" s="1"/>
  <c r="D64" i="36"/>
  <c r="E64" i="36" s="1"/>
  <c r="F64" i="36" s="1"/>
  <c r="G64" i="36" s="1"/>
  <c r="J16" i="36"/>
  <c r="W16" i="36"/>
  <c r="D62" i="36"/>
  <c r="E62" i="36"/>
  <c r="F62" i="36"/>
  <c r="G62" i="36"/>
  <c r="B59" i="36"/>
  <c r="B57" i="36"/>
  <c r="J12" i="36"/>
  <c r="B55" i="36"/>
  <c r="F54" i="36"/>
  <c r="G54" i="36"/>
  <c r="H54" i="36"/>
  <c r="I54" i="36"/>
  <c r="C51" i="36"/>
  <c r="P37" i="36"/>
  <c r="P36" i="36"/>
  <c r="V35" i="36"/>
  <c r="T35" i="36"/>
  <c r="R35" i="36"/>
  <c r="P35" i="36"/>
  <c r="Q34" i="36"/>
  <c r="Z34" i="36" s="1"/>
  <c r="Q33" i="36"/>
  <c r="Z33" i="36" s="1"/>
  <c r="Q32" i="36"/>
  <c r="Z32" i="36" s="1"/>
  <c r="Q31" i="36"/>
  <c r="Z31" i="36" s="1"/>
  <c r="Q30" i="36"/>
  <c r="Z30" i="36" s="1"/>
  <c r="AC30" i="36"/>
  <c r="Q29" i="36"/>
  <c r="Z29" i="36" s="1"/>
  <c r="Q28" i="36"/>
  <c r="Z28" i="36"/>
  <c r="J28" i="36"/>
  <c r="Q27" i="36"/>
  <c r="Z27" i="36"/>
  <c r="Q26" i="36"/>
  <c r="Z26" i="36" s="1"/>
  <c r="H26" i="36"/>
  <c r="AB26" i="36"/>
  <c r="Q25" i="36"/>
  <c r="Z25" i="36" s="1"/>
  <c r="Q24" i="36"/>
  <c r="Z24" i="36"/>
  <c r="H24" i="36"/>
  <c r="AB24" i="36" s="1"/>
  <c r="Q23" i="36"/>
  <c r="Z23" i="36"/>
  <c r="J23" i="36"/>
  <c r="AC23" i="36" s="1"/>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W8" i="36" s="1"/>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F35" i="35" s="1"/>
  <c r="B97" i="35"/>
  <c r="B77" i="35"/>
  <c r="B75" i="35"/>
  <c r="J24" i="35"/>
  <c r="AC24" i="35" s="1"/>
  <c r="B73" i="35"/>
  <c r="J23" i="35" s="1"/>
  <c r="B57" i="35"/>
  <c r="B61" i="35"/>
  <c r="J13" i="35" s="1"/>
  <c r="B59" i="35"/>
  <c r="H12" i="35" s="1"/>
  <c r="B131" i="34"/>
  <c r="B129" i="34"/>
  <c r="B127" i="34"/>
  <c r="J45" i="34" s="1"/>
  <c r="B99" i="34"/>
  <c r="B97" i="34"/>
  <c r="B95" i="34"/>
  <c r="B93" i="34"/>
  <c r="F29" i="34" s="1"/>
  <c r="B75" i="34"/>
  <c r="B73" i="34"/>
  <c r="H13" i="34" s="1"/>
  <c r="B71" i="34"/>
  <c r="B130" i="33"/>
  <c r="B128" i="33"/>
  <c r="B126" i="33"/>
  <c r="H44" i="33" s="1"/>
  <c r="U44" i="33" s="1"/>
  <c r="B98" i="33"/>
  <c r="B96" i="33"/>
  <c r="F30" i="33" s="1"/>
  <c r="B94" i="33"/>
  <c r="B74" i="33"/>
  <c r="J14" i="33" s="1"/>
  <c r="AC14" i="33" s="1"/>
  <c r="B72" i="33"/>
  <c r="B70" i="33"/>
  <c r="J12" i="33" s="1"/>
  <c r="D96" i="35"/>
  <c r="E96" i="35" s="1"/>
  <c r="F96" i="35" s="1"/>
  <c r="G96" i="35" s="1"/>
  <c r="D94" i="35"/>
  <c r="E94" i="35" s="1"/>
  <c r="F94" i="35"/>
  <c r="G94" i="35"/>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c r="G64" i="35" s="1"/>
  <c r="J14" i="35"/>
  <c r="W14" i="35" s="1"/>
  <c r="F56" i="35"/>
  <c r="G56" i="35" s="1"/>
  <c r="H56" i="35"/>
  <c r="I56" i="35"/>
  <c r="C53" i="35"/>
  <c r="J9" i="35" s="1"/>
  <c r="P39" i="35"/>
  <c r="P38" i="35"/>
  <c r="V37" i="35"/>
  <c r="T37" i="35"/>
  <c r="R37" i="35"/>
  <c r="P37" i="35"/>
  <c r="Q36" i="35"/>
  <c r="Z36" i="35" s="1"/>
  <c r="J36" i="35"/>
  <c r="AC36" i="35" s="1"/>
  <c r="Q35" i="35"/>
  <c r="Z35" i="35" s="1"/>
  <c r="Q34" i="35"/>
  <c r="Z34" i="35" s="1"/>
  <c r="J34" i="35"/>
  <c r="AC34" i="35" s="1"/>
  <c r="H34" i="35"/>
  <c r="F34" i="35"/>
  <c r="AA34" i="35" s="1"/>
  <c r="Q33" i="35"/>
  <c r="Z33" i="35"/>
  <c r="Q32" i="35"/>
  <c r="Z32" i="35" s="1"/>
  <c r="H32" i="35"/>
  <c r="AB32" i="35" s="1"/>
  <c r="F32" i="35"/>
  <c r="AA32" i="35" s="1"/>
  <c r="Q31" i="35"/>
  <c r="Z31" i="35" s="1"/>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AC23" i="35"/>
  <c r="Q22" i="35"/>
  <c r="Z22" i="35" s="1"/>
  <c r="Q20" i="35"/>
  <c r="Z20" i="35"/>
  <c r="Q16" i="35"/>
  <c r="Z16" i="35" s="1"/>
  <c r="Q14" i="35"/>
  <c r="Z14" i="35"/>
  <c r="Q13" i="35"/>
  <c r="Z13" i="35" s="1"/>
  <c r="Q12" i="35"/>
  <c r="Z12" i="35"/>
  <c r="J12" i="35"/>
  <c r="W12" i="35" s="1"/>
  <c r="U12" i="35"/>
  <c r="F12" i="35"/>
  <c r="S12" i="35"/>
  <c r="Q11" i="35"/>
  <c r="Z11" i="35"/>
  <c r="Q10" i="35"/>
  <c r="Z10" i="35"/>
  <c r="Q9" i="35"/>
  <c r="Z9" i="35"/>
  <c r="J8" i="35"/>
  <c r="W8" i="35"/>
  <c r="H8" i="35"/>
  <c r="AB8" i="35"/>
  <c r="F8" i="35"/>
  <c r="AA8" i="35"/>
  <c r="D120" i="34"/>
  <c r="E120" i="34"/>
  <c r="F120" i="34"/>
  <c r="G120" i="34"/>
  <c r="H120" i="34" s="1"/>
  <c r="I120" i="34" s="1"/>
  <c r="J120" i="34" s="1"/>
  <c r="K120" i="34" s="1"/>
  <c r="L120" i="34" s="1"/>
  <c r="M120" i="34" s="1"/>
  <c r="D90" i="34"/>
  <c r="E90" i="34" s="1"/>
  <c r="F90" i="34" s="1"/>
  <c r="G90" i="34"/>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c r="L102" i="34" s="1"/>
  <c r="M102" i="34" s="1"/>
  <c r="D92" i="34"/>
  <c r="E92" i="34"/>
  <c r="F92" i="34"/>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c r="G82" i="34" s="1"/>
  <c r="D80" i="34"/>
  <c r="E80" i="34" s="1"/>
  <c r="F80" i="34"/>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F34" i="34"/>
  <c r="AA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J12" i="34"/>
  <c r="W12" i="34"/>
  <c r="H12" i="34"/>
  <c r="F12" i="34"/>
  <c r="S12" i="34" s="1"/>
  <c r="Q11" i="34"/>
  <c r="Z11" i="34"/>
  <c r="Q10" i="34"/>
  <c r="Z10" i="34" s="1"/>
  <c r="F10" i="34"/>
  <c r="AA10" i="34" s="1"/>
  <c r="Q9" i="34"/>
  <c r="Z9" i="34" s="1"/>
  <c r="J9" i="34"/>
  <c r="H9" i="34"/>
  <c r="F9" i="34"/>
  <c r="AA9" i="34"/>
  <c r="J8" i="34"/>
  <c r="AC8" i="34" s="1"/>
  <c r="H8" i="34"/>
  <c r="U8" i="34"/>
  <c r="F8" i="34"/>
  <c r="D121" i="33"/>
  <c r="E121" i="33" s="1"/>
  <c r="F109" i="33"/>
  <c r="E109" i="33"/>
  <c r="D109" i="33"/>
  <c r="C109" i="33"/>
  <c r="D91" i="33"/>
  <c r="E91" i="33"/>
  <c r="B88" i="33"/>
  <c r="J26" i="33" s="1"/>
  <c r="C23" i="33"/>
  <c r="C19" i="33"/>
  <c r="C17" i="33"/>
  <c r="C15" i="33"/>
  <c r="C15" i="21"/>
  <c r="D125" i="33"/>
  <c r="D123" i="33"/>
  <c r="E123" i="33" s="1"/>
  <c r="F123" i="33" s="1"/>
  <c r="G123" i="33" s="1"/>
  <c r="H123" i="33" s="1"/>
  <c r="D117" i="33"/>
  <c r="E117" i="33"/>
  <c r="F117" i="33"/>
  <c r="G117" i="33"/>
  <c r="D115" i="33"/>
  <c r="E115" i="33"/>
  <c r="F115" i="33"/>
  <c r="G115" i="33"/>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c r="D81" i="33"/>
  <c r="E81" i="33" s="1"/>
  <c r="D79" i="33"/>
  <c r="E79" i="33"/>
  <c r="F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AA40" i="33"/>
  <c r="Q39" i="33"/>
  <c r="Z39" i="33" s="1"/>
  <c r="J39" i="33"/>
  <c r="AC39" i="33" s="1"/>
  <c r="Q38" i="33"/>
  <c r="Z38" i="33"/>
  <c r="J38" i="33"/>
  <c r="AC38" i="33" s="1"/>
  <c r="H38" i="33"/>
  <c r="AB38" i="33" s="1"/>
  <c r="F38" i="33"/>
  <c r="Q37" i="33"/>
  <c r="Z37" i="33" s="1"/>
  <c r="Q36" i="33"/>
  <c r="Z36" i="33" s="1"/>
  <c r="Q35" i="33"/>
  <c r="Z35" i="33"/>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Q14" i="33"/>
  <c r="Z14" i="33" s="1"/>
  <c r="Q13" i="33"/>
  <c r="Z13" i="33" s="1"/>
  <c r="Q12" i="33"/>
  <c r="Z12" i="33" s="1"/>
  <c r="Q11" i="33"/>
  <c r="Z11" i="33" s="1"/>
  <c r="Q10" i="33"/>
  <c r="Z10" i="33" s="1"/>
  <c r="Q9" i="33"/>
  <c r="Z9" i="33"/>
  <c r="J9" i="33"/>
  <c r="AC9" i="33" s="1"/>
  <c r="J8" i="33"/>
  <c r="AC8" i="33" s="1"/>
  <c r="H8" i="33"/>
  <c r="AB8" i="33" s="1"/>
  <c r="F8" i="33"/>
  <c r="S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B77" i="43"/>
  <c r="C18" i="20"/>
  <c r="B71" i="43" s="1"/>
  <c r="C17" i="20"/>
  <c r="B59" i="43"/>
  <c r="C16" i="20"/>
  <c r="C17" i="39" s="1"/>
  <c r="C15" i="20"/>
  <c r="B70" i="43"/>
  <c r="E54" i="21"/>
  <c r="F54" i="21" s="1"/>
  <c r="I54" i="21"/>
  <c r="J54" i="21"/>
  <c r="G54" i="21"/>
  <c r="H54" i="21" s="1"/>
  <c r="D125" i="21"/>
  <c r="E125" i="21"/>
  <c r="F125" i="21" s="1"/>
  <c r="G125" i="21" s="1"/>
  <c r="D123" i="21"/>
  <c r="E123" i="21"/>
  <c r="F123" i="21" s="1"/>
  <c r="G123" i="21" s="1"/>
  <c r="H123" i="21" s="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c r="I108" i="21" s="1"/>
  <c r="J108" i="21" s="1"/>
  <c r="K108" i="21" s="1"/>
  <c r="L108" i="21" s="1"/>
  <c r="M108" i="21" s="1"/>
  <c r="D106" i="21"/>
  <c r="E106" i="21" s="1"/>
  <c r="F106" i="21" s="1"/>
  <c r="G106" i="21" s="1"/>
  <c r="H106" i="21" s="1"/>
  <c r="I106" i="21" s="1"/>
  <c r="J106" i="21" s="1"/>
  <c r="K106" i="21"/>
  <c r="L106" i="21" s="1"/>
  <c r="M106" i="21" s="1"/>
  <c r="D101" i="21"/>
  <c r="E101" i="21" s="1"/>
  <c r="F101" i="21" s="1"/>
  <c r="G101" i="21" s="1"/>
  <c r="H101" i="21" s="1"/>
  <c r="I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F77" i="21" s="1"/>
  <c r="B130" i="21"/>
  <c r="J46" i="21" s="1"/>
  <c r="B128" i="21"/>
  <c r="J45" i="21"/>
  <c r="W45" i="21" s="1"/>
  <c r="B126" i="21"/>
  <c r="J44" i="21" s="1"/>
  <c r="B98" i="21"/>
  <c r="H31" i="21"/>
  <c r="B96" i="21"/>
  <c r="F30" i="21" s="1"/>
  <c r="B94" i="21"/>
  <c r="J29" i="21" s="1"/>
  <c r="AC29" i="21"/>
  <c r="B92" i="21"/>
  <c r="B90" i="21"/>
  <c r="J27" i="21" s="1"/>
  <c r="W27" i="21" s="1"/>
  <c r="B74" i="21"/>
  <c r="F14" i="21" s="1"/>
  <c r="B72" i="21"/>
  <c r="H13" i="21" s="1"/>
  <c r="AB13" i="21" s="1"/>
  <c r="B70" i="21"/>
  <c r="H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G3" i="43" s="1"/>
  <c r="D101" i="43" s="1"/>
  <c r="D105"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AB34" i="21" s="1"/>
  <c r="F43" i="21"/>
  <c r="S43" i="21"/>
  <c r="H38" i="21"/>
  <c r="U38" i="21" s="1"/>
  <c r="H43" i="21"/>
  <c r="AB43" i="21"/>
  <c r="F38" i="21"/>
  <c r="F36" i="21"/>
  <c r="S36" i="21"/>
  <c r="F39" i="21"/>
  <c r="AA39" i="21" s="1"/>
  <c r="J40" i="21"/>
  <c r="W40" i="21"/>
  <c r="H35" i="21"/>
  <c r="AB35" i="21" s="1"/>
  <c r="J8" i="21"/>
  <c r="AC8" i="21"/>
  <c r="H8" i="21"/>
  <c r="U8" i="21" s="1"/>
  <c r="H10" i="21"/>
  <c r="AB10" i="21"/>
  <c r="H39" i="21"/>
  <c r="J34" i="21"/>
  <c r="W34" i="21"/>
  <c r="H36" i="21"/>
  <c r="U36" i="21" s="1"/>
  <c r="F35" i="21"/>
  <c r="AA35" i="21"/>
  <c r="J10" i="21"/>
  <c r="AC10" i="21" s="1"/>
  <c r="H26" i="21"/>
  <c r="AB26" i="21"/>
  <c r="AB19" i="21"/>
  <c r="J19" i="21"/>
  <c r="W19" i="21" s="1"/>
  <c r="J26" i="21"/>
  <c r="W26" i="21" s="1"/>
  <c r="F26" i="21"/>
  <c r="S26" i="21" s="1"/>
  <c r="AB41" i="21"/>
  <c r="J45" i="39"/>
  <c r="W45" i="39" s="1"/>
  <c r="J44" i="39"/>
  <c r="AC44" i="39"/>
  <c r="F36" i="39"/>
  <c r="S36" i="39" s="1"/>
  <c r="AB36" i="39"/>
  <c r="J35" i="39"/>
  <c r="J36" i="39"/>
  <c r="W40" i="39"/>
  <c r="W25" i="37"/>
  <c r="W31" i="37"/>
  <c r="E103" i="37"/>
  <c r="F103" i="37"/>
  <c r="G103" i="37" s="1"/>
  <c r="H103" i="37" s="1"/>
  <c r="I103" i="37"/>
  <c r="J103" i="37" s="1"/>
  <c r="K103" i="37" s="1"/>
  <c r="L103" i="37" s="1"/>
  <c r="M103" i="37" s="1"/>
  <c r="F39" i="37"/>
  <c r="S39" i="37" s="1"/>
  <c r="F29" i="36"/>
  <c r="F16" i="36"/>
  <c r="AA16" i="36"/>
  <c r="U9" i="36"/>
  <c r="AA31" i="36"/>
  <c r="AC31" i="36"/>
  <c r="W31" i="36"/>
  <c r="J33" i="36"/>
  <c r="H22" i="35"/>
  <c r="AB22" i="35" s="1"/>
  <c r="AC27" i="35"/>
  <c r="W28" i="35"/>
  <c r="U31" i="35"/>
  <c r="W34" i="35"/>
  <c r="W36" i="35"/>
  <c r="W22" i="35"/>
  <c r="S31" i="35"/>
  <c r="F36" i="34"/>
  <c r="J35" i="34"/>
  <c r="S34" i="34"/>
  <c r="H39" i="33"/>
  <c r="AB39" i="33" s="1"/>
  <c r="F26" i="33"/>
  <c r="U35" i="33"/>
  <c r="S40" i="33"/>
  <c r="W33" i="33"/>
  <c r="H39" i="37"/>
  <c r="AB39" i="37"/>
  <c r="S27" i="35"/>
  <c r="F11" i="40"/>
  <c r="AA11" i="40"/>
  <c r="H11" i="40"/>
  <c r="AB11" i="40"/>
  <c r="W8" i="40"/>
  <c r="AC40" i="40"/>
  <c r="AA9" i="40"/>
  <c r="U9" i="40"/>
  <c r="S34" i="40"/>
  <c r="W31" i="40"/>
  <c r="U34" i="40"/>
  <c r="S38" i="40"/>
  <c r="F42" i="39"/>
  <c r="F41" i="39"/>
  <c r="H40" i="39"/>
  <c r="AB40" i="39" s="1"/>
  <c r="H39" i="39"/>
  <c r="U39" i="39" s="1"/>
  <c r="S34" i="39"/>
  <c r="H34" i="39"/>
  <c r="U34" i="39" s="1"/>
  <c r="E108" i="39"/>
  <c r="H31" i="39"/>
  <c r="AB31" i="39"/>
  <c r="F31" i="39"/>
  <c r="AA31" i="39" s="1"/>
  <c r="E100" i="39"/>
  <c r="F100" i="39" s="1"/>
  <c r="G100" i="39" s="1"/>
  <c r="H19" i="39"/>
  <c r="AB19" i="39" s="1"/>
  <c r="F19"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S34" i="21"/>
  <c r="C25" i="39"/>
  <c r="C27" i="39"/>
  <c r="C21" i="39"/>
  <c r="H11" i="39"/>
  <c r="C15" i="39"/>
  <c r="H32" i="33"/>
  <c r="H11" i="21"/>
  <c r="U11" i="21"/>
  <c r="J11" i="21"/>
  <c r="W11" i="21" s="1"/>
  <c r="H37" i="40"/>
  <c r="U37" i="40"/>
  <c r="H36" i="40"/>
  <c r="AB36" i="40" s="1"/>
  <c r="F35" i="40"/>
  <c r="AA35" i="40"/>
  <c r="H23" i="40"/>
  <c r="H17" i="40"/>
  <c r="U17" i="40"/>
  <c r="J15" i="40"/>
  <c r="W15" i="40" s="1"/>
  <c r="J11" i="40"/>
  <c r="W11" i="40"/>
  <c r="AB8" i="39"/>
  <c r="AC12" i="34"/>
  <c r="AA12" i="34"/>
  <c r="AB12" i="35"/>
  <c r="AB12" i="36"/>
  <c r="S44" i="39"/>
  <c r="J34" i="36"/>
  <c r="W34" i="36"/>
  <c r="U30" i="36"/>
  <c r="J30" i="35"/>
  <c r="W30" i="35" s="1"/>
  <c r="H30" i="35"/>
  <c r="AB30" i="35" s="1"/>
  <c r="F22" i="35"/>
  <c r="AA22" i="35" s="1"/>
  <c r="H10" i="35"/>
  <c r="AC16" i="36"/>
  <c r="F33" i="36"/>
  <c r="AA33" i="36"/>
  <c r="W30" i="36"/>
  <c r="H16" i="36"/>
  <c r="AB16" i="36" s="1"/>
  <c r="E85" i="36"/>
  <c r="F85" i="36"/>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c r="J16" i="35"/>
  <c r="AC16" i="35" s="1"/>
  <c r="H16" i="35"/>
  <c r="U16" i="35"/>
  <c r="F16" i="35"/>
  <c r="H14" i="35"/>
  <c r="AB14" i="35" s="1"/>
  <c r="J29" i="35"/>
  <c r="W29" i="35" s="1"/>
  <c r="H33" i="35"/>
  <c r="AB33" i="35"/>
  <c r="AC8" i="35"/>
  <c r="J20" i="35"/>
  <c r="W20" i="35" s="1"/>
  <c r="F35" i="37"/>
  <c r="S35" i="37" s="1"/>
  <c r="E101" i="37"/>
  <c r="F101" i="37" s="1"/>
  <c r="G101" i="37"/>
  <c r="H101" i="37"/>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s="1"/>
  <c r="S9" i="34"/>
  <c r="W8" i="34"/>
  <c r="J28" i="34"/>
  <c r="AC28" i="34" s="1"/>
  <c r="F41" i="33"/>
  <c r="AA41" i="33"/>
  <c r="F32" i="33"/>
  <c r="AA32" i="33"/>
  <c r="J19" i="33"/>
  <c r="AC19" i="33" s="1"/>
  <c r="J15" i="33"/>
  <c r="AC15" i="33"/>
  <c r="F11" i="33"/>
  <c r="AA11" i="33" s="1"/>
  <c r="U40" i="33"/>
  <c r="W40" i="33"/>
  <c r="U8" i="33"/>
  <c r="F37" i="40"/>
  <c r="AA37" i="40"/>
  <c r="F36" i="40"/>
  <c r="AA36" i="40" s="1"/>
  <c r="H28" i="40"/>
  <c r="U28" i="40" s="1"/>
  <c r="F23" i="40"/>
  <c r="F17" i="40"/>
  <c r="J17" i="40"/>
  <c r="W17" i="40" s="1"/>
  <c r="F15" i="40"/>
  <c r="S15" i="40"/>
  <c r="H15" i="40"/>
  <c r="AB15" i="40" s="1"/>
  <c r="AC11" i="40"/>
  <c r="S12" i="36"/>
  <c r="AA12" i="36"/>
  <c r="AB30" i="36"/>
  <c r="AC34" i="36"/>
  <c r="U30" i="35"/>
  <c r="U33" i="35"/>
  <c r="F29" i="35"/>
  <c r="S29" i="35"/>
  <c r="H29" i="35"/>
  <c r="U29" i="35" s="1"/>
  <c r="AB29" i="35"/>
  <c r="H33" i="37"/>
  <c r="AB33" i="37"/>
  <c r="F33" i="37"/>
  <c r="AA33" i="37"/>
  <c r="U34" i="37"/>
  <c r="W33" i="37"/>
  <c r="S34" i="37"/>
  <c r="AA34" i="37"/>
  <c r="J43" i="34"/>
  <c r="AB42" i="34"/>
  <c r="J40" i="34"/>
  <c r="AC40" i="34" s="1"/>
  <c r="F114" i="34"/>
  <c r="G114" i="34" s="1"/>
  <c r="H114" i="34" s="1"/>
  <c r="I114" i="34" s="1"/>
  <c r="J114" i="34"/>
  <c r="K114" i="34" s="1"/>
  <c r="L114" i="34" s="1"/>
  <c r="M114" i="34" s="1"/>
  <c r="H38" i="34"/>
  <c r="AB38" i="34" s="1"/>
  <c r="J36" i="34"/>
  <c r="W36" i="34"/>
  <c r="H37" i="34"/>
  <c r="U37" i="34" s="1"/>
  <c r="H25" i="34"/>
  <c r="AB25" i="34"/>
  <c r="J25" i="34"/>
  <c r="AB23" i="34"/>
  <c r="F23" i="34"/>
  <c r="AA23" i="34"/>
  <c r="J19" i="34"/>
  <c r="AC19" i="34"/>
  <c r="F17" i="34"/>
  <c r="AA17" i="34"/>
  <c r="J17" i="34"/>
  <c r="W17" i="34"/>
  <c r="AB17" i="34"/>
  <c r="AA15" i="34"/>
  <c r="S15" i="34"/>
  <c r="S41" i="33"/>
  <c r="G113" i="33"/>
  <c r="H113" i="33" s="1"/>
  <c r="I113" i="33"/>
  <c r="J113" i="33" s="1"/>
  <c r="K113" i="33" s="1"/>
  <c r="L113" i="33" s="1"/>
  <c r="M113" i="33"/>
  <c r="H37" i="33"/>
  <c r="AB37" i="33" s="1"/>
  <c r="H15" i="33"/>
  <c r="AB15" i="33"/>
  <c r="H11" i="33"/>
  <c r="AB11" i="33" s="1"/>
  <c r="F28" i="40"/>
  <c r="AA28" i="40"/>
  <c r="AA29" i="35"/>
  <c r="AA42" i="34"/>
  <c r="S42" i="34"/>
  <c r="AC38" i="34"/>
  <c r="AA38" i="34"/>
  <c r="J37" i="34"/>
  <c r="J11" i="33"/>
  <c r="W11" i="33"/>
  <c r="S28" i="34"/>
  <c r="I123" i="21"/>
  <c r="J123" i="21" s="1"/>
  <c r="K123" i="21" s="1"/>
  <c r="L123" i="21" s="1"/>
  <c r="M123" i="21" s="1"/>
  <c r="J42" i="21"/>
  <c r="AC42" i="21"/>
  <c r="H42" i="21"/>
  <c r="U42" i="21"/>
  <c r="J44" i="34"/>
  <c r="F44" i="34"/>
  <c r="J10" i="35"/>
  <c r="W10" i="35" s="1"/>
  <c r="BL587" i="3"/>
  <c r="AZ587" i="3" s="1"/>
  <c r="J14" i="21"/>
  <c r="S14" i="21"/>
  <c r="H14" i="21"/>
  <c r="S30" i="21"/>
  <c r="J30" i="21"/>
  <c r="AC44" i="21"/>
  <c r="H44" i="21"/>
  <c r="U44" i="21"/>
  <c r="H46" i="21"/>
  <c r="U46" i="21"/>
  <c r="W46" i="21"/>
  <c r="F46" i="21"/>
  <c r="AA46" i="21"/>
  <c r="E119" i="21"/>
  <c r="F119" i="21"/>
  <c r="G119" i="21" s="1"/>
  <c r="H119" i="21" s="1"/>
  <c r="I119" i="21" s="1"/>
  <c r="J119" i="21"/>
  <c r="K119" i="21" s="1"/>
  <c r="L119" i="21" s="1"/>
  <c r="M119" i="21" s="1"/>
  <c r="H26" i="33"/>
  <c r="AB26" i="33" s="1"/>
  <c r="U26" i="33"/>
  <c r="H28" i="33"/>
  <c r="U28" i="33" s="1"/>
  <c r="F28" i="33"/>
  <c r="AA28" i="33"/>
  <c r="J28" i="33"/>
  <c r="F33" i="35"/>
  <c r="S33" i="35" s="1"/>
  <c r="J33" i="35"/>
  <c r="AC33" i="35" s="1"/>
  <c r="F30" i="35"/>
  <c r="AA30" i="35" s="1"/>
  <c r="S30" i="35"/>
  <c r="E89" i="35"/>
  <c r="F89" i="35" s="1"/>
  <c r="G89" i="35"/>
  <c r="H89" i="35"/>
  <c r="I89" i="35"/>
  <c r="J89" i="35" s="1"/>
  <c r="K89" i="35" s="1"/>
  <c r="L89" i="35" s="1"/>
  <c r="M89" i="35"/>
  <c r="H10" i="36"/>
  <c r="AB10" i="36"/>
  <c r="J14" i="36"/>
  <c r="AC14" i="36"/>
  <c r="H14" i="36"/>
  <c r="U14" i="36"/>
  <c r="F28" i="36"/>
  <c r="AA28" i="36"/>
  <c r="H27" i="21"/>
  <c r="AB27" i="21"/>
  <c r="H29" i="21"/>
  <c r="U29" i="21" s="1"/>
  <c r="J31" i="21"/>
  <c r="AC31" i="21"/>
  <c r="F31" i="21"/>
  <c r="S31" i="21" s="1"/>
  <c r="F45" i="21"/>
  <c r="AA45" i="21"/>
  <c r="F27" i="33"/>
  <c r="AA27" i="33" s="1"/>
  <c r="J13" i="33"/>
  <c r="H13" i="33"/>
  <c r="AB13" i="33"/>
  <c r="F13" i="33"/>
  <c r="S13" i="33" s="1"/>
  <c r="J29" i="33"/>
  <c r="W29" i="33" s="1"/>
  <c r="AC29" i="33"/>
  <c r="H29" i="33"/>
  <c r="F29" i="33"/>
  <c r="S29" i="33"/>
  <c r="J31" i="33"/>
  <c r="H31" i="33"/>
  <c r="F31" i="33"/>
  <c r="H45" i="33"/>
  <c r="U45" i="33" s="1"/>
  <c r="J45" i="33"/>
  <c r="AC45" i="33" s="1"/>
  <c r="W45" i="33"/>
  <c r="F45" i="33"/>
  <c r="J14" i="34"/>
  <c r="W14" i="34"/>
  <c r="F14" i="34"/>
  <c r="S14" i="34" s="1"/>
  <c r="H14" i="34"/>
  <c r="H30" i="34"/>
  <c r="F30" i="34"/>
  <c r="S30" i="34" s="1"/>
  <c r="J30" i="34"/>
  <c r="H32" i="34"/>
  <c r="F32" i="34"/>
  <c r="J32" i="34"/>
  <c r="W32" i="34" s="1"/>
  <c r="H46" i="34"/>
  <c r="U46" i="34" s="1"/>
  <c r="F46" i="34"/>
  <c r="AA46" i="34" s="1"/>
  <c r="J46" i="34"/>
  <c r="H11" i="35"/>
  <c r="U11" i="35" s="1"/>
  <c r="J11" i="35"/>
  <c r="W11" i="35" s="1"/>
  <c r="AC11" i="35"/>
  <c r="F11" i="35"/>
  <c r="J26" i="36"/>
  <c r="W26" i="36"/>
  <c r="H28" i="36"/>
  <c r="U28" i="36" s="1"/>
  <c r="H32" i="36"/>
  <c r="J32" i="36"/>
  <c r="W32" i="36" s="1"/>
  <c r="J11" i="36"/>
  <c r="AC11" i="36"/>
  <c r="H13" i="36"/>
  <c r="J13" i="36"/>
  <c r="AC13" i="36" s="1"/>
  <c r="F13" i="36"/>
  <c r="S13" i="36"/>
  <c r="F89" i="37"/>
  <c r="G89" i="37" s="1"/>
  <c r="H89" i="37" s="1"/>
  <c r="I89" i="37" s="1"/>
  <c r="J89" i="37"/>
  <c r="K89" i="37"/>
  <c r="L89" i="37" s="1"/>
  <c r="M89" i="37" s="1"/>
  <c r="J29" i="37"/>
  <c r="W29" i="37"/>
  <c r="F29" i="37"/>
  <c r="H36" i="37"/>
  <c r="AB36" i="37"/>
  <c r="J37" i="37"/>
  <c r="H37" i="37"/>
  <c r="U37" i="37" s="1"/>
  <c r="H40" i="37"/>
  <c r="AB40" i="37" s="1"/>
  <c r="U40" i="37"/>
  <c r="J40" i="37"/>
  <c r="AC40" i="37" s="1"/>
  <c r="F40" i="37"/>
  <c r="AA40" i="37"/>
  <c r="AC12" i="40"/>
  <c r="W12" i="40"/>
  <c r="F14" i="33"/>
  <c r="H30" i="33"/>
  <c r="AB30" i="33"/>
  <c r="J30" i="33"/>
  <c r="W30" i="33" s="1"/>
  <c r="F44" i="33"/>
  <c r="AA44" i="33" s="1"/>
  <c r="S44" i="33"/>
  <c r="J46" i="33"/>
  <c r="AC46" i="33" s="1"/>
  <c r="F46" i="33"/>
  <c r="AA46" i="33"/>
  <c r="H46" i="33"/>
  <c r="J13" i="34"/>
  <c r="W13" i="34" s="1"/>
  <c r="F13" i="34"/>
  <c r="AA13" i="34" s="1"/>
  <c r="J29" i="34"/>
  <c r="S29" i="34"/>
  <c r="H29" i="34"/>
  <c r="AB29" i="34" s="1"/>
  <c r="H31" i="34"/>
  <c r="U31" i="34" s="1"/>
  <c r="H45" i="34"/>
  <c r="U45" i="34"/>
  <c r="W45" i="34"/>
  <c r="F45" i="34"/>
  <c r="S45" i="34"/>
  <c r="F47" i="34"/>
  <c r="S47" i="34" s="1"/>
  <c r="F13" i="35"/>
  <c r="AA13" i="35" s="1"/>
  <c r="S13" i="35"/>
  <c r="AC13" i="35"/>
  <c r="H13" i="35"/>
  <c r="U13" i="35"/>
  <c r="J25" i="35"/>
  <c r="W25" i="35"/>
  <c r="F25" i="35"/>
  <c r="S25" i="35"/>
  <c r="H25" i="35"/>
  <c r="AB25" i="35"/>
  <c r="J35" i="35"/>
  <c r="AC35" i="35"/>
  <c r="AA35" i="35"/>
  <c r="H35" i="35"/>
  <c r="U35" i="35" s="1"/>
  <c r="AB35" i="35"/>
  <c r="J25" i="36"/>
  <c r="W25" i="36"/>
  <c r="F25" i="36"/>
  <c r="S25" i="36"/>
  <c r="H25" i="36"/>
  <c r="AB25" i="36"/>
  <c r="H13" i="37"/>
  <c r="U13" i="37" s="1"/>
  <c r="AB13" i="37"/>
  <c r="F13" i="37"/>
  <c r="S13" i="37"/>
  <c r="J13" i="37"/>
  <c r="W13" i="37"/>
  <c r="J28" i="37"/>
  <c r="H38" i="37"/>
  <c r="U38" i="37" s="1"/>
  <c r="AB38" i="37"/>
  <c r="F38" i="37"/>
  <c r="S38" i="37"/>
  <c r="H43" i="39"/>
  <c r="J14" i="39"/>
  <c r="AC14" i="39" s="1"/>
  <c r="H14" i="39"/>
  <c r="F12" i="40"/>
  <c r="S12" i="40" s="1"/>
  <c r="H12" i="40"/>
  <c r="AB12" i="40"/>
  <c r="H30" i="40"/>
  <c r="AB30" i="40" s="1"/>
  <c r="F33" i="40"/>
  <c r="AA33" i="40"/>
  <c r="H33" i="40"/>
  <c r="J35" i="40"/>
  <c r="AC35" i="40" s="1"/>
  <c r="J37" i="40"/>
  <c r="AC37" i="40" s="1"/>
  <c r="H13" i="40"/>
  <c r="U13" i="40"/>
  <c r="J13" i="40"/>
  <c r="W13" i="40" s="1"/>
  <c r="F13" i="40"/>
  <c r="AA13" i="40"/>
  <c r="F14" i="37"/>
  <c r="F27" i="37"/>
  <c r="AA27" i="37"/>
  <c r="F13" i="39"/>
  <c r="S13" i="39" s="1"/>
  <c r="J13" i="39"/>
  <c r="W13" i="39" s="1"/>
  <c r="H13" i="39"/>
  <c r="H14" i="40"/>
  <c r="AB14" i="40"/>
  <c r="W14" i="40"/>
  <c r="F14" i="40"/>
  <c r="AA14" i="40"/>
  <c r="AC14" i="37"/>
  <c r="J27" i="37"/>
  <c r="AC27" i="37" s="1"/>
  <c r="J36" i="37"/>
  <c r="AC36" i="37"/>
  <c r="G105" i="37"/>
  <c r="AB11" i="35"/>
  <c r="J10" i="36"/>
  <c r="AC10" i="36"/>
  <c r="W13" i="36"/>
  <c r="W11" i="36"/>
  <c r="AA14" i="34"/>
  <c r="AB45" i="33"/>
  <c r="U13" i="33"/>
  <c r="F17" i="21"/>
  <c r="AA17" i="21" s="1"/>
  <c r="H17" i="21"/>
  <c r="AB17" i="21"/>
  <c r="F15" i="21"/>
  <c r="S15" i="21" s="1"/>
  <c r="AB11" i="21"/>
  <c r="J41" i="39"/>
  <c r="W41" i="39" s="1"/>
  <c r="AC45" i="39"/>
  <c r="W44" i="39"/>
  <c r="U36" i="39"/>
  <c r="G544" i="3"/>
  <c r="G536" i="3"/>
  <c r="G535" i="3"/>
  <c r="G531" i="3"/>
  <c r="G528" i="3"/>
  <c r="G527" i="3"/>
  <c r="G523" i="3"/>
  <c r="G518" i="3"/>
  <c r="G514" i="3"/>
  <c r="G510" i="3"/>
  <c r="G508" i="3"/>
  <c r="G504" i="3"/>
  <c r="G500" i="3"/>
  <c r="G496" i="3"/>
  <c r="G580" i="3"/>
  <c r="G576" i="3"/>
  <c r="G564" i="3"/>
  <c r="G560" i="3"/>
  <c r="G554" i="3"/>
  <c r="G550" i="3"/>
  <c r="BL580" i="3"/>
  <c r="AZ580" i="3" s="1"/>
  <c r="BL576" i="3"/>
  <c r="BL564" i="3"/>
  <c r="BL560" i="3"/>
  <c r="BL546" i="3"/>
  <c r="BL530" i="3"/>
  <c r="BL526" i="3"/>
  <c r="BL522" i="3"/>
  <c r="BL512" i="3"/>
  <c r="BL506" i="3"/>
  <c r="AZ506" i="3" s="1"/>
  <c r="BL502" i="3"/>
  <c r="BL494" i="3"/>
  <c r="BL578" i="3"/>
  <c r="BL570" i="3"/>
  <c r="BL562" i="3"/>
  <c r="BL552" i="3"/>
  <c r="BL544" i="3"/>
  <c r="BL532" i="3"/>
  <c r="G529" i="3"/>
  <c r="G525" i="3"/>
  <c r="BL524" i="3"/>
  <c r="BL518" i="3"/>
  <c r="BL510" i="3"/>
  <c r="BL504" i="3"/>
  <c r="BL500" i="3"/>
  <c r="G493" i="3"/>
  <c r="BA584" i="3"/>
  <c r="AZ584" i="3" s="1"/>
  <c r="BA578" i="3"/>
  <c r="AZ578" i="3" s="1"/>
  <c r="BA574" i="3"/>
  <c r="BA572" i="3"/>
  <c r="BA568" i="3"/>
  <c r="AZ568" i="3"/>
  <c r="BA564" i="3"/>
  <c r="AZ564" i="3"/>
  <c r="BA562" i="3"/>
  <c r="AZ562" i="3" s="1"/>
  <c r="BA560" i="3"/>
  <c r="BA558" i="3"/>
  <c r="BA548" i="3"/>
  <c r="AZ548" i="3" s="1"/>
  <c r="BA542" i="3"/>
  <c r="BA530" i="3"/>
  <c r="BA524" i="3"/>
  <c r="AZ524" i="3" s="1"/>
  <c r="BA522" i="3"/>
  <c r="AZ522" i="3" s="1"/>
  <c r="BA520" i="3"/>
  <c r="BA518" i="3"/>
  <c r="AZ518" i="3" s="1"/>
  <c r="BA516" i="3"/>
  <c r="BA514" i="3"/>
  <c r="BA510" i="3"/>
  <c r="BA506" i="3"/>
  <c r="BA504" i="3"/>
  <c r="AZ504" i="3" s="1"/>
  <c r="BA500" i="3"/>
  <c r="BA498" i="3"/>
  <c r="BA494" i="3"/>
  <c r="BA587" i="3"/>
  <c r="BA581" i="3"/>
  <c r="BA573" i="3"/>
  <c r="BA571" i="3"/>
  <c r="AZ571" i="3" s="1"/>
  <c r="BA565" i="3"/>
  <c r="BA563" i="3"/>
  <c r="BA559" i="3"/>
  <c r="BA547" i="3"/>
  <c r="AZ547" i="3" s="1"/>
  <c r="BA545" i="3"/>
  <c r="BA537" i="3"/>
  <c r="AZ537" i="3" s="1"/>
  <c r="BA535" i="3"/>
  <c r="BA527" i="3"/>
  <c r="BA523" i="3"/>
  <c r="BA519" i="3"/>
  <c r="BA517" i="3"/>
  <c r="BA513" i="3"/>
  <c r="AZ513" i="3" s="1"/>
  <c r="BA511" i="3"/>
  <c r="BA507" i="3"/>
  <c r="BA503" i="3"/>
  <c r="BA501" i="3"/>
  <c r="BA499" i="3"/>
  <c r="BA495" i="3"/>
  <c r="BA493" i="3"/>
  <c r="AZ560" i="3"/>
  <c r="G581" i="3"/>
  <c r="G579" i="3"/>
  <c r="G577" i="3"/>
  <c r="G573" i="3"/>
  <c r="G571" i="3"/>
  <c r="G565" i="3"/>
  <c r="G563" i="3"/>
  <c r="G561" i="3"/>
  <c r="BA557" i="3"/>
  <c r="AC557" i="3"/>
  <c r="BQ557" i="3"/>
  <c r="BL557" i="3" s="1"/>
  <c r="AZ557" i="3" s="1"/>
  <c r="BQ583" i="3"/>
  <c r="BQ581" i="3"/>
  <c r="BQ579" i="3"/>
  <c r="BL579" i="3"/>
  <c r="AZ579" i="3" s="1"/>
  <c r="BQ577" i="3"/>
  <c r="BQ575" i="3"/>
  <c r="BL575" i="3"/>
  <c r="BQ573" i="3"/>
  <c r="AZ573" i="3"/>
  <c r="BQ571" i="3"/>
  <c r="BQ569" i="3"/>
  <c r="BQ567" i="3"/>
  <c r="BQ565" i="3"/>
  <c r="BL565" i="3"/>
  <c r="BQ563" i="3"/>
  <c r="BL563" i="3"/>
  <c r="BQ561" i="3"/>
  <c r="BL561" i="3" s="1"/>
  <c r="BQ559" i="3"/>
  <c r="BL559" i="3"/>
  <c r="AZ559" i="3"/>
  <c r="G553" i="3"/>
  <c r="G549" i="3"/>
  <c r="G547" i="3"/>
  <c r="G545" i="3"/>
  <c r="G541" i="3"/>
  <c r="G537" i="3"/>
  <c r="BQ555" i="3"/>
  <c r="BQ553" i="3"/>
  <c r="BL553" i="3" s="1"/>
  <c r="BQ551" i="3"/>
  <c r="BL551" i="3"/>
  <c r="BQ549" i="3"/>
  <c r="BQ547" i="3"/>
  <c r="BQ545" i="3"/>
  <c r="BL545" i="3" s="1"/>
  <c r="BQ543" i="3"/>
  <c r="BQ541" i="3"/>
  <c r="BQ539" i="3"/>
  <c r="BQ537" i="3"/>
  <c r="BQ535" i="3"/>
  <c r="BL535" i="3" s="1"/>
  <c r="BQ533" i="3"/>
  <c r="BL533" i="3"/>
  <c r="BQ531" i="3"/>
  <c r="BQ529" i="3"/>
  <c r="BL529" i="3" s="1"/>
  <c r="BQ527" i="3"/>
  <c r="BQ525" i="3"/>
  <c r="BL525" i="3"/>
  <c r="BQ523" i="3"/>
  <c r="BA521" i="3"/>
  <c r="AC521" i="3"/>
  <c r="G521" i="3"/>
  <c r="BQ521" i="3"/>
  <c r="BL521" i="3"/>
  <c r="AZ521" i="3" s="1"/>
  <c r="G519" i="3"/>
  <c r="G517" i="3"/>
  <c r="G515" i="3"/>
  <c r="G513" i="3"/>
  <c r="G511" i="3"/>
  <c r="BQ519" i="3"/>
  <c r="BQ517" i="3"/>
  <c r="BL517" i="3" s="1"/>
  <c r="BQ515" i="3"/>
  <c r="BL515" i="3"/>
  <c r="BQ513" i="3"/>
  <c r="BL513" i="3"/>
  <c r="BQ511" i="3"/>
  <c r="BA509" i="3"/>
  <c r="AC509" i="3"/>
  <c r="BQ509" i="3"/>
  <c r="BL509" i="3"/>
  <c r="AZ509" i="3" s="1"/>
  <c r="BL508" i="3"/>
  <c r="G505" i="3"/>
  <c r="G503" i="3"/>
  <c r="G501" i="3"/>
  <c r="G497" i="3"/>
  <c r="G495" i="3"/>
  <c r="BQ507" i="3"/>
  <c r="BQ505" i="3"/>
  <c r="BL505" i="3"/>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c r="J25" i="21"/>
  <c r="AC25" i="21" s="1"/>
  <c r="E125" i="33"/>
  <c r="F125" i="33" s="1"/>
  <c r="G125" i="33" s="1"/>
  <c r="H43" i="33"/>
  <c r="AB43" i="33" s="1"/>
  <c r="H17" i="37"/>
  <c r="AB17" i="37" s="1"/>
  <c r="AB27" i="37"/>
  <c r="AA36" i="39"/>
  <c r="F39" i="33"/>
  <c r="AA39" i="33" s="1"/>
  <c r="F42" i="33"/>
  <c r="AA42" i="33"/>
  <c r="H28" i="34"/>
  <c r="AB28" i="34" s="1"/>
  <c r="F14" i="36"/>
  <c r="AA14" i="36" s="1"/>
  <c r="F22" i="36"/>
  <c r="S22" i="36" s="1"/>
  <c r="F26" i="36"/>
  <c r="S26" i="36"/>
  <c r="H35" i="34"/>
  <c r="U35" i="34"/>
  <c r="F41" i="34"/>
  <c r="H41" i="34"/>
  <c r="U41" i="34"/>
  <c r="J41" i="34"/>
  <c r="F10" i="35"/>
  <c r="S10" i="35" s="1"/>
  <c r="F24" i="35"/>
  <c r="AA24" i="35" s="1"/>
  <c r="H24" i="35"/>
  <c r="AB24" i="35"/>
  <c r="H23" i="37"/>
  <c r="AB23" i="37" s="1"/>
  <c r="J32" i="37"/>
  <c r="AC32" i="37"/>
  <c r="F36" i="37"/>
  <c r="AA36" i="37" s="1"/>
  <c r="F37" i="37"/>
  <c r="AA37" i="37"/>
  <c r="F31" i="40"/>
  <c r="H31" i="40"/>
  <c r="H32" i="40"/>
  <c r="AB32" i="40"/>
  <c r="J36" i="40"/>
  <c r="W36" i="40" s="1"/>
  <c r="H19" i="37"/>
  <c r="I123" i="33"/>
  <c r="J123" i="33" s="1"/>
  <c r="K123" i="33" s="1"/>
  <c r="L123" i="33" s="1"/>
  <c r="M123" i="33" s="1"/>
  <c r="H42" i="33"/>
  <c r="AB42" i="33"/>
  <c r="J43" i="33"/>
  <c r="AC43" i="33" s="1"/>
  <c r="U43" i="33"/>
  <c r="S28" i="31"/>
  <c r="S27" i="31"/>
  <c r="S26" i="31"/>
  <c r="U14" i="40"/>
  <c r="AC32" i="36"/>
  <c r="AA12" i="35"/>
  <c r="W23" i="35"/>
  <c r="W14" i="37"/>
  <c r="U33" i="37"/>
  <c r="U39" i="37"/>
  <c r="AB37" i="34"/>
  <c r="AC36" i="34"/>
  <c r="AA13" i="33"/>
  <c r="U19" i="21"/>
  <c r="W44" i="21"/>
  <c r="U26" i="21"/>
  <c r="AC46" i="21"/>
  <c r="F43" i="33"/>
  <c r="AA43" i="33"/>
  <c r="AC15" i="34"/>
  <c r="W40" i="37"/>
  <c r="H107" i="37"/>
  <c r="I107" i="37"/>
  <c r="J107" i="37" s="1"/>
  <c r="K107" i="37" s="1"/>
  <c r="L107" i="37" s="1"/>
  <c r="M107" i="37" s="1"/>
  <c r="H37" i="21"/>
  <c r="U37" i="21" s="1"/>
  <c r="S42" i="21"/>
  <c r="H19" i="34"/>
  <c r="AB19" i="34"/>
  <c r="F36" i="35"/>
  <c r="S36" i="35"/>
  <c r="J9" i="37"/>
  <c r="W9" i="37"/>
  <c r="H9" i="37"/>
  <c r="AB9" i="37"/>
  <c r="F9" i="37"/>
  <c r="S9" i="37"/>
  <c r="E71" i="37"/>
  <c r="F71" i="37" s="1"/>
  <c r="G71" i="37" s="1"/>
  <c r="F15" i="37"/>
  <c r="AA15" i="37" s="1"/>
  <c r="F31" i="37"/>
  <c r="S31" i="37" s="1"/>
  <c r="F12" i="39"/>
  <c r="S12" i="39" s="1"/>
  <c r="J42" i="39"/>
  <c r="AC42" i="39" s="1"/>
  <c r="H21" i="40"/>
  <c r="H94" i="37"/>
  <c r="I94" i="37" s="1"/>
  <c r="J94" i="37" s="1"/>
  <c r="K94" i="37" s="1"/>
  <c r="L94" i="37" s="1"/>
  <c r="M94" i="37" s="1"/>
  <c r="H31" i="37"/>
  <c r="J15" i="37"/>
  <c r="W15" i="37"/>
  <c r="U12" i="37"/>
  <c r="AT6" i="3"/>
  <c r="AA25" i="21"/>
  <c r="C12" i="43"/>
  <c r="H19" i="40"/>
  <c r="U19" i="40"/>
  <c r="F88" i="40"/>
  <c r="G88" i="40" s="1"/>
  <c r="F19" i="40"/>
  <c r="S19" i="40"/>
  <c r="S14" i="40"/>
  <c r="AC13" i="40"/>
  <c r="W23" i="39"/>
  <c r="AC43" i="39"/>
  <c r="W43" i="39"/>
  <c r="AB44" i="39"/>
  <c r="U44" i="39"/>
  <c r="H37" i="39"/>
  <c r="U37" i="39" s="1"/>
  <c r="H25" i="39"/>
  <c r="U25" i="39" s="1"/>
  <c r="AB25" i="39"/>
  <c r="J25" i="39"/>
  <c r="AC25" i="39" s="1"/>
  <c r="F25" i="39"/>
  <c r="AA25" i="39" s="1"/>
  <c r="F15" i="39"/>
  <c r="AA15" i="39" s="1"/>
  <c r="H15" i="39"/>
  <c r="U15" i="39" s="1"/>
  <c r="J15" i="39"/>
  <c r="W15" i="39" s="1"/>
  <c r="H41" i="39"/>
  <c r="AB41" i="39" s="1"/>
  <c r="W27" i="39"/>
  <c r="AB34" i="39"/>
  <c r="U40" i="39"/>
  <c r="W8" i="39"/>
  <c r="J19" i="40"/>
  <c r="AC19" i="40"/>
  <c r="J50" i="40"/>
  <c r="H103" i="9"/>
  <c r="C7" i="37"/>
  <c r="C7" i="34"/>
  <c r="C7" i="36"/>
  <c r="W35" i="40"/>
  <c r="A118" i="9"/>
  <c r="A4" i="52"/>
  <c r="B41" i="72" s="1"/>
  <c r="J11" i="39"/>
  <c r="W11" i="39"/>
  <c r="F11" i="39"/>
  <c r="AA11" i="39"/>
  <c r="S11" i="39"/>
  <c r="G4" i="4"/>
  <c r="I4" i="4"/>
  <c r="A2" i="9"/>
  <c r="F59" i="43"/>
  <c r="H62" i="43" s="1"/>
  <c r="AZ20" i="3"/>
  <c r="AZ24" i="3"/>
  <c r="AZ28" i="3"/>
  <c r="AZ32" i="3"/>
  <c r="AZ494" i="3"/>
  <c r="AZ530" i="3"/>
  <c r="G546" i="3"/>
  <c r="G303" i="3"/>
  <c r="BL304" i="3"/>
  <c r="G305" i="3"/>
  <c r="BL306" i="3"/>
  <c r="BA308" i="3"/>
  <c r="AZ308" i="3"/>
  <c r="BA309" i="3"/>
  <c r="AZ309" i="3" s="1"/>
  <c r="BL309" i="3"/>
  <c r="G310" i="3"/>
  <c r="BA311" i="3"/>
  <c r="AZ311" i="3" s="1"/>
  <c r="G319" i="3"/>
  <c r="BL320" i="3"/>
  <c r="G321" i="3"/>
  <c r="BL322" i="3"/>
  <c r="AZ322" i="3" s="1"/>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BA394" i="3"/>
  <c r="AZ394" i="3" s="1"/>
  <c r="BL394" i="3"/>
  <c r="G113" i="3"/>
  <c r="BA115" i="3"/>
  <c r="AZ115" i="3"/>
  <c r="BL116" i="3"/>
  <c r="AZ116" i="3" s="1"/>
  <c r="G117" i="3"/>
  <c r="BA119" i="3"/>
  <c r="BL120" i="3"/>
  <c r="G121" i="3"/>
  <c r="BA123" i="3"/>
  <c r="AZ123" i="3"/>
  <c r="BL124" i="3"/>
  <c r="AZ124" i="3" s="1"/>
  <c r="G125" i="3"/>
  <c r="BA127" i="3"/>
  <c r="AZ127" i="3"/>
  <c r="BL128" i="3"/>
  <c r="G129" i="3"/>
  <c r="BA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s="1"/>
  <c r="BL156" i="3"/>
  <c r="AZ156" i="3" s="1"/>
  <c r="G157" i="3"/>
  <c r="BA159" i="3"/>
  <c r="AZ159" i="3" s="1"/>
  <c r="BL160" i="3"/>
  <c r="G161" i="3"/>
  <c r="BA163" i="3"/>
  <c r="BL164" i="3"/>
  <c r="AZ164" i="3"/>
  <c r="G165" i="3"/>
  <c r="BA167" i="3"/>
  <c r="AZ167" i="3" s="1"/>
  <c r="BL168" i="3"/>
  <c r="G169" i="3"/>
  <c r="BA171" i="3"/>
  <c r="AZ171" i="3" s="1"/>
  <c r="BL172" i="3"/>
  <c r="AZ172" i="3"/>
  <c r="G173" i="3"/>
  <c r="BA175" i="3"/>
  <c r="BL176" i="3"/>
  <c r="AZ176" i="3" s="1"/>
  <c r="G177" i="3"/>
  <c r="BA179" i="3"/>
  <c r="AZ179" i="3"/>
  <c r="BL180" i="3"/>
  <c r="AZ180" i="3"/>
  <c r="G181" i="3"/>
  <c r="BA183" i="3"/>
  <c r="AZ183" i="3"/>
  <c r="BL184" i="3"/>
  <c r="G185" i="3"/>
  <c r="BA187" i="3"/>
  <c r="AZ187" i="3"/>
  <c r="BL188" i="3"/>
  <c r="G189" i="3"/>
  <c r="BA191" i="3"/>
  <c r="AZ191" i="3"/>
  <c r="BL192" i="3"/>
  <c r="G193" i="3"/>
  <c r="BA195" i="3"/>
  <c r="AZ195" i="3"/>
  <c r="BL196" i="3"/>
  <c r="AZ196" i="3"/>
  <c r="G197" i="3"/>
  <c r="BA199" i="3"/>
  <c r="AZ199" i="3" s="1"/>
  <c r="BL200" i="3"/>
  <c r="G201" i="3"/>
  <c r="BA203" i="3"/>
  <c r="AZ203" i="3" s="1"/>
  <c r="BL204" i="3"/>
  <c r="AZ204" i="3"/>
  <c r="AZ39" i="3"/>
  <c r="AZ43" i="3"/>
  <c r="AZ47" i="3"/>
  <c r="AZ51" i="3"/>
  <c r="AZ55" i="3"/>
  <c r="AZ59" i="3"/>
  <c r="AZ67" i="3"/>
  <c r="AZ71" i="3"/>
  <c r="AZ75" i="3"/>
  <c r="AZ79" i="3"/>
  <c r="AZ83" i="3"/>
  <c r="AZ136" i="3"/>
  <c r="AZ160" i="3"/>
  <c r="AZ184" i="3"/>
  <c r="AZ192" i="3"/>
  <c r="AZ85" i="3"/>
  <c r="AZ89" i="3"/>
  <c r="AZ93" i="3"/>
  <c r="AZ101" i="3"/>
  <c r="AZ105" i="3"/>
  <c r="AZ120" i="3"/>
  <c r="AZ128" i="3"/>
  <c r="G534" i="3"/>
  <c r="G522" i="3"/>
  <c r="G516" i="3"/>
  <c r="G512" i="3"/>
  <c r="G506" i="3"/>
  <c r="G498" i="3"/>
  <c r="G494" i="3"/>
  <c r="G16" i="3"/>
  <c r="G15" i="3"/>
  <c r="BA304" i="3"/>
  <c r="BA305" i="3"/>
  <c r="AZ305" i="3"/>
  <c r="BL305" i="3"/>
  <c r="G306" i="3"/>
  <c r="G309" i="3"/>
  <c r="BL310" i="3"/>
  <c r="BA312" i="3"/>
  <c r="AZ312" i="3" s="1"/>
  <c r="BA313" i="3"/>
  <c r="BL313" i="3"/>
  <c r="AZ313" i="3"/>
  <c r="G314" i="3"/>
  <c r="G317" i="3"/>
  <c r="BL318" i="3"/>
  <c r="AZ318" i="3" s="1"/>
  <c r="BA320" i="3"/>
  <c r="AZ320" i="3" s="1"/>
  <c r="BA321" i="3"/>
  <c r="BL321" i="3"/>
  <c r="AZ321" i="3" s="1"/>
  <c r="G322" i="3"/>
  <c r="G325" i="3"/>
  <c r="BL326" i="3"/>
  <c r="BA328" i="3"/>
  <c r="AZ328" i="3" s="1"/>
  <c r="BA329" i="3"/>
  <c r="AZ329" i="3" s="1"/>
  <c r="BL329" i="3"/>
  <c r="G330" i="3"/>
  <c r="G333" i="3"/>
  <c r="BL334" i="3"/>
  <c r="BA336" i="3"/>
  <c r="AZ336" i="3" s="1"/>
  <c r="BA337" i="3"/>
  <c r="AZ337" i="3"/>
  <c r="BL337" i="3"/>
  <c r="G338" i="3"/>
  <c r="G341" i="3"/>
  <c r="BA342" i="3"/>
  <c r="AZ342" i="3" s="1"/>
  <c r="BL342" i="3"/>
  <c r="BA344" i="3"/>
  <c r="BL344" i="3"/>
  <c r="AZ344" i="3"/>
  <c r="BA346" i="3"/>
  <c r="BA347" i="3"/>
  <c r="AZ347" i="3" s="1"/>
  <c r="BL347" i="3"/>
  <c r="G350" i="3"/>
  <c r="BA351" i="3"/>
  <c r="AZ351" i="3" s="1"/>
  <c r="BL351" i="3"/>
  <c r="G352" i="3"/>
  <c r="G354" i="3"/>
  <c r="BA355" i="3"/>
  <c r="AZ355" i="3" s="1"/>
  <c r="BA356" i="3"/>
  <c r="BL356" i="3"/>
  <c r="AZ356" i="3" s="1"/>
  <c r="G357" i="3"/>
  <c r="G360" i="3"/>
  <c r="BL361" i="3"/>
  <c r="BA363" i="3"/>
  <c r="AZ363" i="3"/>
  <c r="BA364" i="3"/>
  <c r="BL364" i="3"/>
  <c r="AZ364" i="3" s="1"/>
  <c r="G365" i="3"/>
  <c r="G368" i="3"/>
  <c r="BL369" i="3"/>
  <c r="BA371" i="3"/>
  <c r="AZ371" i="3"/>
  <c r="BA372" i="3"/>
  <c r="AZ372" i="3" s="1"/>
  <c r="BL372" i="3"/>
  <c r="G373" i="3"/>
  <c r="G376" i="3"/>
  <c r="BL377" i="3"/>
  <c r="BL379" i="3"/>
  <c r="BA381" i="3"/>
  <c r="AZ381" i="3"/>
  <c r="BA382" i="3"/>
  <c r="BL382" i="3"/>
  <c r="AZ382" i="3" s="1"/>
  <c r="G383" i="3"/>
  <c r="G386" i="3"/>
  <c r="BL387" i="3"/>
  <c r="BA389" i="3"/>
  <c r="AZ389" i="3" s="1"/>
  <c r="BA390" i="3"/>
  <c r="AZ390" i="3" s="1"/>
  <c r="BL390" i="3"/>
  <c r="G391" i="3"/>
  <c r="G394" i="3"/>
  <c r="AZ142" i="3"/>
  <c r="AZ170" i="3"/>
  <c r="AZ178" i="3"/>
  <c r="AZ182" i="3"/>
  <c r="AZ190" i="3"/>
  <c r="AZ202" i="3"/>
  <c r="AZ206" i="3"/>
  <c r="AZ500" i="3"/>
  <c r="BA16" i="3"/>
  <c r="AZ16" i="3"/>
  <c r="BL303" i="3"/>
  <c r="G304" i="3"/>
  <c r="BA306" i="3"/>
  <c r="AZ306" i="3"/>
  <c r="BL307" i="3"/>
  <c r="AZ307" i="3"/>
  <c r="G308" i="3"/>
  <c r="BA310" i="3"/>
  <c r="BL311" i="3"/>
  <c r="G312" i="3"/>
  <c r="BA314" i="3"/>
  <c r="AZ314" i="3"/>
  <c r="BL315" i="3"/>
  <c r="AZ315" i="3"/>
  <c r="G316" i="3"/>
  <c r="BA318" i="3"/>
  <c r="BL319" i="3"/>
  <c r="G320" i="3"/>
  <c r="BA322" i="3"/>
  <c r="BL323" i="3"/>
  <c r="AZ323" i="3" s="1"/>
  <c r="G324" i="3"/>
  <c r="BA326" i="3"/>
  <c r="AZ326" i="3"/>
  <c r="BL327" i="3"/>
  <c r="AZ327" i="3"/>
  <c r="G328" i="3"/>
  <c r="BA330" i="3"/>
  <c r="AZ330" i="3" s="1"/>
  <c r="BL331" i="3"/>
  <c r="G332" i="3"/>
  <c r="BA334" i="3"/>
  <c r="AZ334" i="3"/>
  <c r="BL335" i="3"/>
  <c r="G336" i="3"/>
  <c r="BA338" i="3"/>
  <c r="AZ338" i="3"/>
  <c r="BL339" i="3"/>
  <c r="AZ339" i="3" s="1"/>
  <c r="G340" i="3"/>
  <c r="BL343" i="3"/>
  <c r="G344" i="3"/>
  <c r="G348" i="3"/>
  <c r="G355" i="3"/>
  <c r="AZ209" i="3"/>
  <c r="AZ214" i="3"/>
  <c r="AZ303" i="3"/>
  <c r="AZ319" i="3"/>
  <c r="AZ335" i="3"/>
  <c r="G342" i="3"/>
  <c r="BL345" i="3"/>
  <c r="AZ345" i="3"/>
  <c r="G346" i="3"/>
  <c r="AZ348" i="3"/>
  <c r="BL349" i="3"/>
  <c r="BL352" i="3"/>
  <c r="G353" i="3"/>
  <c r="BA357" i="3"/>
  <c r="AZ357" i="3"/>
  <c r="BL358" i="3"/>
  <c r="AZ358" i="3" s="1"/>
  <c r="G359" i="3"/>
  <c r="BA361" i="3"/>
  <c r="AZ361" i="3"/>
  <c r="BL362" i="3"/>
  <c r="G363" i="3"/>
  <c r="BA365" i="3"/>
  <c r="AZ365" i="3"/>
  <c r="BL366" i="3"/>
  <c r="G367" i="3"/>
  <c r="BA369" i="3"/>
  <c r="AZ369" i="3" s="1"/>
  <c r="BL370" i="3"/>
  <c r="AZ370" i="3" s="1"/>
  <c r="G371" i="3"/>
  <c r="BA373" i="3"/>
  <c r="AZ373" i="3" s="1"/>
  <c r="BL374" i="3"/>
  <c r="G375" i="3"/>
  <c r="BA377" i="3"/>
  <c r="AZ377" i="3"/>
  <c r="AZ229" i="3"/>
  <c r="AZ241" i="3"/>
  <c r="AZ249" i="3"/>
  <c r="AZ261" i="3"/>
  <c r="AZ269" i="3"/>
  <c r="BA379" i="3"/>
  <c r="AZ379" i="3" s="1"/>
  <c r="BL380" i="3"/>
  <c r="G381" i="3"/>
  <c r="BA383" i="3"/>
  <c r="AZ383" i="3" s="1"/>
  <c r="BL384" i="3"/>
  <c r="AZ384" i="3" s="1"/>
  <c r="G385" i="3"/>
  <c r="BA387" i="3"/>
  <c r="AZ387" i="3" s="1"/>
  <c r="BL388" i="3"/>
  <c r="G389" i="3"/>
  <c r="BA391" i="3"/>
  <c r="AZ391" i="3" s="1"/>
  <c r="BL392" i="3"/>
  <c r="G393" i="3"/>
  <c r="AZ263" i="3"/>
  <c r="AZ279" i="3"/>
  <c r="AZ283" i="3"/>
  <c r="AZ287" i="3"/>
  <c r="AZ291" i="3"/>
  <c r="BJ5" i="3"/>
  <c r="AZ317" i="3"/>
  <c r="AZ333" i="3"/>
  <c r="G538" i="3"/>
  <c r="G520" i="3"/>
  <c r="G502" i="3"/>
  <c r="BN5" i="3"/>
  <c r="AZ343" i="3"/>
  <c r="BE5" i="3"/>
  <c r="G17" i="3"/>
  <c r="BA17" i="3"/>
  <c r="AZ350" i="3"/>
  <c r="AZ352" i="3"/>
  <c r="AZ360" i="3"/>
  <c r="BA15" i="3"/>
  <c r="AZ15" i="3" s="1"/>
  <c r="AZ380" i="3"/>
  <c r="AZ392" i="3"/>
  <c r="AZ499" i="3"/>
  <c r="G509" i="3"/>
  <c r="AZ491" i="3"/>
  <c r="AZ376" i="3"/>
  <c r="U36" i="40"/>
  <c r="F36" i="43"/>
  <c r="F81" i="43"/>
  <c r="H83" i="43" s="1"/>
  <c r="H113" i="43"/>
  <c r="F48" i="43"/>
  <c r="F70" i="43"/>
  <c r="M11" i="43"/>
  <c r="D17" i="43"/>
  <c r="F39" i="43"/>
  <c r="I17" i="43"/>
  <c r="F35" i="43"/>
  <c r="J17" i="43"/>
  <c r="U17" i="39"/>
  <c r="S14" i="35"/>
  <c r="U43" i="21"/>
  <c r="U35" i="21"/>
  <c r="AC35" i="21"/>
  <c r="U10" i="21"/>
  <c r="G9" i="1"/>
  <c r="AC11" i="39"/>
  <c r="AZ501" i="3"/>
  <c r="W44" i="34"/>
  <c r="AC44" i="34"/>
  <c r="S15" i="37"/>
  <c r="U12" i="40"/>
  <c r="AA12" i="40"/>
  <c r="J37" i="33"/>
  <c r="W37" i="33" s="1"/>
  <c r="AC17" i="34"/>
  <c r="F106" i="33"/>
  <c r="G106" i="33" s="1"/>
  <c r="H106" i="33" s="1"/>
  <c r="I106" i="33" s="1"/>
  <c r="J106" i="33" s="1"/>
  <c r="K106" i="33"/>
  <c r="L106" i="33" s="1"/>
  <c r="M106" i="33" s="1"/>
  <c r="J34" i="33"/>
  <c r="AC34" i="33" s="1"/>
  <c r="W34" i="33"/>
  <c r="F33" i="34"/>
  <c r="S33" i="34"/>
  <c r="W12" i="36"/>
  <c r="AC12" i="36"/>
  <c r="H20" i="36"/>
  <c r="U20" i="36"/>
  <c r="J20" i="36"/>
  <c r="W20" i="36"/>
  <c r="J27" i="36"/>
  <c r="W27" i="36" s="1"/>
  <c r="AB25" i="37"/>
  <c r="AC33" i="40"/>
  <c r="F111" i="40"/>
  <c r="G111" i="40" s="1"/>
  <c r="H111" i="40" s="1"/>
  <c r="I111" i="40" s="1"/>
  <c r="J111" i="40" s="1"/>
  <c r="K111" i="40" s="1"/>
  <c r="L111" i="40" s="1"/>
  <c r="M111" i="40" s="1"/>
  <c r="H35" i="40"/>
  <c r="AB35" i="40"/>
  <c r="AC29" i="35"/>
  <c r="H35" i="37"/>
  <c r="U35" i="37"/>
  <c r="AC14" i="35"/>
  <c r="H20" i="35"/>
  <c r="U20" i="35"/>
  <c r="F20" i="35"/>
  <c r="AA20" i="35"/>
  <c r="AB29" i="36"/>
  <c r="H32" i="37"/>
  <c r="AB32" i="37" s="1"/>
  <c r="F96" i="37"/>
  <c r="G96" i="37" s="1"/>
  <c r="H96" i="37" s="1"/>
  <c r="I96" i="37" s="1"/>
  <c r="H27" i="40"/>
  <c r="U27" i="40" s="1"/>
  <c r="J27" i="40"/>
  <c r="AC27" i="40"/>
  <c r="F27" i="40"/>
  <c r="S27" i="40" s="1"/>
  <c r="J30" i="40"/>
  <c r="AC30" i="40"/>
  <c r="F30" i="40"/>
  <c r="AC21" i="40"/>
  <c r="S31" i="39"/>
  <c r="S11" i="40"/>
  <c r="G98" i="40"/>
  <c r="H98" i="40"/>
  <c r="I98" i="40" s="1"/>
  <c r="J98" i="40" s="1"/>
  <c r="K98" i="40"/>
  <c r="L98" i="40" s="1"/>
  <c r="M98" i="40" s="1"/>
  <c r="F10" i="33"/>
  <c r="S10" i="33"/>
  <c r="F34" i="33"/>
  <c r="H34" i="33"/>
  <c r="U34" i="33"/>
  <c r="F35" i="33"/>
  <c r="F39" i="34"/>
  <c r="S39" i="34"/>
  <c r="J39" i="34"/>
  <c r="F40" i="34"/>
  <c r="S40" i="34"/>
  <c r="F43" i="34"/>
  <c r="AA43" i="34" s="1"/>
  <c r="H44" i="34"/>
  <c r="AB44" i="34"/>
  <c r="AC38" i="39"/>
  <c r="F39" i="39"/>
  <c r="S39" i="39" s="1"/>
  <c r="J39" i="39"/>
  <c r="AC39" i="39" s="1"/>
  <c r="E96" i="39"/>
  <c r="F96" i="39" s="1"/>
  <c r="G96" i="39" s="1"/>
  <c r="AZ354" i="3"/>
  <c r="C40" i="11"/>
  <c r="AZ227" i="3"/>
  <c r="AZ232" i="3"/>
  <c r="AZ243" i="3"/>
  <c r="AZ251" i="3"/>
  <c r="AZ256" i="3"/>
  <c r="AZ259" i="3"/>
  <c r="AZ271" i="3"/>
  <c r="AZ280" i="3"/>
  <c r="AZ288" i="3"/>
  <c r="AZ296" i="3"/>
  <c r="AZ114" i="3"/>
  <c r="AZ117" i="3"/>
  <c r="AZ130" i="3"/>
  <c r="AZ133" i="3"/>
  <c r="AZ21" i="3"/>
  <c r="AZ29" i="3"/>
  <c r="AZ31" i="3"/>
  <c r="AZ33" i="3"/>
  <c r="AZ42" i="3"/>
  <c r="AZ50" i="3"/>
  <c r="AZ53" i="3"/>
  <c r="AZ66" i="3"/>
  <c r="AZ69" i="3"/>
  <c r="AZ72" i="3"/>
  <c r="AZ74" i="3"/>
  <c r="AZ77" i="3"/>
  <c r="AZ82" i="3"/>
  <c r="AZ86" i="3"/>
  <c r="AZ102" i="3"/>
  <c r="AZ110" i="3"/>
  <c r="I20" i="43"/>
  <c r="F23" i="39"/>
  <c r="S23" i="39" s="1"/>
  <c r="H27" i="36"/>
  <c r="U27" i="36"/>
  <c r="F27" i="36"/>
  <c r="AA27" i="36" s="1"/>
  <c r="H33" i="34"/>
  <c r="U33" i="34"/>
  <c r="F32" i="37"/>
  <c r="S32" i="37" s="1"/>
  <c r="J96" i="37"/>
  <c r="K96" i="37" s="1"/>
  <c r="L96" i="37" s="1"/>
  <c r="M96" i="37"/>
  <c r="F20" i="36"/>
  <c r="AA20" i="36" s="1"/>
  <c r="J33" i="34"/>
  <c r="AC33" i="34"/>
  <c r="H23" i="39"/>
  <c r="U23" i="39" s="1"/>
  <c r="D48" i="9"/>
  <c r="M52" i="9" s="1"/>
  <c r="H86" i="43"/>
  <c r="H82" i="43"/>
  <c r="H87" i="43"/>
  <c r="K9" i="1"/>
  <c r="M9" i="1" s="1"/>
  <c r="AE9" i="1"/>
  <c r="K6" i="1"/>
  <c r="M6" i="1" s="1"/>
  <c r="O6" i="1" s="1"/>
  <c r="AC26" i="33"/>
  <c r="W26" i="33"/>
  <c r="AB34" i="36"/>
  <c r="U34" i="36"/>
  <c r="AB33" i="36"/>
  <c r="U33" i="36"/>
  <c r="AC12" i="39"/>
  <c r="W12" i="39"/>
  <c r="AZ417" i="3"/>
  <c r="AZ428" i="3"/>
  <c r="AZ465" i="3"/>
  <c r="W12" i="33"/>
  <c r="AC12" i="33"/>
  <c r="AA32" i="36"/>
  <c r="AZ550" i="3"/>
  <c r="AZ437" i="3"/>
  <c r="AZ441" i="3"/>
  <c r="AZ473" i="3"/>
  <c r="AA39" i="34"/>
  <c r="BL14" i="3"/>
  <c r="AZ266" i="3"/>
  <c r="U30" i="33"/>
  <c r="AC13" i="34"/>
  <c r="AA47" i="34"/>
  <c r="F12" i="33"/>
  <c r="S12" i="33" s="1"/>
  <c r="H12" i="39"/>
  <c r="AB12" i="39" s="1"/>
  <c r="F39" i="40"/>
  <c r="BA14" i="3"/>
  <c r="AZ14" i="3"/>
  <c r="AZ367" i="3"/>
  <c r="AZ224" i="3"/>
  <c r="AZ297" i="3"/>
  <c r="AZ165" i="3"/>
  <c r="AZ173" i="3"/>
  <c r="AZ181" i="3"/>
  <c r="AZ189" i="3"/>
  <c r="AZ19" i="3"/>
  <c r="AZ26" i="3"/>
  <c r="AZ41" i="3"/>
  <c r="S12" i="1"/>
  <c r="R12" i="1"/>
  <c r="B12" i="1"/>
  <c r="E12" i="1" s="1"/>
  <c r="S10" i="1"/>
  <c r="AQ10" i="1" s="1"/>
  <c r="R10" i="1"/>
  <c r="B10" i="1"/>
  <c r="E10" i="1" s="1"/>
  <c r="AZ80" i="3"/>
  <c r="AZ84" i="3"/>
  <c r="AZ88" i="3"/>
  <c r="AZ107" i="3"/>
  <c r="AZ111" i="3"/>
  <c r="K12" i="1"/>
  <c r="M12" i="1" s="1"/>
  <c r="S13" i="1"/>
  <c r="AR13" i="1" s="1"/>
  <c r="R13" i="1"/>
  <c r="S11" i="1"/>
  <c r="AQ11" i="1" s="1"/>
  <c r="R11" i="1"/>
  <c r="S9" i="1"/>
  <c r="R9" i="1"/>
  <c r="J51" i="67"/>
  <c r="C42" i="1"/>
  <c r="C77" i="9" s="1"/>
  <c r="C74" i="9" s="1"/>
  <c r="H100" i="43"/>
  <c r="B41" i="1"/>
  <c r="F48" i="9" s="1"/>
  <c r="O52" i="9" s="1"/>
  <c r="J100" i="43"/>
  <c r="AB37" i="40"/>
  <c r="S35" i="40"/>
  <c r="U35" i="40"/>
  <c r="AC36" i="40"/>
  <c r="W38" i="40"/>
  <c r="AC17" i="40"/>
  <c r="AC15" i="40"/>
  <c r="AA19" i="40"/>
  <c r="S28" i="40"/>
  <c r="AA27" i="40"/>
  <c r="AB19" i="40"/>
  <c r="F32" i="39"/>
  <c r="F106" i="39"/>
  <c r="G106" i="39" s="1"/>
  <c r="H106" i="39" s="1"/>
  <c r="I106" i="39" s="1"/>
  <c r="J106" i="39" s="1"/>
  <c r="K106" i="39" s="1"/>
  <c r="L106" i="39" s="1"/>
  <c r="M106" i="39" s="1"/>
  <c r="U31" i="39"/>
  <c r="J21" i="39"/>
  <c r="W21" i="39" s="1"/>
  <c r="F21" i="39"/>
  <c r="H21" i="39"/>
  <c r="U21" i="39" s="1"/>
  <c r="W19" i="39"/>
  <c r="U19" i="39"/>
  <c r="S17" i="39"/>
  <c r="S15" i="39"/>
  <c r="AA12" i="39"/>
  <c r="S9" i="39"/>
  <c r="AC13" i="39"/>
  <c r="U12" i="39"/>
  <c r="S23" i="36"/>
  <c r="AC27" i="36"/>
  <c r="AB27" i="36"/>
  <c r="U26" i="36"/>
  <c r="S33" i="36"/>
  <c r="AA26" i="36"/>
  <c r="AA34" i="36"/>
  <c r="AC26" i="36"/>
  <c r="AA22" i="36"/>
  <c r="W14" i="36"/>
  <c r="AB14" i="36"/>
  <c r="U22" i="36"/>
  <c r="S16" i="36"/>
  <c r="AA25"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AC10" i="35"/>
  <c r="AA10" i="35"/>
  <c r="S8" i="35"/>
  <c r="AC9" i="35"/>
  <c r="W9" i="35"/>
  <c r="W13" i="35"/>
  <c r="F9" i="35"/>
  <c r="AA9" i="35" s="1"/>
  <c r="H9" i="35"/>
  <c r="F26" i="35"/>
  <c r="AA26" i="35"/>
  <c r="J26" i="35"/>
  <c r="W26" i="35" s="1"/>
  <c r="H26" i="35"/>
  <c r="S25" i="37"/>
  <c r="AC9" i="37"/>
  <c r="AC29" i="37"/>
  <c r="U29" i="37"/>
  <c r="W30" i="37"/>
  <c r="S36" i="37"/>
  <c r="AA38" i="37"/>
  <c r="U32" i="37"/>
  <c r="W38" i="37"/>
  <c r="AC35" i="37"/>
  <c r="W39" i="37"/>
  <c r="S30" i="37"/>
  <c r="S37" i="37"/>
  <c r="AC15" i="37"/>
  <c r="J17" i="37"/>
  <c r="W17" i="37"/>
  <c r="G73" i="37"/>
  <c r="F17" i="37"/>
  <c r="F75" i="37"/>
  <c r="F19" i="37"/>
  <c r="F23" i="37"/>
  <c r="S23" i="37"/>
  <c r="U23" i="37"/>
  <c r="U15" i="37"/>
  <c r="AC13" i="37"/>
  <c r="U9" i="37"/>
  <c r="AA13" i="37"/>
  <c r="AA9" i="37"/>
  <c r="H10" i="37"/>
  <c r="H60" i="37"/>
  <c r="I60" i="37" s="1"/>
  <c r="F63" i="37"/>
  <c r="F11" i="37"/>
  <c r="S11" i="37"/>
  <c r="AB8" i="34"/>
  <c r="AA33" i="34"/>
  <c r="U44" i="34"/>
  <c r="U43" i="34"/>
  <c r="AC42" i="34"/>
  <c r="AB35" i="34"/>
  <c r="U39" i="34"/>
  <c r="S43" i="34"/>
  <c r="AB41" i="34"/>
  <c r="AA45" i="34"/>
  <c r="W34" i="34"/>
  <c r="AA25" i="34"/>
  <c r="U28" i="34"/>
  <c r="S17" i="34"/>
  <c r="AA29" i="34"/>
  <c r="S23" i="34"/>
  <c r="U15" i="34"/>
  <c r="S10" i="34"/>
  <c r="S13" i="34"/>
  <c r="H67" i="34"/>
  <c r="I67" i="34" s="1"/>
  <c r="H10" i="34"/>
  <c r="F11" i="34"/>
  <c r="S11" i="34"/>
  <c r="F70" i="34"/>
  <c r="G70" i="34" s="1"/>
  <c r="H70" i="34" s="1"/>
  <c r="I70" i="34" s="1"/>
  <c r="J70" i="34" s="1"/>
  <c r="K70" i="34" s="1"/>
  <c r="L70" i="34" s="1"/>
  <c r="M70" i="34" s="1"/>
  <c r="W42" i="33"/>
  <c r="S27" i="33"/>
  <c r="S32" i="33"/>
  <c r="AA29" i="33"/>
  <c r="W38" i="33"/>
  <c r="H41" i="33"/>
  <c r="AB41" i="33" s="1"/>
  <c r="F121" i="33"/>
  <c r="G121" i="33"/>
  <c r="H121" i="33"/>
  <c r="I121" i="33"/>
  <c r="J121" i="33" s="1"/>
  <c r="K121" i="33" s="1"/>
  <c r="L121" i="33" s="1"/>
  <c r="M121" i="33"/>
  <c r="U42" i="33"/>
  <c r="S42" i="33"/>
  <c r="F36" i="33"/>
  <c r="S36" i="33" s="1"/>
  <c r="G111" i="33"/>
  <c r="H111" i="33" s="1"/>
  <c r="I111" i="33" s="1"/>
  <c r="J111" i="33" s="1"/>
  <c r="K111" i="33" s="1"/>
  <c r="L111" i="33" s="1"/>
  <c r="M111" i="33" s="1"/>
  <c r="G108" i="33"/>
  <c r="H108" i="33"/>
  <c r="I108" i="33"/>
  <c r="J108" i="33"/>
  <c r="K108" i="33" s="1"/>
  <c r="L108" i="33" s="1"/>
  <c r="M108" i="33"/>
  <c r="J35" i="33"/>
  <c r="W35" i="33" s="1"/>
  <c r="S37" i="33"/>
  <c r="AA37" i="33"/>
  <c r="S39" i="33"/>
  <c r="F101" i="33"/>
  <c r="G101" i="33" s="1"/>
  <c r="H101" i="33" s="1"/>
  <c r="I101" i="33" s="1"/>
  <c r="J101" i="33"/>
  <c r="K101" i="33" s="1"/>
  <c r="L101" i="33" s="1"/>
  <c r="M101" i="33"/>
  <c r="J32" i="33"/>
  <c r="AC32" i="33" s="1"/>
  <c r="S46" i="33"/>
  <c r="W43" i="33"/>
  <c r="S43" i="33"/>
  <c r="F91" i="33"/>
  <c r="G91" i="33" s="1"/>
  <c r="H91" i="33" s="1"/>
  <c r="I91" i="33" s="1"/>
  <c r="J91" i="33" s="1"/>
  <c r="K91" i="33" s="1"/>
  <c r="L91" i="33" s="1"/>
  <c r="M91" i="33" s="1"/>
  <c r="H27" i="33"/>
  <c r="H25" i="33"/>
  <c r="AB25" i="33" s="1"/>
  <c r="F25" i="33"/>
  <c r="S25" i="33" s="1"/>
  <c r="J23" i="33"/>
  <c r="F85" i="33"/>
  <c r="H23" i="33"/>
  <c r="AB23" i="33" s="1"/>
  <c r="F81" i="33"/>
  <c r="G81" i="33" s="1"/>
  <c r="F19" i="33"/>
  <c r="S19" i="33"/>
  <c r="W19" i="33"/>
  <c r="J17" i="33"/>
  <c r="W17" i="33" s="1"/>
  <c r="W15" i="33"/>
  <c r="U9" i="33"/>
  <c r="I66" i="33"/>
  <c r="J10" i="33"/>
  <c r="H10" i="33"/>
  <c r="U10" i="33" s="1"/>
  <c r="AA10" i="33"/>
  <c r="AC11" i="33"/>
  <c r="W43" i="21"/>
  <c r="W36" i="21"/>
  <c r="W41" i="21"/>
  <c r="AA43" i="21"/>
  <c r="S39" i="21"/>
  <c r="AA36" i="21"/>
  <c r="AC40" i="21"/>
  <c r="J15" i="21"/>
  <c r="W15" i="21" s="1"/>
  <c r="G77" i="21"/>
  <c r="F23" i="21"/>
  <c r="E85" i="21"/>
  <c r="AA14" i="21"/>
  <c r="S8" i="21"/>
  <c r="M3" i="43"/>
  <c r="M1" i="43"/>
  <c r="N8" i="43"/>
  <c r="F34" i="67"/>
  <c r="F62" i="67" s="1"/>
  <c r="M20" i="67"/>
  <c r="F34" i="15"/>
  <c r="F62" i="15" s="1"/>
  <c r="G13" i="3"/>
  <c r="BA13" i="3"/>
  <c r="BL17" i="3"/>
  <c r="AZ17" i="3"/>
  <c r="BL13" i="3"/>
  <c r="J56" i="9"/>
  <c r="J57" i="9" s="1"/>
  <c r="J59" i="9" s="1"/>
  <c r="J61" i="9" s="1"/>
  <c r="A24" i="51"/>
  <c r="B18" i="72" s="1"/>
  <c r="U29" i="34"/>
  <c r="E5" i="6"/>
  <c r="D9" i="11"/>
  <c r="C9" i="11" s="1"/>
  <c r="L101" i="43"/>
  <c r="L102" i="43" s="1"/>
  <c r="I101" i="43"/>
  <c r="G22" i="43"/>
  <c r="E32" i="6"/>
  <c r="L19" i="6"/>
  <c r="G1" i="68"/>
  <c r="K1" i="12"/>
  <c r="AR12" i="1"/>
  <c r="AQ12" i="1"/>
  <c r="T12" i="1"/>
  <c r="T10" i="1"/>
  <c r="E19" i="69"/>
  <c r="E19" i="68"/>
  <c r="E19" i="11"/>
  <c r="E1" i="73"/>
  <c r="G22" i="69"/>
  <c r="G22" i="68"/>
  <c r="G26" i="12"/>
  <c r="G22" i="11"/>
  <c r="C100" i="43"/>
  <c r="E81" i="43"/>
  <c r="B79" i="43" s="1"/>
  <c r="AH11" i="43"/>
  <c r="AH13" i="43" s="1"/>
  <c r="AD11" i="43"/>
  <c r="Z11" i="43"/>
  <c r="Z13" i="43" s="1"/>
  <c r="AG11" i="43"/>
  <c r="AG13" i="43" s="1"/>
  <c r="AC11" i="43"/>
  <c r="AC13" i="43" s="1"/>
  <c r="Y11" i="43"/>
  <c r="Y13" i="43" s="1"/>
  <c r="E48" i="43"/>
  <c r="B46" i="43"/>
  <c r="E70" i="43"/>
  <c r="B68" i="43" s="1"/>
  <c r="F100" i="43"/>
  <c r="H17" i="43"/>
  <c r="H85" i="43"/>
  <c r="H81" i="43"/>
  <c r="H84" i="43"/>
  <c r="H88" i="43"/>
  <c r="H53"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 i="12"/>
  <c r="H66" i="43"/>
  <c r="H65" i="43"/>
  <c r="H64" i="43"/>
  <c r="H63" i="43"/>
  <c r="H55" i="43"/>
  <c r="H56" i="43"/>
  <c r="L20" i="6"/>
  <c r="B6" i="1"/>
  <c r="E6" i="1" s="1"/>
  <c r="S8" i="1"/>
  <c r="K11" i="1"/>
  <c r="M11" i="1" s="1"/>
  <c r="AP6" i="1"/>
  <c r="B9" i="1"/>
  <c r="E9" i="1" s="1"/>
  <c r="K7" i="1"/>
  <c r="M7" i="1" s="1"/>
  <c r="G1" i="15"/>
  <c r="G1" i="69"/>
  <c r="G1" i="67"/>
  <c r="W23" i="40"/>
  <c r="U32" i="40"/>
  <c r="S37" i="40"/>
  <c r="AB28" i="40"/>
  <c r="W28" i="40"/>
  <c r="W34" i="40"/>
  <c r="W19" i="40"/>
  <c r="W27" i="40"/>
  <c r="S36" i="40"/>
  <c r="W37" i="40"/>
  <c r="AC14" i="40"/>
  <c r="S13" i="40"/>
  <c r="S33" i="40"/>
  <c r="AA15" i="40"/>
  <c r="U11" i="40"/>
  <c r="AB13" i="40"/>
  <c r="U15" i="40"/>
  <c r="AB17" i="40"/>
  <c r="S8" i="40"/>
  <c r="AA39" i="39"/>
  <c r="AC41" i="39"/>
  <c r="U42" i="39"/>
  <c r="U41" i="39"/>
  <c r="W25" i="39"/>
  <c r="U13" i="39"/>
  <c r="AB13" i="39"/>
  <c r="AA13" i="39"/>
  <c r="S14" i="39"/>
  <c r="AA14" i="39"/>
  <c r="U43" i="39"/>
  <c r="AB43" i="39"/>
  <c r="AB11" i="39"/>
  <c r="U11" i="39"/>
  <c r="AA27" i="39"/>
  <c r="S27" i="39"/>
  <c r="W17" i="39"/>
  <c r="AC17" i="39"/>
  <c r="W31" i="39"/>
  <c r="AB39" i="39"/>
  <c r="W34" i="39"/>
  <c r="S8" i="39"/>
  <c r="AC25" i="36"/>
  <c r="S28" i="36"/>
  <c r="W29" i="36"/>
  <c r="AC20" i="36"/>
  <c r="U25" i="36"/>
  <c r="AB28" i="36"/>
  <c r="AA13" i="36"/>
  <c r="W9" i="36"/>
  <c r="W22" i="36"/>
  <c r="W23" i="36"/>
  <c r="S9" i="36"/>
  <c r="AB20" i="35"/>
  <c r="AC25" i="35"/>
  <c r="U25" i="35"/>
  <c r="S24" i="35"/>
  <c r="W33" i="35"/>
  <c r="U24" i="35"/>
  <c r="S35" i="35"/>
  <c r="W35" i="35"/>
  <c r="AA35" i="37"/>
  <c r="W36" i="37"/>
  <c r="S27" i="37"/>
  <c r="W32" i="37"/>
  <c r="U36" i="37"/>
  <c r="S40" i="37"/>
  <c r="AB37" i="37"/>
  <c r="S33" i="37"/>
  <c r="AC34" i="37"/>
  <c r="AB35" i="37"/>
  <c r="AA11" i="37"/>
  <c r="AA8" i="37"/>
  <c r="U8" i="37"/>
  <c r="AA40" i="34"/>
  <c r="AB40" i="34"/>
  <c r="U19" i="34"/>
  <c r="W19" i="34"/>
  <c r="AB33" i="34"/>
  <c r="AC45" i="34"/>
  <c r="AA30" i="34"/>
  <c r="AB45" i="34"/>
  <c r="U25" i="34"/>
  <c r="AB36" i="34"/>
  <c r="W33" i="34"/>
  <c r="AC14" i="34"/>
  <c r="AC32" i="34"/>
  <c r="AC29" i="34"/>
  <c r="W29" i="34"/>
  <c r="S32" i="34"/>
  <c r="AA32" i="34"/>
  <c r="U30" i="34"/>
  <c r="AB30" i="34"/>
  <c r="S37" i="34"/>
  <c r="U38" i="34"/>
  <c r="W40" i="34"/>
  <c r="AA19" i="34"/>
  <c r="AA36" i="34"/>
  <c r="S36" i="34"/>
  <c r="AA8" i="34"/>
  <c r="S8" i="34"/>
  <c r="AB9" i="34"/>
  <c r="U9" i="34"/>
  <c r="S46" i="34"/>
  <c r="U32" i="34"/>
  <c r="AB32" i="34"/>
  <c r="U14" i="34"/>
  <c r="AB14" i="34"/>
  <c r="AC43" i="34"/>
  <c r="W43" i="34"/>
  <c r="AA11" i="34"/>
  <c r="W23" i="34"/>
  <c r="AC23" i="34"/>
  <c r="AC35" i="34"/>
  <c r="W35" i="34"/>
  <c r="U12" i="34"/>
  <c r="AB12" i="34"/>
  <c r="AC37" i="33"/>
  <c r="W46" i="33"/>
  <c r="U39" i="33"/>
  <c r="U38" i="33"/>
  <c r="S33" i="33"/>
  <c r="AB34" i="33"/>
  <c r="AB44" i="33"/>
  <c r="S30" i="33"/>
  <c r="AA30" i="33"/>
  <c r="W14" i="33"/>
  <c r="AC30" i="33"/>
  <c r="S31" i="33"/>
  <c r="AA31" i="33"/>
  <c r="W13" i="33"/>
  <c r="AC13" i="33"/>
  <c r="U15" i="33"/>
  <c r="S11" i="33"/>
  <c r="U37" i="33"/>
  <c r="S28" i="33"/>
  <c r="W9" i="33"/>
  <c r="W8" i="33"/>
  <c r="AB42" i="21"/>
  <c r="AA11" i="21"/>
  <c r="S45" i="21"/>
  <c r="J101" i="21"/>
  <c r="K101" i="21" s="1"/>
  <c r="L101" i="21" s="1"/>
  <c r="M101" i="21" s="1"/>
  <c r="F33" i="21"/>
  <c r="J33" i="21"/>
  <c r="AC33" i="21" s="1"/>
  <c r="H33" i="21"/>
  <c r="AB33" i="21"/>
  <c r="F37" i="21"/>
  <c r="AA37" i="21"/>
  <c r="AA26" i="21"/>
  <c r="AB46" i="21"/>
  <c r="U40" i="21"/>
  <c r="AC15" i="21"/>
  <c r="W8" i="21"/>
  <c r="S35" i="21"/>
  <c r="AB37" i="21"/>
  <c r="J37" i="21"/>
  <c r="W37" i="21"/>
  <c r="H15" i="21"/>
  <c r="AB15" i="21" s="1"/>
  <c r="U15" i="21"/>
  <c r="J17" i="21"/>
  <c r="AC17" i="21"/>
  <c r="AC19" i="21"/>
  <c r="W39" i="21"/>
  <c r="S46" i="21"/>
  <c r="H45" i="21"/>
  <c r="U45" i="21" s="1"/>
  <c r="F29" i="21"/>
  <c r="S29" i="21"/>
  <c r="F13" i="21"/>
  <c r="AA13" i="21" s="1"/>
  <c r="AC38" i="21"/>
  <c r="H32" i="21"/>
  <c r="AB32" i="21" s="1"/>
  <c r="H9" i="21"/>
  <c r="AB9" i="21" s="1"/>
  <c r="J9" i="21"/>
  <c r="J32" i="21"/>
  <c r="F32" i="21"/>
  <c r="AA32" i="21" s="1"/>
  <c r="AA31" i="21"/>
  <c r="U17" i="21"/>
  <c r="W29" i="21"/>
  <c r="S19" i="21"/>
  <c r="S9" i="21"/>
  <c r="AA9" i="21"/>
  <c r="K141" i="21"/>
  <c r="K144" i="21"/>
  <c r="K143" i="21"/>
  <c r="U27" i="21"/>
  <c r="AB44" i="21"/>
  <c r="AA30" i="21"/>
  <c r="W42" i="21"/>
  <c r="AC45" i="21"/>
  <c r="F10" i="21"/>
  <c r="K145" i="21"/>
  <c r="W17" i="21"/>
  <c r="W25" i="21"/>
  <c r="AA29" i="21"/>
  <c r="W31" i="21"/>
  <c r="S17" i="21"/>
  <c r="AA15" i="21"/>
  <c r="AC27" i="21"/>
  <c r="AC26" i="21"/>
  <c r="AB29"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T11" i="1"/>
  <c r="D9" i="69"/>
  <c r="C9" i="69" s="1"/>
  <c r="D19" i="12"/>
  <c r="C19" i="12" s="1"/>
  <c r="AR11" i="1"/>
  <c r="T13" i="1"/>
  <c r="D9" i="68"/>
  <c r="C9" i="68" s="1"/>
  <c r="S7" i="1"/>
  <c r="T7" i="1" s="1"/>
  <c r="E7" i="70"/>
  <c r="AA39" i="40"/>
  <c r="S39" i="40"/>
  <c r="J32" i="39"/>
  <c r="W32" i="39" s="1"/>
  <c r="H32" i="39"/>
  <c r="AB32" i="39" s="1"/>
  <c r="AB21" i="39"/>
  <c r="AA21" i="39"/>
  <c r="S21" i="39"/>
  <c r="S26" i="35"/>
  <c r="U9" i="35"/>
  <c r="AB9" i="35"/>
  <c r="AC26" i="35"/>
  <c r="AB26" i="35"/>
  <c r="U26" i="35"/>
  <c r="AC17" i="37"/>
  <c r="J19" i="37"/>
  <c r="AC19" i="37" s="1"/>
  <c r="G75" i="37"/>
  <c r="AA23" i="37"/>
  <c r="J23" i="37"/>
  <c r="AC23" i="37" s="1"/>
  <c r="G79" i="37"/>
  <c r="J10" i="37"/>
  <c r="G63" i="37"/>
  <c r="H11" i="37"/>
  <c r="AB11" i="37" s="1"/>
  <c r="H11" i="34"/>
  <c r="U11" i="34" s="1"/>
  <c r="AB10" i="34"/>
  <c r="U10" i="34"/>
  <c r="J10" i="34"/>
  <c r="U41" i="33"/>
  <c r="AC35" i="33"/>
  <c r="J36" i="33"/>
  <c r="W36" i="33" s="1"/>
  <c r="H36" i="33"/>
  <c r="AA36" i="33"/>
  <c r="W32" i="33"/>
  <c r="U27" i="33"/>
  <c r="AB27" i="33"/>
  <c r="J27" i="33"/>
  <c r="AC27" i="33" s="1"/>
  <c r="U25" i="33"/>
  <c r="G87" i="33"/>
  <c r="H87" i="33"/>
  <c r="I87" i="33" s="1"/>
  <c r="J87" i="33" s="1"/>
  <c r="K87" i="33"/>
  <c r="L87" i="33" s="1"/>
  <c r="M87" i="33" s="1"/>
  <c r="J25" i="33"/>
  <c r="U23" i="33"/>
  <c r="F23" i="33"/>
  <c r="G85" i="33"/>
  <c r="AC23" i="33"/>
  <c r="W23" i="33"/>
  <c r="AA19" i="33"/>
  <c r="H19" i="33"/>
  <c r="G79" i="33"/>
  <c r="H17" i="33"/>
  <c r="F17" i="33"/>
  <c r="S17" i="33" s="1"/>
  <c r="AC10" i="33"/>
  <c r="W10" i="33"/>
  <c r="AC37" i="21"/>
  <c r="U33" i="21"/>
  <c r="S37" i="21"/>
  <c r="J23" i="21"/>
  <c r="AC23" i="21" s="1"/>
  <c r="F85" i="21"/>
  <c r="G85" i="21"/>
  <c r="H23" i="21"/>
  <c r="S13" i="21"/>
  <c r="C23" i="43"/>
  <c r="C21" i="43" s="1"/>
  <c r="S3" i="43"/>
  <c r="J22" i="43"/>
  <c r="I102" i="43"/>
  <c r="I104" i="43"/>
  <c r="I106" i="43"/>
  <c r="I107" i="43"/>
  <c r="I103" i="43"/>
  <c r="I105" i="43"/>
  <c r="D107" i="43"/>
  <c r="L107" i="43"/>
  <c r="AR8" i="1"/>
  <c r="AQ8" i="1"/>
  <c r="T8" i="1"/>
  <c r="AQ7" i="1"/>
  <c r="L27" i="6"/>
  <c r="AP7" i="1"/>
  <c r="O7" i="1"/>
  <c r="P7" i="1" s="1"/>
  <c r="AB45" i="21"/>
  <c r="S33" i="21"/>
  <c r="AA33" i="21"/>
  <c r="W32" i="21"/>
  <c r="AC32" i="21"/>
  <c r="U9" i="21"/>
  <c r="W9" i="21"/>
  <c r="AC9" i="21"/>
  <c r="AA10" i="21"/>
  <c r="S10" i="21"/>
  <c r="AR7" i="1"/>
  <c r="U32" i="39"/>
  <c r="AC32" i="39"/>
  <c r="W23" i="37"/>
  <c r="H63" i="37"/>
  <c r="I63" i="37" s="1"/>
  <c r="J63" i="37" s="1"/>
  <c r="K63" i="37" s="1"/>
  <c r="L63" i="37" s="1"/>
  <c r="M63" i="37" s="1"/>
  <c r="J11" i="37"/>
  <c r="W11" i="37" s="1"/>
  <c r="W10" i="37"/>
  <c r="AC10" i="37"/>
  <c r="AB11" i="34"/>
  <c r="AC10" i="34"/>
  <c r="W10" i="34"/>
  <c r="J11" i="34"/>
  <c r="AC11" i="34" s="1"/>
  <c r="AC36" i="33"/>
  <c r="U36" i="33"/>
  <c r="AB36" i="33"/>
  <c r="W27" i="33"/>
  <c r="W25" i="33"/>
  <c r="AC25" i="33"/>
  <c r="AA23" i="33"/>
  <c r="S23" i="33"/>
  <c r="AB19" i="33"/>
  <c r="U19" i="33"/>
  <c r="AA17" i="33"/>
  <c r="U17" i="33"/>
  <c r="AB17" i="33"/>
  <c r="U23" i="21"/>
  <c r="AB23" i="21"/>
  <c r="AC11" i="37"/>
  <c r="R7" i="1"/>
  <c r="F34" i="11"/>
  <c r="C36" i="11" s="1"/>
  <c r="F11" i="12"/>
  <c r="C23" i="12" s="1"/>
  <c r="F34" i="68"/>
  <c r="R8" i="1"/>
  <c r="AE7" i="1"/>
  <c r="AE8" i="1"/>
  <c r="AG6" i="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9" i="71"/>
  <c r="X17" i="71"/>
  <c r="X16" i="71"/>
  <c r="AA17" i="71"/>
  <c r="AA16" i="71"/>
  <c r="X20" i="71"/>
  <c r="Y16" i="71"/>
  <c r="Z16" i="71" s="1"/>
  <c r="AB17" i="71"/>
  <c r="AB16" i="71"/>
  <c r="F18" i="71"/>
  <c r="F17" i="71" s="1"/>
  <c r="F16" i="71" s="1"/>
  <c r="F15" i="71" s="1"/>
  <c r="F14" i="71" s="1"/>
  <c r="Y17" i="71"/>
  <c r="Z17" i="71" s="1"/>
  <c r="X3" i="71"/>
  <c r="G20" i="43"/>
  <c r="I59" i="34"/>
  <c r="J59" i="34" s="1"/>
  <c r="D2" i="36"/>
  <c r="F6" i="73"/>
  <c r="E2" i="69"/>
  <c r="F6" i="67"/>
  <c r="F40" i="67"/>
  <c r="AO12" i="1"/>
  <c r="F5" i="73"/>
  <c r="F38" i="67"/>
  <c r="M22" i="67"/>
  <c r="B11" i="76"/>
  <c r="L48" i="67"/>
  <c r="M9" i="67"/>
  <c r="E7" i="76"/>
  <c r="M23" i="67"/>
  <c r="F3" i="73"/>
  <c r="F26" i="67"/>
  <c r="AO11" i="1"/>
  <c r="F37" i="67"/>
  <c r="M6" i="15"/>
  <c r="F38" i="15"/>
  <c r="E8" i="76"/>
  <c r="F13" i="67"/>
  <c r="E10" i="76"/>
  <c r="L48" i="15"/>
  <c r="M24" i="15"/>
  <c r="D2" i="33"/>
  <c r="AO9" i="1"/>
  <c r="F36" i="15"/>
  <c r="F42" i="67"/>
  <c r="B10" i="76"/>
  <c r="F26" i="15"/>
  <c r="F8" i="67"/>
  <c r="M29" i="67"/>
  <c r="M27" i="67"/>
  <c r="AO13" i="1"/>
  <c r="D2" i="21"/>
  <c r="M21" i="67"/>
  <c r="AO10" i="1"/>
  <c r="M28" i="67"/>
  <c r="F6" i="15"/>
  <c r="C76" i="67"/>
  <c r="F35" i="67"/>
  <c r="F4" i="73"/>
  <c r="E9" i="76"/>
  <c r="F7" i="73"/>
  <c r="D2" i="35"/>
  <c r="M24" i="67"/>
  <c r="F16" i="15"/>
  <c r="F20" i="31"/>
  <c r="F36" i="67"/>
  <c r="M8" i="67"/>
  <c r="E13" i="76"/>
  <c r="M8" i="15"/>
  <c r="C76" i="15"/>
  <c r="M26" i="67"/>
  <c r="F40" i="15"/>
  <c r="M26" i="15"/>
  <c r="M28" i="15"/>
  <c r="F42" i="15"/>
  <c r="F7" i="67"/>
  <c r="M6" i="67"/>
  <c r="B9" i="76"/>
  <c r="M29" i="15"/>
  <c r="F43" i="67"/>
  <c r="E2" i="68"/>
  <c r="F16" i="67"/>
  <c r="B8" i="76"/>
  <c r="B12" i="76"/>
  <c r="D5" i="73"/>
  <c r="F41" i="67"/>
  <c r="L47" i="15"/>
  <c r="D2" i="34"/>
  <c r="L47" i="67"/>
  <c r="F9" i="15"/>
  <c r="J15" i="67"/>
  <c r="E11" i="76"/>
  <c r="M9" i="15"/>
  <c r="AO8" i="1"/>
  <c r="B13" i="76"/>
  <c r="B7" i="76"/>
  <c r="F13" i="15"/>
  <c r="J15" i="15"/>
  <c r="AO7" i="1"/>
  <c r="F9" i="67"/>
  <c r="E12" i="76"/>
  <c r="D2" i="37"/>
  <c r="F43" i="15"/>
  <c r="D4" i="73"/>
  <c r="AA17" i="37" l="1"/>
  <c r="S17" i="37"/>
  <c r="U33" i="40"/>
  <c r="AB33" i="40"/>
  <c r="S23" i="21"/>
  <c r="AA23" i="21"/>
  <c r="L105" i="43"/>
  <c r="AB10" i="37"/>
  <c r="U10" i="37"/>
  <c r="W27" i="37"/>
  <c r="U21" i="40"/>
  <c r="AB21" i="40"/>
  <c r="U19" i="37"/>
  <c r="AB19" i="37"/>
  <c r="U31" i="40"/>
  <c r="AB31" i="40"/>
  <c r="AC41" i="34"/>
  <c r="W41" i="34"/>
  <c r="AZ563" i="3"/>
  <c r="AB14" i="21"/>
  <c r="U14" i="21"/>
  <c r="U30" i="37"/>
  <c r="AB30" i="37"/>
  <c r="AC39" i="40"/>
  <c r="W39" i="40"/>
  <c r="W39" i="34"/>
  <c r="AC39" i="34"/>
  <c r="S14" i="37"/>
  <c r="AA14" i="37"/>
  <c r="D106" i="43"/>
  <c r="D104" i="43"/>
  <c r="W23" i="21"/>
  <c r="U11" i="37"/>
  <c r="S20" i="36"/>
  <c r="W11" i="34"/>
  <c r="W19" i="37"/>
  <c r="S32" i="21"/>
  <c r="AB10" i="33"/>
  <c r="AA19" i="37"/>
  <c r="S19" i="37"/>
  <c r="S27" i="36"/>
  <c r="AR9" i="1"/>
  <c r="T9" i="1"/>
  <c r="AQ9" i="1"/>
  <c r="S34" i="33"/>
  <c r="AA34" i="33"/>
  <c r="H73" i="43"/>
  <c r="H71" i="43"/>
  <c r="H72" i="43"/>
  <c r="H78" i="43"/>
  <c r="U11" i="33"/>
  <c r="AC28" i="37"/>
  <c r="W28" i="37"/>
  <c r="AB32" i="36"/>
  <c r="U32" i="36"/>
  <c r="S11" i="35"/>
  <c r="AA11" i="35"/>
  <c r="W46" i="34"/>
  <c r="AC46" i="34"/>
  <c r="AA38" i="33"/>
  <c r="S38" i="33"/>
  <c r="L109" i="43"/>
  <c r="L106" i="43"/>
  <c r="L103" i="43"/>
  <c r="AC25" i="34"/>
  <c r="W25" i="34"/>
  <c r="S22" i="31"/>
  <c r="R22" i="31" s="1"/>
  <c r="S9" i="35"/>
  <c r="AA32" i="39"/>
  <c r="S32" i="39"/>
  <c r="U32" i="21"/>
  <c r="W33" i="21"/>
  <c r="D103" i="43"/>
  <c r="AA31" i="37"/>
  <c r="AC11" i="21"/>
  <c r="L104" i="43"/>
  <c r="D102" i="43"/>
  <c r="AC17" i="33"/>
  <c r="AA25" i="33"/>
  <c r="AA12" i="33"/>
  <c r="U13" i="21"/>
  <c r="AB28" i="33"/>
  <c r="AB27" i="40"/>
  <c r="AA32" i="37"/>
  <c r="AA23" i="39"/>
  <c r="S35" i="33"/>
  <c r="AA35" i="33"/>
  <c r="AA30" i="40"/>
  <c r="S30" i="40"/>
  <c r="BQ5" i="3"/>
  <c r="AZ310" i="3"/>
  <c r="AB31" i="37"/>
  <c r="U31" i="37"/>
  <c r="U25" i="21"/>
  <c r="AB25" i="21"/>
  <c r="AZ527" i="3"/>
  <c r="U14" i="39"/>
  <c r="AB14" i="39"/>
  <c r="AB46" i="33"/>
  <c r="U46" i="33"/>
  <c r="AA17" i="40"/>
  <c r="S17" i="40"/>
  <c r="H52" i="43"/>
  <c r="H50" i="43"/>
  <c r="D8" i="53"/>
  <c r="D120" i="9"/>
  <c r="D121" i="9" s="1"/>
  <c r="D7" i="52" s="1"/>
  <c r="AB37" i="39"/>
  <c r="AA31" i="40"/>
  <c r="S31" i="40"/>
  <c r="U17" i="37"/>
  <c r="AZ545" i="3"/>
  <c r="AZ565" i="3"/>
  <c r="AB31" i="34"/>
  <c r="S14" i="33"/>
  <c r="AA14" i="33"/>
  <c r="W28" i="33"/>
  <c r="AC28" i="33"/>
  <c r="AA44" i="34"/>
  <c r="S44" i="34"/>
  <c r="AA23" i="40"/>
  <c r="S23" i="40"/>
  <c r="BL585" i="3"/>
  <c r="BA585" i="3"/>
  <c r="AA15" i="33"/>
  <c r="S15" i="33"/>
  <c r="AB34" i="34"/>
  <c r="U34" i="34"/>
  <c r="J27" i="34"/>
  <c r="F27" i="34"/>
  <c r="H27" i="34"/>
  <c r="AB8" i="40"/>
  <c r="U8" i="40"/>
  <c r="J32" i="40"/>
  <c r="F32" i="40"/>
  <c r="AZ567" i="3"/>
  <c r="AZ566" i="3"/>
  <c r="BA546" i="3"/>
  <c r="AZ546" i="3" s="1"/>
  <c r="BA544" i="3"/>
  <c r="AZ544" i="3" s="1"/>
  <c r="BL543" i="3"/>
  <c r="BA543" i="3"/>
  <c r="AZ543" i="3" s="1"/>
  <c r="BL542" i="3"/>
  <c r="AZ542" i="3" s="1"/>
  <c r="BL541" i="3"/>
  <c r="BA541" i="3"/>
  <c r="BL540" i="3"/>
  <c r="BA540" i="3"/>
  <c r="AZ540" i="3" s="1"/>
  <c r="BL539" i="3"/>
  <c r="BA539" i="3"/>
  <c r="BL538" i="3"/>
  <c r="BA538" i="3"/>
  <c r="AZ538" i="3" s="1"/>
  <c r="BL536" i="3"/>
  <c r="BA536" i="3"/>
  <c r="BL534" i="3"/>
  <c r="BA534" i="3"/>
  <c r="AZ534" i="3" s="1"/>
  <c r="BA533" i="3"/>
  <c r="AZ533" i="3" s="1"/>
  <c r="BI5" i="3"/>
  <c r="BA532" i="3"/>
  <c r="AZ532" i="3" s="1"/>
  <c r="BR5" i="3"/>
  <c r="BL531" i="3"/>
  <c r="BA531" i="3"/>
  <c r="BH5" i="3"/>
  <c r="BD5" i="3"/>
  <c r="G530" i="3"/>
  <c r="H5" i="3"/>
  <c r="BA529" i="3"/>
  <c r="AZ529" i="3" s="1"/>
  <c r="BL528" i="3"/>
  <c r="BP5" i="3"/>
  <c r="BG5" i="3"/>
  <c r="BA528" i="3"/>
  <c r="BT5" i="3"/>
  <c r="BL527" i="3"/>
  <c r="BO5" i="3"/>
  <c r="BA526" i="3"/>
  <c r="AZ526" i="3" s="1"/>
  <c r="AZ510" i="3"/>
  <c r="S29" i="37"/>
  <c r="AA29" i="37"/>
  <c r="W30" i="34"/>
  <c r="AC30" i="34"/>
  <c r="AB31" i="33"/>
  <c r="U31" i="33"/>
  <c r="U29" i="33"/>
  <c r="AB29" i="33"/>
  <c r="W14" i="21"/>
  <c r="AC14" i="21"/>
  <c r="S16" i="35"/>
  <c r="AA16" i="35"/>
  <c r="U23" i="40"/>
  <c r="AB23" i="40"/>
  <c r="S41" i="39"/>
  <c r="AA41" i="39"/>
  <c r="S26" i="33"/>
  <c r="AA26" i="33"/>
  <c r="AA29" i="36"/>
  <c r="S29" i="36"/>
  <c r="AB34" i="35"/>
  <c r="U34" i="35"/>
  <c r="U13" i="34"/>
  <c r="AB13" i="34"/>
  <c r="H11" i="36"/>
  <c r="F11" i="36"/>
  <c r="AC9" i="39"/>
  <c r="W9" i="39"/>
  <c r="AA40" i="39"/>
  <c r="S40" i="39"/>
  <c r="AB38" i="39"/>
  <c r="U38" i="39"/>
  <c r="BL581" i="3"/>
  <c r="AZ581" i="3" s="1"/>
  <c r="AZ576" i="3"/>
  <c r="AZ575" i="3"/>
  <c r="AZ570" i="3"/>
  <c r="BL555" i="3"/>
  <c r="BA555" i="3"/>
  <c r="AZ555" i="3" s="1"/>
  <c r="BL554" i="3"/>
  <c r="BA554" i="3"/>
  <c r="BA553" i="3"/>
  <c r="AZ553" i="3" s="1"/>
  <c r="BA552" i="3"/>
  <c r="AZ552" i="3" s="1"/>
  <c r="G29" i="6"/>
  <c r="S41" i="34"/>
  <c r="AA41" i="34"/>
  <c r="AZ535" i="3"/>
  <c r="W37" i="37"/>
  <c r="AC37" i="37"/>
  <c r="AB13" i="36"/>
  <c r="U13" i="36"/>
  <c r="W31" i="33"/>
  <c r="AC31" i="33"/>
  <c r="AC30" i="21"/>
  <c r="W30" i="21"/>
  <c r="U10" i="35"/>
  <c r="AB10" i="35"/>
  <c r="U32" i="33"/>
  <c r="AB32" i="33"/>
  <c r="AA19" i="39"/>
  <c r="S19" i="39"/>
  <c r="W33" i="36"/>
  <c r="AC33" i="36"/>
  <c r="AC35" i="39"/>
  <c r="W35" i="39"/>
  <c r="U39" i="21"/>
  <c r="AB39" i="21"/>
  <c r="S38" i="21"/>
  <c r="AA38" i="21"/>
  <c r="H28" i="21"/>
  <c r="J28" i="21"/>
  <c r="F28" i="21"/>
  <c r="AB31" i="21"/>
  <c r="U31" i="21"/>
  <c r="U39" i="40"/>
  <c r="AB39" i="40"/>
  <c r="AA41" i="21"/>
  <c r="S41" i="21"/>
  <c r="AZ582" i="3"/>
  <c r="AC12" i="35"/>
  <c r="U14" i="35"/>
  <c r="S24" i="36"/>
  <c r="AB27" i="39"/>
  <c r="AZ304" i="3"/>
  <c r="AZ393" i="3"/>
  <c r="AZ517" i="3"/>
  <c r="J44" i="33"/>
  <c r="H14" i="33"/>
  <c r="W28" i="34"/>
  <c r="F37" i="39"/>
  <c r="S38" i="39"/>
  <c r="AA42" i="39"/>
  <c r="S42" i="39"/>
  <c r="U38" i="40"/>
  <c r="J12" i="21"/>
  <c r="BA586" i="3"/>
  <c r="AZ586" i="3" s="1"/>
  <c r="AB14" i="37"/>
  <c r="U14" i="37"/>
  <c r="J26" i="37"/>
  <c r="F26" i="37"/>
  <c r="H26" i="37"/>
  <c r="H45" i="39"/>
  <c r="F45" i="39"/>
  <c r="BL577" i="3"/>
  <c r="BA569" i="3"/>
  <c r="AZ569" i="3" s="1"/>
  <c r="BA561" i="3"/>
  <c r="AZ561" i="3" s="1"/>
  <c r="BL558" i="3"/>
  <c r="AZ558" i="3" s="1"/>
  <c r="G557" i="3"/>
  <c r="BL556" i="3"/>
  <c r="BA556" i="3"/>
  <c r="BL549" i="3"/>
  <c r="BA549" i="3"/>
  <c r="AZ549" i="3" s="1"/>
  <c r="BA525" i="3"/>
  <c r="AZ525" i="3" s="1"/>
  <c r="BL523" i="3"/>
  <c r="AZ523" i="3" s="1"/>
  <c r="BL520" i="3"/>
  <c r="AZ520" i="3" s="1"/>
  <c r="BL519" i="3"/>
  <c r="AZ519" i="3" s="1"/>
  <c r="BL516" i="3"/>
  <c r="AZ516" i="3" s="1"/>
  <c r="BA515" i="3"/>
  <c r="AZ515" i="3" s="1"/>
  <c r="BL514" i="3"/>
  <c r="AZ514" i="3" s="1"/>
  <c r="BA512" i="3"/>
  <c r="AZ512" i="3" s="1"/>
  <c r="BL511" i="3"/>
  <c r="AZ511" i="3" s="1"/>
  <c r="BA508" i="3"/>
  <c r="AZ508" i="3" s="1"/>
  <c r="BL507" i="3"/>
  <c r="AZ507" i="3" s="1"/>
  <c r="BA505" i="3"/>
  <c r="AZ505" i="3" s="1"/>
  <c r="BA502" i="3"/>
  <c r="AZ502" i="3" s="1"/>
  <c r="BS5" i="3"/>
  <c r="BL498" i="3"/>
  <c r="AZ498" i="3" s="1"/>
  <c r="AC5" i="3"/>
  <c r="BA497" i="3"/>
  <c r="AZ497" i="3" s="1"/>
  <c r="BL496" i="3"/>
  <c r="BM5" i="3"/>
  <c r="F29" i="6" s="1"/>
  <c r="BA496" i="3"/>
  <c r="AZ496" i="3" s="1"/>
  <c r="BK5" i="3"/>
  <c r="BC5" i="3"/>
  <c r="BL493" i="3"/>
  <c r="AZ493" i="3" s="1"/>
  <c r="BF5" i="3"/>
  <c r="BB5" i="3"/>
  <c r="S5" i="43"/>
  <c r="AR10" i="1"/>
  <c r="AB8" i="21"/>
  <c r="AZ325" i="3"/>
  <c r="AC37" i="39"/>
  <c r="W16" i="35"/>
  <c r="AB38" i="21"/>
  <c r="AZ495" i="3"/>
  <c r="AB46" i="34"/>
  <c r="AA45" i="33"/>
  <c r="S45" i="33"/>
  <c r="H30" i="21"/>
  <c r="AC37" i="34"/>
  <c r="W37" i="34"/>
  <c r="AC36" i="39"/>
  <c r="W36" i="39"/>
  <c r="F12" i="21"/>
  <c r="AA8" i="33"/>
  <c r="F9" i="33"/>
  <c r="AB33" i="33"/>
  <c r="U33" i="33"/>
  <c r="AC9" i="34"/>
  <c r="W9" i="34"/>
  <c r="AB31" i="36"/>
  <c r="U31" i="36"/>
  <c r="AA40" i="40"/>
  <c r="S40" i="40"/>
  <c r="W31" i="35"/>
  <c r="AA30" i="36"/>
  <c r="G566" i="3"/>
  <c r="BA551" i="3"/>
  <c r="AZ551" i="3" s="1"/>
  <c r="AB12" i="21"/>
  <c r="U12" i="21"/>
  <c r="J31" i="34"/>
  <c r="F31" i="34"/>
  <c r="H47" i="34"/>
  <c r="J47" i="34"/>
  <c r="AC28" i="36"/>
  <c r="W28" i="36"/>
  <c r="J12" i="37"/>
  <c r="F12" i="37"/>
  <c r="F28" i="37"/>
  <c r="H28" i="37"/>
  <c r="AB40" i="40"/>
  <c r="U40" i="40"/>
  <c r="H35" i="39"/>
  <c r="F35" i="39"/>
  <c r="BL583" i="3"/>
  <c r="BA583" i="3"/>
  <c r="BA577" i="3"/>
  <c r="BL574" i="3"/>
  <c r="AZ574" i="3" s="1"/>
  <c r="BL572" i="3"/>
  <c r="AZ572" i="3" s="1"/>
  <c r="BL569" i="3"/>
  <c r="K5" i="4"/>
  <c r="B47" i="48" s="1"/>
  <c r="AC8" i="37"/>
  <c r="F43" i="39"/>
  <c r="F27" i="21"/>
  <c r="J13" i="21"/>
  <c r="F44" i="21"/>
  <c r="AC9" i="40"/>
  <c r="W39" i="33"/>
  <c r="S34" i="35"/>
  <c r="U9" i="39"/>
  <c r="H12" i="33"/>
  <c r="H23" i="35"/>
  <c r="G526" i="3"/>
  <c r="AZ398" i="3"/>
  <c r="AZ212" i="3"/>
  <c r="AZ217" i="3"/>
  <c r="AZ220" i="3"/>
  <c r="AZ399" i="3"/>
  <c r="AZ411" i="3"/>
  <c r="AZ418" i="3"/>
  <c r="AZ419" i="3"/>
  <c r="AZ448" i="3"/>
  <c r="AZ451" i="3"/>
  <c r="AZ467" i="3"/>
  <c r="AZ474" i="3"/>
  <c r="AZ481" i="3"/>
  <c r="AZ482" i="3"/>
  <c r="AZ449" i="3"/>
  <c r="AZ461" i="3"/>
  <c r="AZ435" i="3"/>
  <c r="AZ129" i="3"/>
  <c r="G403" i="3"/>
  <c r="BL408" i="3"/>
  <c r="AZ408" i="3" s="1"/>
  <c r="G413" i="3"/>
  <c r="G417" i="3"/>
  <c r="BA422" i="3"/>
  <c r="AZ422" i="3" s="1"/>
  <c r="BA433" i="3"/>
  <c r="AZ433" i="3" s="1"/>
  <c r="BL436" i="3"/>
  <c r="AZ436" i="3" s="1"/>
  <c r="BA440" i="3"/>
  <c r="AZ440" i="3" s="1"/>
  <c r="G444" i="3"/>
  <c r="G448" i="3"/>
  <c r="BA454" i="3"/>
  <c r="AZ454" i="3" s="1"/>
  <c r="BL457" i="3"/>
  <c r="AZ457" i="3" s="1"/>
  <c r="G463" i="3"/>
  <c r="BL468" i="3"/>
  <c r="AZ468" i="3" s="1"/>
  <c r="BA487" i="3"/>
  <c r="AZ487" i="3" s="1"/>
  <c r="BL490" i="3"/>
  <c r="AZ490" i="3" s="1"/>
  <c r="BA331" i="3"/>
  <c r="AZ331" i="3" s="1"/>
  <c r="BA349" i="3"/>
  <c r="AZ349" i="3" s="1"/>
  <c r="BA366" i="3"/>
  <c r="AZ366" i="3" s="1"/>
  <c r="G380" i="3"/>
  <c r="G387" i="3"/>
  <c r="BA388" i="3"/>
  <c r="AZ388" i="3" s="1"/>
  <c r="BA397" i="3"/>
  <c r="BA208" i="3"/>
  <c r="AZ208" i="3" s="1"/>
  <c r="G212" i="3"/>
  <c r="BA213" i="3"/>
  <c r="G217" i="3"/>
  <c r="BA218" i="3"/>
  <c r="AZ218" i="3" s="1"/>
  <c r="BA219" i="3"/>
  <c r="AZ219" i="3" s="1"/>
  <c r="G226" i="3"/>
  <c r="G229" i="3"/>
  <c r="BL230" i="3"/>
  <c r="AZ230" i="3" s="1"/>
  <c r="BA237" i="3"/>
  <c r="AZ237" i="3" s="1"/>
  <c r="BA240" i="3"/>
  <c r="AZ242" i="3"/>
  <c r="BA244" i="3"/>
  <c r="AZ244" i="3" s="1"/>
  <c r="AZ247" i="3"/>
  <c r="G251" i="3"/>
  <c r="BA254" i="3"/>
  <c r="AZ254" i="3" s="1"/>
  <c r="AZ267" i="3"/>
  <c r="AZ278" i="3"/>
  <c r="AZ290" i="3"/>
  <c r="BA302" i="3"/>
  <c r="AZ302" i="3" s="1"/>
  <c r="AZ122" i="3"/>
  <c r="BL401" i="3"/>
  <c r="AZ401" i="3" s="1"/>
  <c r="G407" i="3"/>
  <c r="BA412" i="3"/>
  <c r="AZ412" i="3" s="1"/>
  <c r="BA416" i="3"/>
  <c r="AZ416" i="3" s="1"/>
  <c r="G420" i="3"/>
  <c r="G424" i="3"/>
  <c r="G428" i="3"/>
  <c r="G431" i="3"/>
  <c r="BL439" i="3"/>
  <c r="AZ439" i="3" s="1"/>
  <c r="BL442" i="3"/>
  <c r="BA447" i="3"/>
  <c r="AZ447" i="3" s="1"/>
  <c r="G452" i="3"/>
  <c r="G456" i="3"/>
  <c r="BL461" i="3"/>
  <c r="BL472" i="3"/>
  <c r="AZ472" i="3" s="1"/>
  <c r="G477" i="3"/>
  <c r="G481" i="3"/>
  <c r="G485" i="3"/>
  <c r="G489" i="3"/>
  <c r="BL316" i="3"/>
  <c r="AZ316" i="3" s="1"/>
  <c r="BL346" i="3"/>
  <c r="AZ346" i="3" s="1"/>
  <c r="BL353" i="3"/>
  <c r="AZ353" i="3" s="1"/>
  <c r="BA374" i="3"/>
  <c r="AZ374" i="3" s="1"/>
  <c r="BA386" i="3"/>
  <c r="AZ386" i="3" s="1"/>
  <c r="G395" i="3"/>
  <c r="BA210" i="3"/>
  <c r="AZ210" i="3" s="1"/>
  <c r="BA211" i="3"/>
  <c r="AZ211" i="3" s="1"/>
  <c r="BA215" i="3"/>
  <c r="AZ215" i="3" s="1"/>
  <c r="BA216" i="3"/>
  <c r="AZ216" i="3" s="1"/>
  <c r="BL222" i="3"/>
  <c r="AZ222" i="3" s="1"/>
  <c r="AZ231" i="3"/>
  <c r="BA234" i="3"/>
  <c r="AZ234" i="3" s="1"/>
  <c r="G246" i="3"/>
  <c r="BL247" i="3"/>
  <c r="BA264" i="3"/>
  <c r="AZ264" i="3" s="1"/>
  <c r="AZ274" i="3"/>
  <c r="BL284" i="3"/>
  <c r="AZ285" i="3"/>
  <c r="AZ292" i="3"/>
  <c r="AZ301" i="3"/>
  <c r="AZ118" i="3"/>
  <c r="G400" i="3"/>
  <c r="BL405" i="3"/>
  <c r="AZ405" i="3" s="1"/>
  <c r="G410" i="3"/>
  <c r="BL415" i="3"/>
  <c r="AZ415" i="3" s="1"/>
  <c r="BL418" i="3"/>
  <c r="BA423" i="3"/>
  <c r="AZ423" i="3" s="1"/>
  <c r="BA427" i="3"/>
  <c r="AZ427" i="3" s="1"/>
  <c r="BA430" i="3"/>
  <c r="AZ430" i="3" s="1"/>
  <c r="BA442" i="3"/>
  <c r="AZ442" i="3" s="1"/>
  <c r="BL446" i="3"/>
  <c r="AZ446" i="3" s="1"/>
  <c r="BL450" i="3"/>
  <c r="AZ450" i="3" s="1"/>
  <c r="BA455" i="3"/>
  <c r="AZ455" i="3" s="1"/>
  <c r="G466" i="3"/>
  <c r="BA476" i="3"/>
  <c r="AZ476" i="3" s="1"/>
  <c r="BA480" i="3"/>
  <c r="AZ480" i="3" s="1"/>
  <c r="BA484" i="3"/>
  <c r="AZ484" i="3" s="1"/>
  <c r="BA488" i="3"/>
  <c r="AZ488" i="3" s="1"/>
  <c r="BL332" i="3"/>
  <c r="AZ332" i="3" s="1"/>
  <c r="G351" i="3"/>
  <c r="BL368" i="3"/>
  <c r="AZ368" i="3" s="1"/>
  <c r="G384" i="3"/>
  <c r="BL393" i="3"/>
  <c r="G396" i="3"/>
  <c r="BL396" i="3"/>
  <c r="AZ396" i="3" s="1"/>
  <c r="BL397" i="3"/>
  <c r="G208" i="3"/>
  <c r="BL213" i="3"/>
  <c r="G214" i="3"/>
  <c r="BL218" i="3"/>
  <c r="G219" i="3"/>
  <c r="BL221" i="3"/>
  <c r="AZ221" i="3" s="1"/>
  <c r="AZ225" i="3"/>
  <c r="G236" i="3"/>
  <c r="AZ270" i="3"/>
  <c r="BA223" i="3"/>
  <c r="AZ223" i="3" s="1"/>
  <c r="BA226" i="3"/>
  <c r="AZ226" i="3" s="1"/>
  <c r="BA236" i="3"/>
  <c r="AZ236" i="3" s="1"/>
  <c r="BL240" i="3"/>
  <c r="BA246" i="3"/>
  <c r="AZ246" i="3" s="1"/>
  <c r="BA253" i="3"/>
  <c r="AZ253" i="3" s="1"/>
  <c r="BL257" i="3"/>
  <c r="AZ257" i="3" s="1"/>
  <c r="BL260" i="3"/>
  <c r="AZ260" i="3" s="1"/>
  <c r="BA268" i="3"/>
  <c r="AZ268" i="3" s="1"/>
  <c r="BA273" i="3"/>
  <c r="AZ273" i="3" s="1"/>
  <c r="G277" i="3"/>
  <c r="G282" i="3"/>
  <c r="BL286" i="3"/>
  <c r="AZ286" i="3" s="1"/>
  <c r="AZ169" i="3"/>
  <c r="AZ193" i="3"/>
  <c r="G222" i="3"/>
  <c r="BL225" i="3"/>
  <c r="BL228" i="3"/>
  <c r="AZ228" i="3" s="1"/>
  <c r="BL235" i="3"/>
  <c r="AZ235" i="3" s="1"/>
  <c r="G239" i="3"/>
  <c r="BL245" i="3"/>
  <c r="AZ245" i="3" s="1"/>
  <c r="BL250" i="3"/>
  <c r="AZ250" i="3" s="1"/>
  <c r="BL255" i="3"/>
  <c r="AZ255" i="3" s="1"/>
  <c r="BL265" i="3"/>
  <c r="AZ265" i="3" s="1"/>
  <c r="BL270" i="3"/>
  <c r="BA276" i="3"/>
  <c r="AZ276" i="3" s="1"/>
  <c r="BA281" i="3"/>
  <c r="AZ281" i="3" s="1"/>
  <c r="BA295" i="3"/>
  <c r="AZ295" i="3" s="1"/>
  <c r="BL299" i="3"/>
  <c r="AZ299" i="3" s="1"/>
  <c r="BL119" i="3"/>
  <c r="AZ119" i="3" s="1"/>
  <c r="BA138" i="3"/>
  <c r="AZ138" i="3" s="1"/>
  <c r="BA141" i="3"/>
  <c r="AZ141" i="3" s="1"/>
  <c r="AZ23" i="3"/>
  <c r="AZ27" i="3"/>
  <c r="AZ36" i="3"/>
  <c r="AZ38" i="3"/>
  <c r="BA44" i="3"/>
  <c r="AZ44" i="3" s="1"/>
  <c r="AZ52" i="3"/>
  <c r="BL233" i="3"/>
  <c r="AZ233" i="3" s="1"/>
  <c r="BA238" i="3"/>
  <c r="AZ238" i="3" s="1"/>
  <c r="G244" i="3"/>
  <c r="BL248" i="3"/>
  <c r="AZ248" i="3" s="1"/>
  <c r="G259" i="3"/>
  <c r="G264" i="3"/>
  <c r="BL275" i="3"/>
  <c r="AZ275" i="3" s="1"/>
  <c r="G280" i="3"/>
  <c r="BA284" i="3"/>
  <c r="BA289" i="3"/>
  <c r="AZ289" i="3" s="1"/>
  <c r="G293" i="3"/>
  <c r="G298" i="3"/>
  <c r="BA113" i="3"/>
  <c r="AZ113" i="3" s="1"/>
  <c r="G119" i="3"/>
  <c r="G124" i="3"/>
  <c r="BL129" i="3"/>
  <c r="BL131" i="3"/>
  <c r="AZ131" i="3" s="1"/>
  <c r="G132" i="3"/>
  <c r="BL134" i="3"/>
  <c r="AZ134" i="3" s="1"/>
  <c r="AZ137" i="3"/>
  <c r="BA146" i="3"/>
  <c r="AZ146" i="3" s="1"/>
  <c r="BA150" i="3"/>
  <c r="AZ150" i="3" s="1"/>
  <c r="BL158" i="3"/>
  <c r="AZ158" i="3" s="1"/>
  <c r="AZ161" i="3"/>
  <c r="G187" i="3"/>
  <c r="BL197" i="3"/>
  <c r="AZ197" i="3" s="1"/>
  <c r="AZ201" i="3"/>
  <c r="BA34" i="3"/>
  <c r="AZ34" i="3" s="1"/>
  <c r="AZ40" i="3"/>
  <c r="BL154" i="3"/>
  <c r="AZ154" i="3" s="1"/>
  <c r="BA162" i="3"/>
  <c r="AZ162" i="3" s="1"/>
  <c r="BA168" i="3"/>
  <c r="AZ168" i="3" s="1"/>
  <c r="BA174" i="3"/>
  <c r="AZ174" i="3" s="1"/>
  <c r="G178" i="3"/>
  <c r="BA188" i="3"/>
  <c r="AZ188" i="3" s="1"/>
  <c r="G195" i="3"/>
  <c r="G206" i="3"/>
  <c r="G19" i="3"/>
  <c r="G5" i="3" s="1"/>
  <c r="B3" i="3" s="1"/>
  <c r="BL22" i="3"/>
  <c r="BL5" i="3" s="1"/>
  <c r="BL25" i="3"/>
  <c r="AZ25" i="3" s="1"/>
  <c r="BL30" i="3"/>
  <c r="AZ30" i="3" s="1"/>
  <c r="BL37" i="3"/>
  <c r="AZ37" i="3" s="1"/>
  <c r="BL40" i="3"/>
  <c r="BL57" i="3"/>
  <c r="AZ57" i="3" s="1"/>
  <c r="BL62" i="3"/>
  <c r="AZ62" i="3" s="1"/>
  <c r="BA64" i="3"/>
  <c r="AZ64" i="3" s="1"/>
  <c r="BA73" i="3"/>
  <c r="AZ73" i="3" s="1"/>
  <c r="BA78" i="3"/>
  <c r="AZ78" i="3" s="1"/>
  <c r="BA87" i="3"/>
  <c r="AZ87" i="3" s="1"/>
  <c r="AZ91" i="3"/>
  <c r="AZ99" i="3"/>
  <c r="AZ103" i="3"/>
  <c r="AZ112" i="3"/>
  <c r="F3" i="35"/>
  <c r="B7" i="1"/>
  <c r="E7" i="1" s="1"/>
  <c r="G152" i="3"/>
  <c r="G158" i="3"/>
  <c r="BL166" i="3"/>
  <c r="AZ166" i="3" s="1"/>
  <c r="G172" i="3"/>
  <c r="BA177" i="3"/>
  <c r="AZ177" i="3" s="1"/>
  <c r="BL186" i="3"/>
  <c r="AZ186" i="3" s="1"/>
  <c r="BA194" i="3"/>
  <c r="AZ194" i="3" s="1"/>
  <c r="BA200" i="3"/>
  <c r="AZ200" i="3" s="1"/>
  <c r="BA205" i="3"/>
  <c r="AZ205" i="3" s="1"/>
  <c r="BA18" i="3"/>
  <c r="BL49" i="3"/>
  <c r="BL54" i="3"/>
  <c r="BA56" i="3"/>
  <c r="AZ56" i="3" s="1"/>
  <c r="BL58" i="3"/>
  <c r="AZ58" i="3" s="1"/>
  <c r="BA60" i="3"/>
  <c r="AZ60" i="3" s="1"/>
  <c r="BA61" i="3"/>
  <c r="AZ61" i="3" s="1"/>
  <c r="BL63" i="3"/>
  <c r="AZ63" i="3" s="1"/>
  <c r="BA68" i="3"/>
  <c r="AZ68" i="3" s="1"/>
  <c r="AZ70" i="3"/>
  <c r="BL92" i="3"/>
  <c r="AZ92" i="3" s="1"/>
  <c r="BL94" i="3"/>
  <c r="AZ94" i="3" s="1"/>
  <c r="BL103" i="3"/>
  <c r="BA109" i="3"/>
  <c r="AZ109" i="3" s="1"/>
  <c r="BL149" i="3"/>
  <c r="AZ149" i="3" s="1"/>
  <c r="BA157" i="3"/>
  <c r="AZ157" i="3" s="1"/>
  <c r="BL163" i="3"/>
  <c r="AZ163" i="3" s="1"/>
  <c r="BL169" i="3"/>
  <c r="BL175" i="3"/>
  <c r="AZ175" i="3" s="1"/>
  <c r="G184" i="3"/>
  <c r="G190" i="3"/>
  <c r="BL198" i="3"/>
  <c r="AZ198" i="3" s="1"/>
  <c r="G204" i="3"/>
  <c r="BL207" i="3"/>
  <c r="AZ207" i="3" s="1"/>
  <c r="G21" i="3"/>
  <c r="G24" i="3"/>
  <c r="G29" i="3"/>
  <c r="BA35" i="3"/>
  <c r="AZ35" i="3" s="1"/>
  <c r="G39" i="3"/>
  <c r="BA45" i="3"/>
  <c r="AZ45" i="3" s="1"/>
  <c r="AZ49" i="3"/>
  <c r="AZ54" i="3"/>
  <c r="BL97" i="3"/>
  <c r="AZ97" i="3" s="1"/>
  <c r="AZ108" i="3"/>
  <c r="G11" i="1"/>
  <c r="T29" i="71"/>
  <c r="D29" i="71"/>
  <c r="E59" i="43"/>
  <c r="B57" i="43" s="1"/>
  <c r="G100" i="43"/>
  <c r="M108" i="43"/>
  <c r="M100" i="43"/>
  <c r="I108" i="43"/>
  <c r="I109" i="43" s="1"/>
  <c r="I100" i="43"/>
  <c r="E108" i="43"/>
  <c r="E100" i="43"/>
  <c r="AC21" i="34"/>
  <c r="W18" i="36"/>
  <c r="C41" i="71"/>
  <c r="D40" i="71"/>
  <c r="D100" i="43"/>
  <c r="D108" i="43"/>
  <c r="D109" i="43" s="1"/>
  <c r="C49" i="71"/>
  <c r="D48" i="71"/>
  <c r="G12" i="1"/>
  <c r="AB21" i="21"/>
  <c r="C61" i="71"/>
  <c r="D60" i="71"/>
  <c r="E27" i="71"/>
  <c r="E28" i="71" s="1"/>
  <c r="E29" i="71" s="1"/>
  <c r="U29" i="71" s="1"/>
  <c r="AA26" i="71"/>
  <c r="AA22" i="71"/>
  <c r="AB29" i="71"/>
  <c r="AB30" i="71"/>
  <c r="AB6" i="71"/>
  <c r="AB36" i="71"/>
  <c r="B21" i="71"/>
  <c r="X15" i="71"/>
  <c r="X18" i="71"/>
  <c r="AA20" i="71"/>
  <c r="AA15" i="71"/>
  <c r="X14" i="71"/>
  <c r="S21" i="21"/>
  <c r="U18" i="36"/>
  <c r="AA25" i="40"/>
  <c r="AA3" i="71"/>
  <c r="AB25" i="71"/>
  <c r="X23" i="71"/>
  <c r="Y25" i="71"/>
  <c r="Z25" i="71" s="1"/>
  <c r="Y30" i="71"/>
  <c r="Z30" i="71" s="1"/>
  <c r="AB27" i="71"/>
  <c r="Y29" i="71"/>
  <c r="Z29" i="71" s="1"/>
  <c r="AJ10" i="43"/>
  <c r="X22" i="71"/>
  <c r="Y21" i="71"/>
  <c r="Z21" i="71" s="1"/>
  <c r="X21" i="71"/>
  <c r="Y19" i="71"/>
  <c r="Z19" i="71" s="1"/>
  <c r="Y10" i="71"/>
  <c r="Z10" i="71" s="1"/>
  <c r="Y14" i="71"/>
  <c r="Z14" i="71" s="1"/>
  <c r="D28" i="71"/>
  <c r="AA25" i="71"/>
  <c r="AB24" i="71"/>
  <c r="Q65" i="71"/>
  <c r="D39" i="71"/>
  <c r="D27" i="71"/>
  <c r="Y22" i="71"/>
  <c r="Z22" i="71" s="1"/>
  <c r="C32" i="71"/>
  <c r="X27" i="71"/>
  <c r="E32" i="71"/>
  <c r="E33" i="71" s="1"/>
  <c r="U33" i="71" s="1"/>
  <c r="AA27" i="71"/>
  <c r="AA29" i="71"/>
  <c r="F31" i="71"/>
  <c r="F32" i="71" s="1"/>
  <c r="F33" i="71" s="1"/>
  <c r="V33" i="71" s="1"/>
  <c r="AB33" i="71"/>
  <c r="C35" i="71"/>
  <c r="Y32" i="71"/>
  <c r="Z32" i="71" s="1"/>
  <c r="Y34" i="71"/>
  <c r="Z34" i="71" s="1"/>
  <c r="AH10" i="43"/>
  <c r="AF12" i="43"/>
  <c r="AF10" i="43"/>
  <c r="AA19" i="71"/>
  <c r="AA21" i="71"/>
  <c r="AA9" i="71"/>
  <c r="E21" i="71"/>
  <c r="X19" i="71"/>
  <c r="AA11" i="71"/>
  <c r="AA14" i="71"/>
  <c r="T53" i="71"/>
  <c r="AA24" i="71"/>
  <c r="C24" i="71"/>
  <c r="D69" i="71"/>
  <c r="C64" i="71"/>
  <c r="D55" i="71"/>
  <c r="X25" i="71"/>
  <c r="B24" i="71"/>
  <c r="B23" i="71" s="1"/>
  <c r="Y24" i="71"/>
  <c r="Z24" i="71" s="1"/>
  <c r="AB34" i="71"/>
  <c r="Y26" i="71"/>
  <c r="Z26" i="71" s="1"/>
  <c r="X26" i="71"/>
  <c r="AB28" i="71"/>
  <c r="Y33" i="71"/>
  <c r="Z33" i="71" s="1"/>
  <c r="AB31" i="71"/>
  <c r="E35" i="71"/>
  <c r="E36" i="71" s="1"/>
  <c r="E37" i="71" s="1"/>
  <c r="U37" i="71" s="1"/>
  <c r="AA34" i="71"/>
  <c r="X7" i="71"/>
  <c r="AA7" i="71"/>
  <c r="AA6" i="71"/>
  <c r="AA36" i="71"/>
  <c r="AA35" i="71"/>
  <c r="F64" i="71"/>
  <c r="AB10" i="43"/>
  <c r="AD12" i="43"/>
  <c r="AD13" i="43" s="1"/>
  <c r="AD10" i="43"/>
  <c r="AB22" i="71"/>
  <c r="AB20" i="71"/>
  <c r="Y15" i="71"/>
  <c r="Z15" i="71" s="1"/>
  <c r="AB15" i="71"/>
  <c r="AB9" i="71"/>
  <c r="AB14" i="71"/>
  <c r="Y6" i="71"/>
  <c r="Z6" i="71" s="1"/>
  <c r="Y7" i="71"/>
  <c r="Z7" i="71" s="1"/>
  <c r="M56" i="9"/>
  <c r="Y18" i="71"/>
  <c r="Z18" i="71" s="1"/>
  <c r="AB18" i="71"/>
  <c r="X12" i="71"/>
  <c r="Y8" i="71"/>
  <c r="Z8" i="71" s="1"/>
  <c r="AB8" i="71"/>
  <c r="X6" i="71"/>
  <c r="AB21" i="71"/>
  <c r="Y20" i="71"/>
  <c r="Z20" i="71" s="1"/>
  <c r="AA18" i="71"/>
  <c r="Y11" i="71"/>
  <c r="Z11" i="71" s="1"/>
  <c r="X10" i="71"/>
  <c r="AB7" i="71"/>
  <c r="AA12" i="71"/>
  <c r="AA10" i="71"/>
  <c r="Y9" i="71"/>
  <c r="Z9" i="71" s="1"/>
  <c r="X8" i="71"/>
  <c r="X11" i="71"/>
  <c r="C21" i="71"/>
  <c r="AB12" i="71"/>
  <c r="AA8" i="71"/>
  <c r="X9" i="71"/>
  <c r="AB10" i="71"/>
  <c r="AB11" i="71"/>
  <c r="D6" i="52"/>
  <c r="C18" i="9"/>
  <c r="D18" i="9" s="1"/>
  <c r="B16" i="53"/>
  <c r="B33" i="72" s="1"/>
  <c r="H109" i="9"/>
  <c r="P61" i="15"/>
  <c r="C36" i="69"/>
  <c r="D22" i="67"/>
  <c r="C5" i="11"/>
  <c r="C21" i="69"/>
  <c r="F54" i="9"/>
  <c r="F28" i="15"/>
  <c r="C28" i="15" s="1"/>
  <c r="F31" i="12"/>
  <c r="C31" i="12" s="1"/>
  <c r="M18" i="67"/>
  <c r="F30" i="68"/>
  <c r="D68" i="9"/>
  <c r="M18" i="15"/>
  <c r="F32" i="15"/>
  <c r="F60" i="15" s="1"/>
  <c r="F30" i="69"/>
  <c r="F32" i="67"/>
  <c r="F60" i="67" s="1"/>
  <c r="F52" i="9"/>
  <c r="F28" i="67"/>
  <c r="C28" i="67" s="1"/>
  <c r="F30" i="11"/>
  <c r="F53" i="9"/>
  <c r="D93" i="9"/>
  <c r="C94" i="9"/>
  <c r="C92" i="9"/>
  <c r="AZ13" i="3"/>
  <c r="F22" i="43"/>
  <c r="K101" i="43"/>
  <c r="N101" i="43"/>
  <c r="G101" i="43"/>
  <c r="J101" i="43"/>
  <c r="B113" i="43"/>
  <c r="F101" i="43"/>
  <c r="E22" i="43"/>
  <c r="D22" i="43" s="1"/>
  <c r="C101" i="43"/>
  <c r="N104" i="46"/>
  <c r="H22" i="43"/>
  <c r="H101" i="43"/>
  <c r="M101" i="43"/>
  <c r="E101" i="43"/>
  <c r="S2" i="43"/>
  <c r="AJ11" i="43"/>
  <c r="AJ13" i="43" s="1"/>
  <c r="AF11" i="43"/>
  <c r="AF13" i="43" s="1"/>
  <c r="AB11" i="43"/>
  <c r="AB13" i="43" s="1"/>
  <c r="Z7" i="43"/>
  <c r="AI11" i="43"/>
  <c r="AI13" i="43" s="1"/>
  <c r="AE11" i="43"/>
  <c r="AE13" i="43" s="1"/>
  <c r="AA11" i="43"/>
  <c r="AA13" i="43" s="1"/>
  <c r="S6" i="43"/>
  <c r="S4" i="43"/>
  <c r="S7" i="43"/>
  <c r="O11" i="1"/>
  <c r="P11" i="1" s="1"/>
  <c r="O14" i="1"/>
  <c r="P14" i="1" s="1"/>
  <c r="P6" i="1"/>
  <c r="O12" i="1"/>
  <c r="P12" i="1" s="1"/>
  <c r="O8" i="1"/>
  <c r="P8" i="1" s="1"/>
  <c r="O9" i="1"/>
  <c r="P9" i="1" s="1"/>
  <c r="H16" i="1"/>
  <c r="Q16" i="1"/>
  <c r="C20" i="43"/>
  <c r="AA5" i="71"/>
  <c r="AB5" i="71"/>
  <c r="X5" i="71"/>
  <c r="Y5" i="71"/>
  <c r="Z5" i="71" s="1"/>
  <c r="C69" i="39"/>
  <c r="D67" i="39"/>
  <c r="D69" i="39" s="1"/>
  <c r="H75" i="43"/>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71" i="15"/>
  <c r="B7" i="70"/>
  <c r="F69" i="67"/>
  <c r="F66" i="67"/>
  <c r="B11" i="70"/>
  <c r="L59" i="15"/>
  <c r="N59" i="15"/>
  <c r="L58" i="15"/>
  <c r="M59" i="15"/>
  <c r="B8" i="70"/>
  <c r="F66" i="15"/>
  <c r="Q71" i="67"/>
  <c r="F64" i="15"/>
  <c r="F70" i="67"/>
  <c r="C27" i="67"/>
  <c r="F71" i="67"/>
  <c r="C27" i="15"/>
  <c r="B9" i="70"/>
  <c r="N59" i="67"/>
  <c r="L59" i="67"/>
  <c r="L58" i="67"/>
  <c r="M59" i="67"/>
  <c r="B13" i="70"/>
  <c r="M7" i="67"/>
  <c r="J6" i="67" s="1"/>
  <c r="F50" i="67"/>
  <c r="F63" i="67"/>
  <c r="C62" i="67" s="1"/>
  <c r="C34" i="67"/>
  <c r="F68" i="67"/>
  <c r="F64" i="67"/>
  <c r="F68" i="15"/>
  <c r="F37" i="15"/>
  <c r="M27" i="15"/>
  <c r="C16" i="15"/>
  <c r="G1" i="73"/>
  <c r="C14" i="67"/>
  <c r="M23" i="15"/>
  <c r="M22" i="15"/>
  <c r="C17" i="67"/>
  <c r="C16" i="67"/>
  <c r="D3" i="73"/>
  <c r="D7" i="73"/>
  <c r="F7" i="15"/>
  <c r="D6" i="73"/>
  <c r="F8" i="15"/>
  <c r="C6" i="15" l="1"/>
  <c r="C32" i="15" s="1"/>
  <c r="F51" i="15"/>
  <c r="M7" i="15"/>
  <c r="J6" i="15" s="1"/>
  <c r="J18" i="15" s="1"/>
  <c r="F50" i="15"/>
  <c r="F65" i="15"/>
  <c r="E175" i="3"/>
  <c r="E343" i="3"/>
  <c r="E508" i="3"/>
  <c r="E583" i="3"/>
  <c r="X6" i="3"/>
  <c r="E336" i="3"/>
  <c r="E353" i="3"/>
  <c r="AN6" i="3"/>
  <c r="AI6" i="3"/>
  <c r="E586" i="3"/>
  <c r="E578" i="3"/>
  <c r="E402" i="3"/>
  <c r="E423" i="3"/>
  <c r="E350" i="3"/>
  <c r="E382" i="3"/>
  <c r="E303" i="3"/>
  <c r="E263" i="3"/>
  <c r="E301" i="3"/>
  <c r="E245" i="3"/>
  <c r="E159" i="3"/>
  <c r="E191" i="3"/>
  <c r="E99" i="3"/>
  <c r="E188" i="3"/>
  <c r="E228" i="3"/>
  <c r="E181" i="3"/>
  <c r="E53" i="3"/>
  <c r="E366" i="3"/>
  <c r="E268" i="3"/>
  <c r="E426" i="3"/>
  <c r="E545" i="3"/>
  <c r="E399" i="3"/>
  <c r="E337" i="3"/>
  <c r="E165" i="3"/>
  <c r="E390" i="3"/>
  <c r="E568" i="3"/>
  <c r="E559" i="3"/>
  <c r="E523" i="3"/>
  <c r="E536" i="3"/>
  <c r="V6" i="3"/>
  <c r="E418" i="3"/>
  <c r="E453" i="3"/>
  <c r="E320" i="3"/>
  <c r="E321" i="3"/>
  <c r="E230" i="3"/>
  <c r="E156" i="3"/>
  <c r="E254" i="3"/>
  <c r="E290" i="3"/>
  <c r="E122" i="3"/>
  <c r="E207" i="3"/>
  <c r="E252" i="3"/>
  <c r="E271" i="3"/>
  <c r="E145" i="3"/>
  <c r="E164" i="3"/>
  <c r="E107" i="3"/>
  <c r="E327" i="3"/>
  <c r="E379" i="3"/>
  <c r="E576" i="3"/>
  <c r="E585" i="3"/>
  <c r="Z6" i="3"/>
  <c r="U6" i="3"/>
  <c r="AG6" i="3"/>
  <c r="E515" i="3"/>
  <c r="AO6" i="3"/>
  <c r="E411" i="3"/>
  <c r="E478" i="3"/>
  <c r="E548" i="3"/>
  <c r="P6" i="3"/>
  <c r="E414" i="3"/>
  <c r="E432" i="3"/>
  <c r="E443" i="3"/>
  <c r="E345" i="3"/>
  <c r="E367" i="3"/>
  <c r="E558" i="3"/>
  <c r="E505" i="3"/>
  <c r="E547" i="3"/>
  <c r="E581" i="3"/>
  <c r="AS6" i="3"/>
  <c r="E531" i="3"/>
  <c r="E476" i="3"/>
  <c r="E546" i="3"/>
  <c r="E404" i="3"/>
  <c r="E447" i="3"/>
  <c r="E28" i="3"/>
  <c r="E71" i="3"/>
  <c r="E88" i="3"/>
  <c r="E27" i="3"/>
  <c r="E553" i="3"/>
  <c r="N6" i="3"/>
  <c r="E347" i="3"/>
  <c r="E510" i="3"/>
  <c r="E247" i="3"/>
  <c r="E143" i="3"/>
  <c r="E128" i="3"/>
  <c r="E314" i="3"/>
  <c r="S6" i="3"/>
  <c r="E570" i="3"/>
  <c r="M6" i="3"/>
  <c r="E549" i="3"/>
  <c r="E439" i="3"/>
  <c r="E294" i="3"/>
  <c r="E262" i="3"/>
  <c r="E136" i="3"/>
  <c r="E61" i="3"/>
  <c r="E91" i="3"/>
  <c r="E180" i="3"/>
  <c r="E85" i="3"/>
  <c r="E224" i="3"/>
  <c r="E116" i="3"/>
  <c r="E141" i="3"/>
  <c r="E313" i="3"/>
  <c r="E393" i="3"/>
  <c r="AD6" i="3"/>
  <c r="E532" i="3"/>
  <c r="E564" i="3"/>
  <c r="E552" i="3"/>
  <c r="E427" i="3"/>
  <c r="E464" i="3"/>
  <c r="E474" i="3"/>
  <c r="E507" i="3"/>
  <c r="E398" i="3"/>
  <c r="E438" i="3"/>
  <c r="E440" i="3"/>
  <c r="E459" i="3"/>
  <c r="E288" i="3"/>
  <c r="E376" i="3"/>
  <c r="W6" i="3"/>
  <c r="J6" i="3"/>
  <c r="E582" i="3"/>
  <c r="E537" i="3"/>
  <c r="E419" i="3"/>
  <c r="E460" i="3"/>
  <c r="E471" i="3"/>
  <c r="E401" i="3"/>
  <c r="E436" i="3"/>
  <c r="E475" i="3"/>
  <c r="E40" i="3"/>
  <c r="E90" i="3"/>
  <c r="E54" i="3"/>
  <c r="E73" i="3"/>
  <c r="E111" i="3"/>
  <c r="E146" i="3"/>
  <c r="E168" i="3"/>
  <c r="E203" i="3"/>
  <c r="E150" i="3"/>
  <c r="E171" i="3"/>
  <c r="E256" i="3"/>
  <c r="E279" i="3"/>
  <c r="E257" i="3"/>
  <c r="E274" i="3"/>
  <c r="E315" i="3"/>
  <c r="E357" i="3"/>
  <c r="E394" i="3"/>
  <c r="E318" i="3"/>
  <c r="E362" i="3"/>
  <c r="E14" i="3"/>
  <c r="E31" i="3"/>
  <c r="E74" i="3"/>
  <c r="E93" i="3"/>
  <c r="E32" i="3"/>
  <c r="E75" i="3"/>
  <c r="E409" i="3"/>
  <c r="E473" i="3"/>
  <c r="E15" i="3"/>
  <c r="E455" i="3"/>
  <c r="E79" i="3"/>
  <c r="E38" i="3"/>
  <c r="E100"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53" i="3"/>
  <c r="E461" i="3"/>
  <c r="E201" i="3"/>
  <c r="E358" i="3"/>
  <c r="AB6" i="3"/>
  <c r="E231" i="3"/>
  <c r="E130" i="3"/>
  <c r="E117" i="3"/>
  <c r="E140" i="3"/>
  <c r="E199" i="3"/>
  <c r="E369" i="3"/>
  <c r="K6" i="3"/>
  <c r="E534" i="3"/>
  <c r="E560" i="3"/>
  <c r="E442" i="3"/>
  <c r="E469" i="3"/>
  <c r="E406" i="3"/>
  <c r="E449" i="3"/>
  <c r="E360" i="3"/>
  <c r="E587" i="3"/>
  <c r="E494" i="3"/>
  <c r="E468" i="3"/>
  <c r="E454" i="3"/>
  <c r="E56" i="3"/>
  <c r="E70" i="3"/>
  <c r="E121" i="3"/>
  <c r="E182" i="3"/>
  <c r="E166" i="3"/>
  <c r="E211" i="3"/>
  <c r="E295" i="3"/>
  <c r="E210" i="3"/>
  <c r="E291" i="3"/>
  <c r="E331" i="3"/>
  <c r="E317" i="3"/>
  <c r="AM6" i="3"/>
  <c r="E30" i="3"/>
  <c r="E109" i="3"/>
  <c r="E480" i="3"/>
  <c r="E484" i="3"/>
  <c r="E467" i="3"/>
  <c r="E46" i="3"/>
  <c r="E160" i="3"/>
  <c r="E200" i="3"/>
  <c r="E249" i="3"/>
  <c r="E300" i="3"/>
  <c r="E310" i="3"/>
  <c r="E23" i="3"/>
  <c r="E67" i="3"/>
  <c r="E144" i="3"/>
  <c r="E233" i="3"/>
  <c r="E381" i="3"/>
  <c r="E63" i="3"/>
  <c r="E118" i="3"/>
  <c r="E283" i="3"/>
  <c r="E513" i="3"/>
  <c r="E42" i="3"/>
  <c r="E129" i="3"/>
  <c r="E220" i="3"/>
  <c r="E324" i="3"/>
  <c r="E342" i="3"/>
  <c r="E86" i="3"/>
  <c r="E370" i="3"/>
  <c r="E80" i="3"/>
  <c r="E326" i="3"/>
  <c r="E286" i="3"/>
  <c r="E430" i="3"/>
  <c r="E451" i="3"/>
  <c r="E556" i="3"/>
  <c r="E517" i="3"/>
  <c r="E491" i="3"/>
  <c r="E479" i="3"/>
  <c r="E37" i="3"/>
  <c r="E95" i="3"/>
  <c r="E240" i="3"/>
  <c r="E241" i="3"/>
  <c r="E292" i="3"/>
  <c r="E349" i="3"/>
  <c r="E544" i="3"/>
  <c r="E59" i="3"/>
  <c r="E446" i="3"/>
  <c r="E138" i="3"/>
  <c r="E266" i="3"/>
  <c r="E584" i="3"/>
  <c r="E87" i="3"/>
  <c r="E341" i="3"/>
  <c r="E154" i="3"/>
  <c r="E373" i="3"/>
  <c r="E319" i="3"/>
  <c r="AJ6" i="3"/>
  <c r="E539" i="3"/>
  <c r="E227" i="3"/>
  <c r="E270" i="3"/>
  <c r="E511" i="3"/>
  <c r="E506" i="3"/>
  <c r="E368" i="3"/>
  <c r="E216" i="3"/>
  <c r="E269" i="3"/>
  <c r="E77" i="3"/>
  <c r="E197" i="3"/>
  <c r="E133" i="3"/>
  <c r="E575" i="3"/>
  <c r="R6" i="3"/>
  <c r="E405" i="3"/>
  <c r="E472" i="3"/>
  <c r="E541" i="3"/>
  <c r="E408" i="3"/>
  <c r="E465" i="3"/>
  <c r="I3" i="6"/>
  <c r="E497" i="3"/>
  <c r="E577" i="3"/>
  <c r="E435" i="3"/>
  <c r="E470" i="3"/>
  <c r="E26" i="3"/>
  <c r="E106" i="3"/>
  <c r="E92" i="3"/>
  <c r="E162" i="3"/>
  <c r="E126" i="3"/>
  <c r="E186" i="3"/>
  <c r="E272" i="3"/>
  <c r="E273" i="3"/>
  <c r="E316" i="3"/>
  <c r="E377" i="3"/>
  <c r="E334" i="3"/>
  <c r="E572" i="3"/>
  <c r="E44" i="3"/>
  <c r="E441" i="3"/>
  <c r="E425" i="3"/>
  <c r="E64" i="3"/>
  <c r="E103" i="3"/>
  <c r="E142" i="3"/>
  <c r="E267" i="3"/>
  <c r="E371" i="3"/>
  <c r="E492" i="3"/>
  <c r="E84" i="3"/>
  <c r="E33" i="3"/>
  <c r="E355" i="3"/>
  <c r="E68" i="3"/>
  <c r="E81" i="3"/>
  <c r="E309" i="3"/>
  <c r="E543" i="3"/>
  <c r="E490" i="3"/>
  <c r="E562" i="3"/>
  <c r="E571" i="3"/>
  <c r="E483" i="3"/>
  <c r="E433" i="3"/>
  <c r="E25" i="3"/>
  <c r="E108" i="3"/>
  <c r="E202" i="3"/>
  <c r="E242" i="3"/>
  <c r="E276" i="3"/>
  <c r="E346" i="3"/>
  <c r="E333" i="3"/>
  <c r="E372" i="3"/>
  <c r="E94" i="3"/>
  <c r="E488" i="3"/>
  <c r="E482" i="3"/>
  <c r="E18" i="3"/>
  <c r="E78" i="3"/>
  <c r="E174" i="3"/>
  <c r="E235" i="3"/>
  <c r="E522" i="3"/>
  <c r="E34" i="3"/>
  <c r="E232" i="3"/>
  <c r="E102" i="3"/>
  <c r="E308" i="3"/>
  <c r="E83" i="3"/>
  <c r="E125" i="3"/>
  <c r="E501" i="3"/>
  <c r="E322" i="3"/>
  <c r="E329" i="3"/>
  <c r="E567" i="3"/>
  <c r="E352" i="3"/>
  <c r="E205" i="3"/>
  <c r="E151" i="3"/>
  <c r="E311" i="3"/>
  <c r="E514" i="3"/>
  <c r="I6" i="3"/>
  <c r="E561" i="3"/>
  <c r="E538" i="3"/>
  <c r="E306" i="3"/>
  <c r="E296" i="3"/>
  <c r="E189" i="3"/>
  <c r="E134" i="3"/>
  <c r="E148" i="3"/>
  <c r="E161" i="3"/>
  <c r="E120" i="3"/>
  <c r="E223" i="3"/>
  <c r="E253" i="3"/>
  <c r="E177" i="3"/>
  <c r="E173" i="3"/>
  <c r="E330" i="3"/>
  <c r="E525" i="3"/>
  <c r="E499" i="3"/>
  <c r="Q6" i="3"/>
  <c r="T6" i="3"/>
  <c r="E502" i="3"/>
  <c r="E437" i="3"/>
  <c r="E512" i="3"/>
  <c r="E255" i="3"/>
  <c r="AP6" i="3"/>
  <c r="AE6" i="3"/>
  <c r="E13" i="3"/>
  <c r="E104" i="3"/>
  <c r="E131" i="3"/>
  <c r="E155" i="3"/>
  <c r="E258" i="3"/>
  <c r="E378" i="3"/>
  <c r="E504" i="3"/>
  <c r="E110" i="3"/>
  <c r="E521" i="3"/>
  <c r="E65" i="3"/>
  <c r="E248" i="3"/>
  <c r="E386" i="3"/>
  <c r="E66" i="3"/>
  <c r="E250" i="3"/>
  <c r="E323" i="3"/>
  <c r="E328" i="3"/>
  <c r="AA6" i="3"/>
  <c r="E285" i="3"/>
  <c r="E97" i="3"/>
  <c r="E397" i="3"/>
  <c r="E533" i="3"/>
  <c r="AR6" i="3"/>
  <c r="E551" i="3"/>
  <c r="AK6" i="3"/>
  <c r="E434" i="3"/>
  <c r="E338" i="3"/>
  <c r="E335" i="3"/>
  <c r="E215" i="3"/>
  <c r="E196" i="3"/>
  <c r="E185" i="3"/>
  <c r="E135" i="3"/>
  <c r="E221" i="3"/>
  <c r="E89" i="3"/>
  <c r="E149" i="3"/>
  <c r="E45" i="3"/>
  <c r="E238" i="3"/>
  <c r="E167" i="3"/>
  <c r="E193" i="3"/>
  <c r="E105" i="3"/>
  <c r="E312" i="3"/>
  <c r="E519" i="3"/>
  <c r="E493" i="3"/>
  <c r="E542" i="3"/>
  <c r="E573" i="3"/>
  <c r="E421" i="3"/>
  <c r="E458" i="3"/>
  <c r="E486" i="3"/>
  <c r="E487" i="3"/>
  <c r="E527" i="3"/>
  <c r="E422" i="3"/>
  <c r="E416" i="3"/>
  <c r="E457" i="3"/>
  <c r="E374" i="3"/>
  <c r="AH6" i="3"/>
  <c r="E500" i="3"/>
  <c r="E498" i="3"/>
  <c r="E450" i="3"/>
  <c r="E520" i="3"/>
  <c r="E72" i="3"/>
  <c r="E41" i="3"/>
  <c r="E115" i="3"/>
  <c r="E198" i="3"/>
  <c r="E139" i="3"/>
  <c r="E225" i="3"/>
  <c r="E281" i="3"/>
  <c r="E243" i="3"/>
  <c r="E332" i="3"/>
  <c r="E391" i="3"/>
  <c r="E356" i="3"/>
  <c r="AL6" i="3"/>
  <c r="L6" i="3"/>
  <c r="E60" i="3"/>
  <c r="E43" i="3"/>
  <c r="E412" i="3"/>
  <c r="E96" i="3"/>
  <c r="E275" i="3"/>
  <c r="E383" i="3"/>
  <c r="E35" i="3"/>
  <c r="E49" i="3"/>
  <c r="AF6" i="3"/>
  <c r="AC6" i="3" s="1"/>
  <c r="E113" i="3"/>
  <c r="E287" i="3"/>
  <c r="E22" i="3"/>
  <c r="E344" i="3"/>
  <c r="E429" i="3"/>
  <c r="E496" i="3"/>
  <c r="E55" i="3"/>
  <c r="E57" i="3"/>
  <c r="E192" i="3"/>
  <c r="E297" i="3"/>
  <c r="E348" i="3"/>
  <c r="E375" i="3"/>
  <c r="E58" i="3"/>
  <c r="E540" i="3"/>
  <c r="E47" i="3"/>
  <c r="E209" i="3"/>
  <c r="E354" i="3"/>
  <c r="E48" i="3"/>
  <c r="E284" i="3"/>
  <c r="E51" i="3"/>
  <c r="E363" i="3"/>
  <c r="E389" i="3"/>
  <c r="E76" i="3"/>
  <c r="E462" i="3"/>
  <c r="E98" i="3"/>
  <c r="E163" i="3"/>
  <c r="E307" i="3"/>
  <c r="E127" i="3"/>
  <c r="Y6" i="3"/>
  <c r="E179" i="3"/>
  <c r="E82" i="3"/>
  <c r="E529" i="3"/>
  <c r="E169" i="3"/>
  <c r="E518" i="3"/>
  <c r="E237" i="3"/>
  <c r="E304" i="3"/>
  <c r="E565" i="3"/>
  <c r="E213" i="3"/>
  <c r="E17" i="3"/>
  <c r="E302" i="3"/>
  <c r="O6" i="3"/>
  <c r="H6" i="3" s="1"/>
  <c r="E6" i="3" s="1"/>
  <c r="E574" i="3"/>
  <c r="E359" i="3"/>
  <c r="E69" i="3"/>
  <c r="E172" i="3"/>
  <c r="E509" i="3"/>
  <c r="E431" i="3"/>
  <c r="E554" i="3"/>
  <c r="E305" i="3"/>
  <c r="E385" i="3"/>
  <c r="E114" i="3"/>
  <c r="E415" i="3"/>
  <c r="E260" i="3"/>
  <c r="E550" i="3"/>
  <c r="E239" i="3"/>
  <c r="E516" i="3"/>
  <c r="E569" i="3"/>
  <c r="E563" i="3"/>
  <c r="E445" i="3"/>
  <c r="E579" i="3"/>
  <c r="E580" i="3"/>
  <c r="E157" i="3"/>
  <c r="E261" i="3"/>
  <c r="E528" i="3"/>
  <c r="E183" i="3"/>
  <c r="E361" i="3"/>
  <c r="E503" i="3"/>
  <c r="E388" i="3"/>
  <c r="E555" i="3"/>
  <c r="E410" i="3"/>
  <c r="E278" i="3"/>
  <c r="E535" i="3"/>
  <c r="E16" i="3"/>
  <c r="E495" i="3"/>
  <c r="E395" i="3"/>
  <c r="E8" i="6"/>
  <c r="E13" i="6"/>
  <c r="E14" i="6"/>
  <c r="E10" i="6"/>
  <c r="E15" i="6"/>
  <c r="AB26" i="37"/>
  <c r="U26" i="37"/>
  <c r="AB28" i="21"/>
  <c r="U28" i="21"/>
  <c r="G28" i="6"/>
  <c r="G30" i="6" s="1"/>
  <c r="G31" i="6" s="1"/>
  <c r="AC32" i="40"/>
  <c r="W32" i="40"/>
  <c r="AA27" i="34"/>
  <c r="S27" i="34"/>
  <c r="D61" i="71"/>
  <c r="T61" i="71"/>
  <c r="E456" i="3"/>
  <c r="E444" i="3"/>
  <c r="W13" i="21"/>
  <c r="AC13" i="21"/>
  <c r="C20" i="71"/>
  <c r="D21" i="71"/>
  <c r="U21" i="71" s="1"/>
  <c r="T21" i="71"/>
  <c r="D64" i="71"/>
  <c r="O64" i="71"/>
  <c r="C63" i="71"/>
  <c r="E20" i="71"/>
  <c r="E19" i="71" s="1"/>
  <c r="E18" i="71" s="1"/>
  <c r="E17" i="71" s="1"/>
  <c r="V21" i="71"/>
  <c r="C33" i="71"/>
  <c r="D32" i="71"/>
  <c r="E29" i="3"/>
  <c r="E204" i="3"/>
  <c r="E195" i="3"/>
  <c r="E187" i="3"/>
  <c r="AZ284" i="3"/>
  <c r="E259" i="3"/>
  <c r="E277" i="3"/>
  <c r="E236" i="3"/>
  <c r="E396" i="3"/>
  <c r="E351" i="3"/>
  <c r="E477" i="3"/>
  <c r="E452" i="3"/>
  <c r="E380" i="3"/>
  <c r="E417" i="3"/>
  <c r="AB23" i="35"/>
  <c r="U23" i="35"/>
  <c r="S27" i="21"/>
  <c r="AA27" i="21"/>
  <c r="AA35" i="39"/>
  <c r="S35" i="39"/>
  <c r="AB28" i="37"/>
  <c r="U28" i="37"/>
  <c r="S31" i="34"/>
  <c r="AA31" i="34"/>
  <c r="AA9" i="33"/>
  <c r="S9" i="33"/>
  <c r="E557" i="3"/>
  <c r="S26" i="37"/>
  <c r="AA26" i="37"/>
  <c r="AB14" i="33"/>
  <c r="U14" i="33"/>
  <c r="AA11" i="36"/>
  <c r="S11" i="36"/>
  <c r="AZ528" i="3"/>
  <c r="W27" i="34"/>
  <c r="AC27" i="34"/>
  <c r="T49" i="71"/>
  <c r="D49" i="71"/>
  <c r="E184" i="3"/>
  <c r="E152" i="3"/>
  <c r="E206" i="3"/>
  <c r="E132" i="3"/>
  <c r="E264" i="3"/>
  <c r="E282" i="3"/>
  <c r="E246" i="3"/>
  <c r="E420" i="3"/>
  <c r="E212" i="3"/>
  <c r="E403" i="3"/>
  <c r="E526" i="3"/>
  <c r="AB47" i="34"/>
  <c r="U47" i="34"/>
  <c r="H7" i="34"/>
  <c r="E67" i="39"/>
  <c r="J7" i="34"/>
  <c r="D35" i="71"/>
  <c r="C36" i="71"/>
  <c r="E24" i="3"/>
  <c r="E298" i="3"/>
  <c r="E280" i="3"/>
  <c r="E219" i="3"/>
  <c r="E208" i="3"/>
  <c r="E489" i="3"/>
  <c r="E428" i="3"/>
  <c r="AZ22" i="3"/>
  <c r="E229" i="3"/>
  <c r="E217" i="3"/>
  <c r="AZ397" i="3"/>
  <c r="E413" i="3"/>
  <c r="U12" i="33"/>
  <c r="AB12" i="33"/>
  <c r="AA43" i="39"/>
  <c r="S43" i="39"/>
  <c r="AZ577" i="3"/>
  <c r="AB35" i="39"/>
  <c r="U35" i="39"/>
  <c r="S28" i="37"/>
  <c r="AA28" i="37"/>
  <c r="W31" i="34"/>
  <c r="AC31" i="34"/>
  <c r="E566" i="3"/>
  <c r="S45" i="39"/>
  <c r="AA45" i="39"/>
  <c r="AC26" i="37"/>
  <c r="W26" i="37"/>
  <c r="W12" i="21"/>
  <c r="AC12" i="21"/>
  <c r="AC44" i="33"/>
  <c r="W44" i="33"/>
  <c r="AA28" i="21"/>
  <c r="S28" i="21"/>
  <c r="U11" i="36"/>
  <c r="AB11" i="36"/>
  <c r="AZ531" i="3"/>
  <c r="AZ536" i="3"/>
  <c r="AZ539" i="3"/>
  <c r="AZ541" i="3"/>
  <c r="AZ585" i="3"/>
  <c r="D41" i="71"/>
  <c r="T41" i="71"/>
  <c r="E119" i="3"/>
  <c r="E214" i="3"/>
  <c r="E481" i="3"/>
  <c r="E387" i="3"/>
  <c r="E463" i="3"/>
  <c r="AC12" i="37"/>
  <c r="W12" i="37"/>
  <c r="U30" i="21"/>
  <c r="AB30" i="21"/>
  <c r="F7" i="36"/>
  <c r="H7" i="36"/>
  <c r="F7" i="34"/>
  <c r="C7" i="43"/>
  <c r="E12" i="6"/>
  <c r="F63" i="71"/>
  <c r="Q64" i="71"/>
  <c r="C23" i="71"/>
  <c r="D23" i="71" s="1"/>
  <c r="D24" i="71"/>
  <c r="B20" i="71"/>
  <c r="B19" i="71" s="1"/>
  <c r="B18" i="71" s="1"/>
  <c r="B17" i="71" s="1"/>
  <c r="S21" i="71"/>
  <c r="E39" i="3"/>
  <c r="E21" i="3"/>
  <c r="E190" i="3"/>
  <c r="AZ18" i="3"/>
  <c r="AZ5" i="3" s="1"/>
  <c r="BA5" i="3"/>
  <c r="E158" i="3"/>
  <c r="E19" i="3"/>
  <c r="E178" i="3"/>
  <c r="E124" i="3"/>
  <c r="E293" i="3"/>
  <c r="E244" i="3"/>
  <c r="E222" i="3"/>
  <c r="E384" i="3"/>
  <c r="E466" i="3"/>
  <c r="E400" i="3"/>
  <c r="E485" i="3"/>
  <c r="E424" i="3"/>
  <c r="E407" i="3"/>
  <c r="E251" i="3"/>
  <c r="AZ240" i="3"/>
  <c r="E226" i="3"/>
  <c r="AZ213" i="3"/>
  <c r="E448" i="3"/>
  <c r="AA44" i="21"/>
  <c r="S44" i="21"/>
  <c r="AZ583" i="3"/>
  <c r="AA12" i="37"/>
  <c r="S12" i="37"/>
  <c r="W47" i="34"/>
  <c r="AC47" i="34"/>
  <c r="S12" i="21"/>
  <c r="AA12" i="21"/>
  <c r="AZ556" i="3"/>
  <c r="U45" i="39"/>
  <c r="AB45" i="39"/>
  <c r="S37" i="39"/>
  <c r="AA37" i="39"/>
  <c r="AC28" i="21"/>
  <c r="W28" i="21"/>
  <c r="E29" i="6"/>
  <c r="K15" i="1" s="1"/>
  <c r="AZ554" i="3"/>
  <c r="E11" i="6"/>
  <c r="E530" i="3"/>
  <c r="S32" i="40"/>
  <c r="AA32" i="40"/>
  <c r="AB27" i="34"/>
  <c r="U27" i="34"/>
  <c r="F28" i="6"/>
  <c r="H110" i="9"/>
  <c r="D18" i="53" s="1"/>
  <c r="B35" i="72" s="1"/>
  <c r="D124" i="9"/>
  <c r="D16" i="53"/>
  <c r="F48" i="68"/>
  <c r="C30" i="68"/>
  <c r="C48" i="68"/>
  <c r="C48" i="11"/>
  <c r="C30" i="11"/>
  <c r="F48" i="69"/>
  <c r="C48" i="69"/>
  <c r="C30" i="69"/>
  <c r="E57" i="40"/>
  <c r="E61" i="39"/>
  <c r="M109" i="43"/>
  <c r="M104" i="43"/>
  <c r="M107" i="43"/>
  <c r="M105" i="43"/>
  <c r="M102" i="43"/>
  <c r="M106" i="43"/>
  <c r="M103" i="43"/>
  <c r="C104" i="43"/>
  <c r="C106" i="43"/>
  <c r="C107" i="43"/>
  <c r="C103" i="43"/>
  <c r="C102" i="43"/>
  <c r="C105" i="43"/>
  <c r="C109" i="43"/>
  <c r="F104" i="43"/>
  <c r="F102" i="43"/>
  <c r="F105" i="43"/>
  <c r="F106" i="43"/>
  <c r="F107" i="43"/>
  <c r="F103" i="43"/>
  <c r="F109" i="43"/>
  <c r="J104" i="43"/>
  <c r="J105" i="43"/>
  <c r="J107" i="43"/>
  <c r="J102" i="43"/>
  <c r="J109" i="43"/>
  <c r="J103" i="43"/>
  <c r="J106" i="43"/>
  <c r="N102" i="43"/>
  <c r="N105" i="43"/>
  <c r="N104" i="43"/>
  <c r="N103" i="43"/>
  <c r="N106" i="43"/>
  <c r="N107" i="43"/>
  <c r="N109" i="43"/>
  <c r="E16" i="6"/>
  <c r="E27" i="6"/>
  <c r="E104" i="43"/>
  <c r="E107" i="43"/>
  <c r="E105" i="43"/>
  <c r="E109" i="43"/>
  <c r="E102" i="43"/>
  <c r="E106" i="43"/>
  <c r="E103" i="43"/>
  <c r="H107" i="43"/>
  <c r="H106" i="43"/>
  <c r="H105" i="43"/>
  <c r="H102" i="43"/>
  <c r="H103" i="43"/>
  <c r="H104" i="43"/>
  <c r="H109" i="43"/>
  <c r="B115" i="43"/>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I115" i="43"/>
  <c r="J115" i="43" s="1"/>
  <c r="K115" i="43" s="1"/>
  <c r="L115" i="43" s="1"/>
  <c r="M115" i="43" s="1"/>
  <c r="D118" i="43"/>
  <c r="E118" i="43" s="1"/>
  <c r="F118" i="43" s="1"/>
  <c r="D115" i="43"/>
  <c r="E115" i="43" s="1"/>
  <c r="F115" i="43" s="1"/>
  <c r="G115" i="43" s="1"/>
  <c r="H115" i="43" s="1"/>
  <c r="I118" i="43"/>
  <c r="J118" i="43" s="1"/>
  <c r="K118" i="43" s="1"/>
  <c r="L118" i="43" s="1"/>
  <c r="M118" i="43" s="1"/>
  <c r="B117" i="43"/>
  <c r="C117" i="43" s="1"/>
  <c r="G105" i="43"/>
  <c r="G107" i="43"/>
  <c r="G104" i="43"/>
  <c r="G106" i="43"/>
  <c r="G109" i="43"/>
  <c r="G103" i="43"/>
  <c r="G102" i="43"/>
  <c r="K103" i="43"/>
  <c r="K102" i="43"/>
  <c r="K105" i="43"/>
  <c r="K109" i="43"/>
  <c r="K107" i="43"/>
  <c r="K104" i="43"/>
  <c r="K106" i="43"/>
  <c r="F27" i="69"/>
  <c r="F27" i="68"/>
  <c r="F28" i="12"/>
  <c r="C29" i="12" s="1"/>
  <c r="D28" i="12" s="1"/>
  <c r="F27" i="11"/>
  <c r="O16" i="1"/>
  <c r="P16" i="1"/>
  <c r="C11" i="12" s="1"/>
  <c r="J10" i="40"/>
  <c r="W10" i="40" s="1"/>
  <c r="H10" i="39"/>
  <c r="AB10" i="39" s="1"/>
  <c r="F10" i="40"/>
  <c r="AA10" i="40" s="1"/>
  <c r="J10" i="39"/>
  <c r="AC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C49" i="15" l="1"/>
  <c r="J10" i="15"/>
  <c r="J5" i="15" s="1"/>
  <c r="J26" i="15" s="1"/>
  <c r="AY6" i="3"/>
  <c r="E3" i="6"/>
  <c r="E28" i="6"/>
  <c r="F30" i="6"/>
  <c r="D33" i="71"/>
  <c r="T33" i="71"/>
  <c r="C19" i="71"/>
  <c r="D20" i="71"/>
  <c r="E58" i="40"/>
  <c r="E62" i="39"/>
  <c r="B16" i="71"/>
  <c r="B15" i="71" s="1"/>
  <c r="B14" i="71" s="1"/>
  <c r="B13" i="71" s="1"/>
  <c r="S17" i="71"/>
  <c r="Q63" i="71"/>
  <c r="Q62" i="71"/>
  <c r="E60" i="40"/>
  <c r="E64" i="39"/>
  <c r="E51" i="40"/>
  <c r="F27" i="6"/>
  <c r="E56" i="39"/>
  <c r="E65" i="39" s="1"/>
  <c r="U7" i="37"/>
  <c r="E60" i="39"/>
  <c r="E56" i="40"/>
  <c r="E16" i="71"/>
  <c r="E15" i="71" s="1"/>
  <c r="E14" i="71" s="1"/>
  <c r="E13" i="71" s="1"/>
  <c r="V17" i="71"/>
  <c r="C37" i="71"/>
  <c r="D36" i="71"/>
  <c r="O62" i="71"/>
  <c r="O63" i="71"/>
  <c r="D63" i="71"/>
  <c r="E63" i="39"/>
  <c r="E59" i="40"/>
  <c r="B34" i="72"/>
  <c r="D17" i="53"/>
  <c r="B36" i="72" s="1"/>
  <c r="D10" i="52"/>
  <c r="D125" i="9"/>
  <c r="D11" i="52" s="1"/>
  <c r="H14" i="74"/>
  <c r="B7" i="74" s="1"/>
  <c r="U10" i="39"/>
  <c r="D3" i="33"/>
  <c r="D19" i="11"/>
  <c r="C19" i="11" s="1"/>
  <c r="C20" i="11" s="1"/>
  <c r="D3" i="37"/>
  <c r="L18" i="9"/>
  <c r="C17" i="4"/>
  <c r="B4" i="52" s="1"/>
  <c r="B43" i="72" s="1"/>
  <c r="D3" i="34"/>
  <c r="D3" i="21"/>
  <c r="E6" i="6"/>
  <c r="D14" i="12"/>
  <c r="D37" i="11"/>
  <c r="C37" i="11" s="1"/>
  <c r="M18" i="9"/>
  <c r="B118" i="9" s="1"/>
  <c r="B14" i="74" s="1"/>
  <c r="B1" i="74" s="1"/>
  <c r="AY82"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18" i="3"/>
  <c r="AY139" i="3"/>
  <c r="AY74" i="3"/>
  <c r="AY123" i="3"/>
  <c r="AY204" i="3"/>
  <c r="AY252" i="3"/>
  <c r="AY363" i="3"/>
  <c r="AY489" i="3"/>
  <c r="AY412" i="3"/>
  <c r="AY43" i="3"/>
  <c r="AY229" i="3"/>
  <c r="AY379" i="3"/>
  <c r="AY326" i="3"/>
  <c r="AY436" i="3"/>
  <c r="AY557" i="3"/>
  <c r="AY540" i="3"/>
  <c r="AY105" i="3"/>
  <c r="AY69" i="3"/>
  <c r="AY76" i="3"/>
  <c r="AY44" i="3"/>
  <c r="AY33" i="3"/>
  <c r="AY190" i="3"/>
  <c r="AY185" i="3"/>
  <c r="AY154" i="3"/>
  <c r="AY165" i="3"/>
  <c r="AY133" i="3"/>
  <c r="AY125" i="3"/>
  <c r="AY283" i="3"/>
  <c r="AY278" i="3"/>
  <c r="AY247" i="3"/>
  <c r="AY262" i="3"/>
  <c r="AY230" i="3"/>
  <c r="AY219" i="3"/>
  <c r="AY397" i="3"/>
  <c r="AY374" i="3"/>
  <c r="AY360" i="3"/>
  <c r="BH6" i="3"/>
  <c r="AY109" i="3"/>
  <c r="AY73" i="3"/>
  <c r="AY56"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160" i="3"/>
  <c r="AY183" i="3"/>
  <c r="AY284" i="3"/>
  <c r="AY319" i="3"/>
  <c r="AY497" i="3"/>
  <c r="AY212" i="3"/>
  <c r="AY478" i="3"/>
  <c r="AY573" i="3"/>
  <c r="AY100" i="3"/>
  <c r="AY60" i="3"/>
  <c r="AY206" i="3"/>
  <c r="AY170" i="3"/>
  <c r="AY149" i="3"/>
  <c r="AY299" i="3"/>
  <c r="AY263" i="3"/>
  <c r="AY246" i="3"/>
  <c r="AY392" i="3"/>
  <c r="AY357" i="3"/>
  <c r="BJ6" i="3"/>
  <c r="AY41" i="3"/>
  <c r="AY202" i="3"/>
  <c r="AY166" i="3"/>
  <c r="AY145" i="3"/>
  <c r="AY295" i="3"/>
  <c r="AY259" i="3"/>
  <c r="AY242" i="3"/>
  <c r="AY388" i="3"/>
  <c r="AY353" i="3"/>
  <c r="AY333" i="3"/>
  <c r="AY348" i="3"/>
  <c r="AY316" i="3"/>
  <c r="AY475" i="3"/>
  <c r="AY472" i="3"/>
  <c r="AY462" i="3"/>
  <c r="AY430" i="3"/>
  <c r="AY398" i="3"/>
  <c r="AY411" i="3"/>
  <c r="BQ6" i="3"/>
  <c r="AY585" i="3"/>
  <c r="AY534" i="3"/>
  <c r="AY571"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289" i="3"/>
  <c r="AY209" i="3"/>
  <c r="AY116" i="3"/>
  <c r="AY417" i="3"/>
  <c r="AY45" i="3"/>
  <c r="AY201" i="3"/>
  <c r="AY118" i="3"/>
  <c r="AY231" i="3"/>
  <c r="AY381" i="3"/>
  <c r="AY104" i="3"/>
  <c r="AY197" i="3"/>
  <c r="AY114" i="3"/>
  <c r="AY274" i="3"/>
  <c r="AY377" i="3"/>
  <c r="AY317" i="3"/>
  <c r="AY491" i="3"/>
  <c r="AY457" i="3"/>
  <c r="AY414" i="3"/>
  <c r="AY581" i="3"/>
  <c r="AY561" i="3"/>
  <c r="AY546"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413" i="3"/>
  <c r="AY521" i="3"/>
  <c r="AY15" i="3"/>
  <c r="AY566" i="3"/>
  <c r="AY583" i="3"/>
  <c r="BT6" i="3"/>
  <c r="AY567" i="3"/>
  <c r="AY98" i="3"/>
  <c r="AY261" i="3"/>
  <c r="AY455" i="3"/>
  <c r="AY343" i="3"/>
  <c r="AY539" i="3"/>
  <c r="AY28" i="3"/>
  <c r="AY138" i="3"/>
  <c r="AY294" i="3"/>
  <c r="AY214" i="3"/>
  <c r="AY554" i="3"/>
  <c r="AY24" i="3"/>
  <c r="AY177" i="3"/>
  <c r="AY290" i="3"/>
  <c r="AY210" i="3"/>
  <c r="AY349" i="3"/>
  <c r="AY332" i="3"/>
  <c r="AY488" i="3"/>
  <c r="AY446" i="3"/>
  <c r="AY427" i="3"/>
  <c r="BM6" i="3"/>
  <c r="BF6"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29" i="3"/>
  <c r="AY550" i="3"/>
  <c r="BD6" i="3"/>
  <c r="BC6" i="3"/>
  <c r="AY511" i="3"/>
  <c r="AY504" i="3"/>
  <c r="AY586" i="3"/>
  <c r="AY498" i="3"/>
  <c r="AY87" i="3"/>
  <c r="AY51" i="3"/>
  <c r="AY34" i="3"/>
  <c r="AY207" i="3"/>
  <c r="AY67" i="3"/>
  <c r="AY196" i="3"/>
  <c r="AY144" i="3"/>
  <c r="AY124" i="3"/>
  <c r="AY95" i="3"/>
  <c r="AY42" i="3"/>
  <c r="AY152" i="3"/>
  <c r="AY281" i="3"/>
  <c r="AY111" i="3"/>
  <c r="AY168"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83" i="3"/>
  <c r="AY66" i="3"/>
  <c r="AY23" i="3"/>
  <c r="AY103" i="3"/>
  <c r="AY50"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236" i="3"/>
  <c r="AY61" i="3"/>
  <c r="S10" i="40"/>
  <c r="K19" i="6"/>
  <c r="S6" i="1" s="1"/>
  <c r="K20" i="6"/>
  <c r="M20" i="6" s="1"/>
  <c r="I20" i="6" s="1"/>
  <c r="K26" i="6"/>
  <c r="M26" i="6" s="1"/>
  <c r="I26" i="6" s="1"/>
  <c r="K24" i="6"/>
  <c r="M24" i="6" s="1"/>
  <c r="I24" i="6" s="1"/>
  <c r="K21" i="6"/>
  <c r="M21" i="6" s="1"/>
  <c r="I21" i="6" s="1"/>
  <c r="K25" i="6"/>
  <c r="M25" i="6" s="1"/>
  <c r="I25" i="6" s="1"/>
  <c r="K22" i="6"/>
  <c r="M22" i="6" s="1"/>
  <c r="I22" i="6" s="1"/>
  <c r="K23" i="6"/>
  <c r="M23" i="6" s="1"/>
  <c r="I23" i="6" s="1"/>
  <c r="C115" i="43"/>
  <c r="D113" i="43"/>
  <c r="U10" i="40"/>
  <c r="C15" i="12"/>
  <c r="C12" i="12"/>
  <c r="C47" i="11"/>
  <c r="D45" i="11" s="1"/>
  <c r="C29" i="11"/>
  <c r="D27" i="11" s="1"/>
  <c r="C28" i="11"/>
  <c r="C27" i="11" s="1"/>
  <c r="F45" i="68"/>
  <c r="C47" i="68"/>
  <c r="D45" i="68" s="1"/>
  <c r="C29" i="68"/>
  <c r="D27" i="68" s="1"/>
  <c r="AC10" i="40"/>
  <c r="F45" i="69"/>
  <c r="C29" i="69"/>
  <c r="D27" i="69" s="1"/>
  <c r="C47" i="69"/>
  <c r="D45" i="69"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10" i="15"/>
  <c r="C5" i="15" s="1"/>
  <c r="F25" i="12"/>
  <c r="F22" i="69"/>
  <c r="F41" i="69" s="1"/>
  <c r="F24" i="67"/>
  <c r="C24" i="67" s="1"/>
  <c r="F22" i="11"/>
  <c r="F22" i="68"/>
  <c r="F24" i="15"/>
  <c r="C24" i="15" s="1"/>
  <c r="C17" i="15"/>
  <c r="F41" i="15"/>
  <c r="C48" i="15" l="1"/>
  <c r="C60" i="15" s="1"/>
  <c r="E12" i="71"/>
  <c r="E11" i="71" s="1"/>
  <c r="E10" i="71" s="1"/>
  <c r="E9" i="71" s="1"/>
  <c r="V13" i="71"/>
  <c r="B12" i="71"/>
  <c r="B11" i="71" s="1"/>
  <c r="B10" i="71" s="1"/>
  <c r="B9" i="71" s="1"/>
  <c r="S13" i="71"/>
  <c r="D19" i="71"/>
  <c r="C18" i="71"/>
  <c r="K14" i="1"/>
  <c r="E30" i="6"/>
  <c r="E31" i="6" s="1"/>
  <c r="F31" i="6"/>
  <c r="D37" i="71"/>
  <c r="T37" i="71"/>
  <c r="E6" i="70"/>
  <c r="E2" i="70" s="1"/>
  <c r="F69" i="15"/>
  <c r="J29" i="15"/>
  <c r="AQ6" i="1"/>
  <c r="AR6" i="1"/>
  <c r="T6" i="1"/>
  <c r="S16" i="1"/>
  <c r="D10" i="68"/>
  <c r="D20" i="12"/>
  <c r="C20" i="12" s="1"/>
  <c r="D10" i="69"/>
  <c r="D10" i="11"/>
  <c r="C10" i="11" s="1"/>
  <c r="D19" i="6"/>
  <c r="D26" i="6"/>
  <c r="C18" i="4"/>
  <c r="D8" i="6"/>
  <c r="D23" i="6"/>
  <c r="D14" i="6"/>
  <c r="D9" i="6"/>
  <c r="D10" i="6"/>
  <c r="L19" i="9"/>
  <c r="D29" i="6"/>
  <c r="M19" i="9"/>
  <c r="C118" i="9" s="1"/>
  <c r="C14" i="74" s="1"/>
  <c r="B2" i="74" s="1"/>
  <c r="D25" i="6"/>
  <c r="D15" i="6"/>
  <c r="D22" i="6"/>
  <c r="D21" i="6"/>
  <c r="D24" i="6"/>
  <c r="D20" i="6"/>
  <c r="D5" i="6"/>
  <c r="D11" i="6"/>
  <c r="D13" i="6"/>
  <c r="D28" i="6"/>
  <c r="E61" i="40"/>
  <c r="D12" i="6"/>
  <c r="D6" i="6"/>
  <c r="C7" i="74"/>
  <c r="D17" i="12"/>
  <c r="C17" i="12" s="1"/>
  <c r="C14" i="12"/>
  <c r="C16" i="12" s="1"/>
  <c r="S23" i="6"/>
  <c r="H23" i="6"/>
  <c r="R23" i="6" s="1"/>
  <c r="S21" i="6"/>
  <c r="H21" i="6"/>
  <c r="R21" i="6" s="1"/>
  <c r="S26" i="6"/>
  <c r="H26" i="6"/>
  <c r="R26" i="6" s="1"/>
  <c r="K27" i="6"/>
  <c r="M19" i="6"/>
  <c r="S22" i="6"/>
  <c r="H22" i="6"/>
  <c r="S25" i="6"/>
  <c r="H25" i="6"/>
  <c r="S24" i="6"/>
  <c r="H24" i="6"/>
  <c r="S20" i="6"/>
  <c r="H20"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B6" i="76"/>
  <c r="E6" i="76"/>
  <c r="C66" i="15" l="1"/>
  <c r="C15" i="15"/>
  <c r="C18" i="15"/>
  <c r="M14" i="1"/>
  <c r="M16" i="1" s="1"/>
  <c r="K16" i="1"/>
  <c r="C34" i="69"/>
  <c r="B8" i="71"/>
  <c r="B7" i="71" s="1"/>
  <c r="B6" i="71" s="1"/>
  <c r="B5" i="71" s="1"/>
  <c r="S9" i="71"/>
  <c r="C17" i="71"/>
  <c r="D18" i="71"/>
  <c r="R20" i="6"/>
  <c r="T16" i="1"/>
  <c r="E8" i="71"/>
  <c r="E7" i="71" s="1"/>
  <c r="E6" i="71" s="1"/>
  <c r="E5" i="71" s="1"/>
  <c r="V9" i="71"/>
  <c r="R24" i="6"/>
  <c r="R25" i="6"/>
  <c r="R22" i="6"/>
  <c r="D16" i="6"/>
  <c r="D30" i="6"/>
  <c r="D7" i="74"/>
  <c r="A7" i="51"/>
  <c r="B7" i="72" s="1"/>
  <c r="C4" i="52"/>
  <c r="B45" i="72" s="1"/>
  <c r="A10" i="51"/>
  <c r="B9" i="72" s="1"/>
  <c r="D27" i="6"/>
  <c r="C10" i="69"/>
  <c r="C8" i="69" s="1"/>
  <c r="C5" i="69" s="1"/>
  <c r="C23" i="69" s="1"/>
  <c r="D19" i="69"/>
  <c r="D19" i="68"/>
  <c r="C10" i="68"/>
  <c r="B29" i="1" s="1"/>
  <c r="C8" i="68" s="1"/>
  <c r="M27" i="6"/>
  <c r="I19"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19" i="15" l="1"/>
  <c r="C20" i="15" s="1"/>
  <c r="C26" i="15" s="1"/>
  <c r="L16" i="1"/>
  <c r="N16" i="1"/>
  <c r="C34" i="68"/>
  <c r="C34" i="11"/>
  <c r="C35" i="69"/>
  <c r="C38" i="69"/>
  <c r="C16" i="71"/>
  <c r="T17" i="71"/>
  <c r="D17" i="71"/>
  <c r="U17" i="71" s="1"/>
  <c r="C18" i="12"/>
  <c r="C21" i="12" s="1"/>
  <c r="C22" i="12" s="1"/>
  <c r="D37" i="69"/>
  <c r="C37" i="69" s="1"/>
  <c r="C19" i="69"/>
  <c r="D31" i="6"/>
  <c r="D37" i="68"/>
  <c r="C37" i="68" s="1"/>
  <c r="C19" i="68"/>
  <c r="H19" i="6"/>
  <c r="I27" i="6"/>
  <c r="S19" i="6"/>
  <c r="S27" i="6" s="1"/>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C57" i="15" s="1"/>
  <c r="F50" i="69"/>
  <c r="F50" i="11"/>
  <c r="F50" i="68"/>
  <c r="C33" i="69"/>
  <c r="C42" i="69" s="1"/>
  <c r="C38" i="11"/>
  <c r="C35" i="11"/>
  <c r="C15" i="71"/>
  <c r="D16" i="71"/>
  <c r="C35" i="68"/>
  <c r="C38" i="68"/>
  <c r="C27" i="12"/>
  <c r="C25" i="12" s="1"/>
  <c r="C30" i="12"/>
  <c r="C28" i="12" s="1"/>
  <c r="C20" i="69"/>
  <c r="C25" i="69" s="1"/>
  <c r="C24" i="69"/>
  <c r="C24" i="68"/>
  <c r="I6" i="6"/>
  <c r="I5" i="6"/>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19" i="15" l="1"/>
  <c r="C13" i="15"/>
  <c r="C75" i="15" s="1"/>
  <c r="C36" i="15"/>
  <c r="J14" i="15"/>
  <c r="J22" i="15" s="1"/>
  <c r="Q49" i="15"/>
  <c r="C33" i="11"/>
  <c r="C33" i="68"/>
  <c r="C39" i="68" s="1"/>
  <c r="C39" i="69"/>
  <c r="C43" i="69" s="1"/>
  <c r="C41" i="69" s="1"/>
  <c r="C14" i="71"/>
  <c r="D15" i="71"/>
  <c r="C39" i="11"/>
  <c r="C42" i="11"/>
  <c r="C61" i="15"/>
  <c r="C64" i="15"/>
  <c r="C22" i="69"/>
  <c r="C32" i="12"/>
  <c r="B2" i="12" s="1"/>
  <c r="B3" i="12" s="1"/>
  <c r="R27" i="6"/>
  <c r="R6" i="1"/>
  <c r="C28" i="69"/>
  <c r="C27" i="69"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6" i="15" l="1"/>
  <c r="C65" i="15" s="1"/>
  <c r="C37" i="15"/>
  <c r="Q70" i="15"/>
  <c r="C46" i="69"/>
  <c r="C45" i="69" s="1"/>
  <c r="C49" i="69" s="1"/>
  <c r="C51" i="69" s="1"/>
  <c r="J13" i="15"/>
  <c r="J23" i="15" s="1"/>
  <c r="C43" i="68"/>
  <c r="C46" i="68"/>
  <c r="C45" i="68" s="1"/>
  <c r="C42" i="68"/>
  <c r="C46" i="11"/>
  <c r="C45" i="11" s="1"/>
  <c r="C43" i="11"/>
  <c r="C41" i="11" s="1"/>
  <c r="C13" i="71"/>
  <c r="D14" i="71"/>
  <c r="C31" i="69"/>
  <c r="F63" i="15"/>
  <c r="C62" i="15" s="1"/>
  <c r="C59" i="15" s="1"/>
  <c r="C34" i="15"/>
  <c r="C31" i="15" s="1"/>
  <c r="J20" i="15"/>
  <c r="J17" i="15" s="1"/>
  <c r="R16" i="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8" i="15" l="1"/>
  <c r="C67" i="15" s="1"/>
  <c r="C68" i="15" s="1"/>
  <c r="C71" i="15" s="1"/>
  <c r="C30" i="15"/>
  <c r="C39" i="15" s="1"/>
  <c r="Q69" i="15" s="1"/>
  <c r="Q68" i="15" s="1"/>
  <c r="J16" i="15"/>
  <c r="J25" i="15" s="1"/>
  <c r="C49" i="11"/>
  <c r="C51" i="11" s="1"/>
  <c r="C52" i="11" s="1"/>
  <c r="B2" i="11" s="1"/>
  <c r="B3" i="11" s="1"/>
  <c r="C41" i="68"/>
  <c r="C49" i="68" s="1"/>
  <c r="C51" i="68" s="1"/>
  <c r="C12" i="71"/>
  <c r="T13" i="71"/>
  <c r="D13" i="71"/>
  <c r="U13" i="71" s="1"/>
  <c r="C52" i="69"/>
  <c r="B2" i="69" s="1"/>
  <c r="B3" i="69" s="1"/>
  <c r="L57" i="15"/>
  <c r="L60" i="15" s="1"/>
  <c r="M69" i="39"/>
  <c r="N67" i="39"/>
  <c r="R39" i="35"/>
  <c r="E38" i="35"/>
  <c r="M63" i="40"/>
  <c r="L65" i="40"/>
  <c r="L51" i="15"/>
  <c r="Q67" i="15" l="1"/>
  <c r="C80" i="15"/>
  <c r="C79" i="15" s="1"/>
  <c r="C40" i="15"/>
  <c r="C46" i="15" s="1"/>
  <c r="C56" i="11"/>
  <c r="C57" i="11" s="1"/>
  <c r="C11" i="71"/>
  <c r="D12" i="71"/>
  <c r="C57" i="69"/>
  <c r="C56" i="69" s="1"/>
  <c r="L46" i="15"/>
  <c r="Q57" i="15"/>
  <c r="Q66" i="15"/>
  <c r="O67" i="39"/>
  <c r="O69" i="39" s="1"/>
  <c r="N69" i="39"/>
  <c r="F7" i="39"/>
  <c r="C39" i="35"/>
  <c r="B2" i="35" s="1"/>
  <c r="B3" i="35" s="1"/>
  <c r="C38" i="35"/>
  <c r="N63" i="40"/>
  <c r="M65" i="40"/>
  <c r="E43" i="35"/>
  <c r="F43" i="35" s="1"/>
  <c r="E42" i="35"/>
  <c r="F42" i="35" s="1"/>
  <c r="I43" i="35"/>
  <c r="J43" i="35" s="1"/>
  <c r="Q65" i="15" l="1"/>
  <c r="Q75" i="15" s="1"/>
  <c r="B2" i="15"/>
  <c r="B3" i="15" s="1"/>
  <c r="C83" i="15"/>
  <c r="C82" i="15" s="1"/>
  <c r="C43" i="15"/>
  <c r="Q56" i="15"/>
  <c r="Q47" i="15"/>
  <c r="Q53" i="15" s="1"/>
  <c r="C10" i="71"/>
  <c r="D11" i="71"/>
  <c r="Q62" i="15"/>
  <c r="H7" i="39"/>
  <c r="J7" i="39"/>
  <c r="S7" i="39"/>
  <c r="AA7" i="39"/>
  <c r="R47" i="39" s="1"/>
  <c r="O63" i="40"/>
  <c r="O65" i="40" s="1"/>
  <c r="N65" i="40"/>
  <c r="D19" i="9"/>
  <c r="AO6" i="1"/>
  <c r="D20" i="9"/>
  <c r="B6" i="70" l="1"/>
  <c r="B2" i="70" s="1"/>
  <c r="B3" i="70" s="1"/>
  <c r="D21" i="9"/>
  <c r="D102" i="9"/>
  <c r="D10" i="71"/>
  <c r="C9" i="71"/>
  <c r="D103" i="9"/>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8"/>
  <c r="C7" i="68" l="1"/>
  <c r="C5" i="68" s="1"/>
  <c r="C23" i="68" l="1"/>
  <c r="C20" i="68"/>
  <c r="C25" i="68" s="1"/>
  <c r="C22" i="68" l="1"/>
  <c r="C28" i="68"/>
  <c r="C27" i="68" s="1"/>
  <c r="C31" i="68" l="1"/>
  <c r="C52" i="68" s="1"/>
  <c r="B2" i="68" s="1"/>
  <c r="C19" i="9"/>
  <c r="C57" i="68" l="1"/>
  <c r="C56" i="68" s="1"/>
  <c r="C102" i="9"/>
  <c r="C21" i="9"/>
  <c r="D22" i="9"/>
  <c r="G19" i="9"/>
  <c r="B3" i="68"/>
  <c r="C20" i="9"/>
  <c r="D34" i="9"/>
  <c r="D35" i="9"/>
  <c r="G21" i="9" l="1"/>
  <c r="D27" i="9"/>
  <c r="C103" i="9"/>
  <c r="G20" i="9"/>
  <c r="C32" i="9" s="1"/>
  <c r="C35" i="9" l="1"/>
  <c r="H118" i="9"/>
  <c r="H119" i="9" l="1"/>
  <c r="H5" i="52" s="1"/>
  <c r="C104" i="9"/>
  <c r="H101" i="9"/>
  <c r="H4" i="52"/>
  <c r="I118" i="9"/>
  <c r="D14" i="74"/>
  <c r="C34" i="9"/>
  <c r="D118" i="9" s="1"/>
  <c r="F118" i="9"/>
  <c r="F4" i="52" l="1"/>
  <c r="B51" i="72" s="1"/>
  <c r="G118" i="9"/>
  <c r="G4" i="52" s="1"/>
  <c r="B52" i="72" s="1"/>
  <c r="F119" i="9"/>
  <c r="F5" i="52" s="1"/>
  <c r="B53" i="72" s="1"/>
  <c r="D119" i="9"/>
  <c r="D5" i="52" s="1"/>
  <c r="B49" i="72" s="1"/>
  <c r="D4" i="52"/>
  <c r="B47" i="72" s="1"/>
  <c r="M48" i="9"/>
  <c r="H107" i="9"/>
  <c r="M49" i="9" s="1"/>
  <c r="D5" i="53"/>
  <c r="D45" i="9"/>
  <c r="F14" i="74"/>
  <c r="B5" i="74"/>
  <c r="E14" i="74"/>
  <c r="I4" i="52"/>
  <c r="C105" i="9"/>
  <c r="E118" i="9"/>
  <c r="E4" i="52" s="1"/>
  <c r="B48" i="72" s="1"/>
  <c r="H102" i="9"/>
  <c r="D7" i="53" s="1"/>
  <c r="B21" i="72" s="1"/>
  <c r="L68" i="9" l="1"/>
  <c r="M68" i="9" s="1"/>
  <c r="L63" i="9"/>
  <c r="M63" i="9" s="1"/>
  <c r="L65" i="9"/>
  <c r="M65" i="9" s="1"/>
  <c r="L64" i="9"/>
  <c r="M64" i="9" s="1"/>
  <c r="L67" i="9"/>
  <c r="M67" i="9" s="1"/>
  <c r="L66" i="9"/>
  <c r="M66" i="9" s="1"/>
  <c r="C5" i="74"/>
  <c r="D5" i="74"/>
  <c r="D13" i="53"/>
  <c r="D122" i="9"/>
  <c r="H108" i="9"/>
  <c r="D15" i="53" s="1"/>
  <c r="B31" i="72" s="1"/>
  <c r="D6" i="53"/>
  <c r="B22" i="72" s="1"/>
  <c r="B20" i="72"/>
  <c r="D55" i="9"/>
  <c r="M53" i="9" s="1"/>
  <c r="C78" i="9"/>
  <c r="C73" i="9" s="1"/>
  <c r="C64" i="9"/>
  <c r="C63" i="9" s="1"/>
  <c r="C67" i="9" s="1"/>
  <c r="C72" i="9"/>
  <c r="D52" i="9"/>
  <c r="C85" i="9"/>
  <c r="D53" i="9"/>
  <c r="C93" i="9"/>
  <c r="C86" i="9" s="1"/>
  <c r="M69" i="9" l="1"/>
  <c r="N69" i="9" s="1"/>
  <c r="C79" i="9"/>
  <c r="C95" i="9"/>
  <c r="G14" i="74"/>
  <c r="B6" i="74" s="1"/>
  <c r="D8" i="52"/>
  <c r="D123" i="9"/>
  <c r="D9" i="52" s="1"/>
  <c r="B30" i="72"/>
  <c r="D14" i="53"/>
  <c r="B32" i="72" s="1"/>
  <c r="C68" i="9"/>
  <c r="D54" i="9" s="1"/>
  <c r="D59" i="9"/>
  <c r="M55" i="9" s="1"/>
  <c r="C80" i="9" l="1"/>
  <c r="E80" i="9" s="1"/>
  <c r="E81" i="9" s="1"/>
  <c r="D6" i="74"/>
  <c r="C6" i="74"/>
  <c r="C96" i="9"/>
  <c r="E96" i="9" s="1"/>
  <c r="E97" i="9" s="1"/>
  <c r="C97" i="9" l="1"/>
  <c r="D58" i="9" s="1"/>
  <c r="D56" i="9" s="1"/>
  <c r="M54" i="9" s="1"/>
  <c r="N57" i="9" s="1"/>
  <c r="P57" i="9" s="1"/>
  <c r="C81" i="9"/>
  <c r="N59" i="9" l="1"/>
  <c r="H111" i="9" s="1"/>
  <c r="N58" i="9"/>
  <c r="N60" i="9" l="1"/>
  <c r="N61" i="9"/>
  <c r="H112" i="9" s="1"/>
  <c r="D21" i="53" s="1"/>
  <c r="B39" i="72" s="1"/>
  <c r="D126" i="9"/>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<sst xmlns="http://schemas.openxmlformats.org/spreadsheetml/2006/main" count="7425" uniqueCount="3206">
  <si>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</si>
  <si>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</si>
  <si>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</si>
  <si>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</si>
  <si>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</si>
  <si>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</si>
  <si>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</si>
  <si>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</si>
  <si>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</si>
  <si>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</si>
  <si>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</si>
  <si>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</si>
  <si>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</si>
  <si>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</si>
  <si>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</si>
  <si>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</si>
  <si>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</si>
  <si>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</si>
  <si>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</si>
  <si>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</si>
  <si>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</si>
  <si>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</si>
  <si>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</si>
  <si>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</si>
  <si>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</si>
  <si>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</si>
  <si>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</si>
  <si>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</si>
  <si>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</si>
  <si>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</si>
  <si>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</si>
  <si>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</si>
  <si>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</si>
  <si>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</si>
  <si>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</si>
  <si>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</si>
  <si>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</si>
  <si>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</si>
  <si>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</si>
  <si>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</si>
  <si>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</si>
  <si>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</si>
  <si>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</si>
  <si>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</si>
  <si>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</si>
  <si>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</si>
  <si>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</si>
  <si>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</si>
  <si>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</si>
  <si>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</si>
  <si>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</si>
  <si>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</si>
  <si>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</si>
  <si>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</si>
  <si>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</si>
  <si>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</si>
  <si>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</si>
  <si>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</si>
  <si>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</si>
  <si>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</si>
  <si>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</si>
  <si>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</si>
  <si>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</si>
  <si>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</si>
  <si>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</si>
  <si>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</si>
  <si>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</si>
  <si>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</si>
  <si>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</si>
  <si>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</si>
  <si>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</si>
  <si>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</si>
  <si>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</si>
  <si>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</si>
  <si>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</si>
  <si>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</si>
  <si>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</si>
  <si>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</si>
  <si>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</si>
  <si>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</si>
  <si>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</si>
  <si>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</si>
  <si>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</si>
  <si>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</si>
  <si>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</si>
  <si>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</si>
  <si>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</si>
  <si>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</si>
  <si>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</si>
  <si>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</si>
  <si>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</si>
  <si>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</si>
  <si>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</si>
  <si>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</si>
  <si>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</si>
  <si>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</si>
  <si>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</si>
  <si>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</si>
  <si>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</si>
  <si>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</si>
  <si>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</si>
  <si>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</si>
  <si>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</si>
  <si>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</si>
  <si>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</si>
  <si>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</si>
  <si>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</si>
  <si>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</si>
  <si>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</si>
  <si>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</si>
  <si>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</si>
  <si>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</si>
  <si>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</si>
  <si>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</si>
  <si>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</si>
  <si>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</si>
  <si>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</si>
  <si>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</si>
  <si>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</si>
  <si>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</si>
  <si>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</si>
  <si>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</si>
  <si>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</si>
  <si>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</si>
  <si>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</si>
  <si>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</si>
  <si>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</si>
  <si>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</si>
  <si>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</si>
  <si>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</si>
  <si>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</si>
  <si>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</si>
  <si>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</si>
  <si>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</si>
  <si>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</si>
  <si>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</si>
  <si>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</si>
  <si>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</si>
  <si>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</si>
  <si>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</si>
  <si>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</si>
  <si>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</si>
  <si>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</si>
  <si>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</si>
  <si>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</si>
  <si>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</si>
  <si>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</si>
  <si>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</si>
  <si>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</si>
  <si>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</si>
  <si>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</si>
  <si>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</si>
  <si>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</si>
  <si>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</si>
  <si>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</si>
  <si>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</si>
  <si>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</si>
  <si>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</si>
  <si>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</si>
  <si>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</si>
  <si>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</si>
  <si>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</si>
  <si>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</si>
  <si>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</si>
  <si>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</si>
  <si>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</si>
  <si>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</si>
  <si>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</si>
  <si>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</si>
  <si>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</si>
  <si>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</si>
  <si>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</si>
  <si>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</si>
  <si>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</si>
  <si>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</si>
  <si>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</si>
  <si>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</si>
  <si>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</si>
  <si>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</si>
  <si>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</si>
  <si>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</si>
  <si>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</si>
  <si>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</si>
  <si>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</si>
  <si>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</si>
  <si>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</si>
  <si>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</si>
  <si>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</si>
  <si>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</si>
  <si>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</si>
  <si>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</si>
  <si>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</si>
  <si>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</si>
  <si>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</si>
  <si>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</si>
  <si>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</si>
  <si>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</si>
  <si>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</si>
  <si>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</si>
  <si>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</si>
  <si>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</si>
  <si>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</si>
  <si>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</si>
  <si>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</si>
  <si>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</si>
  <si>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</si>
  <si>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</si>
  <si>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</si>
  <si>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</si>
  <si>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</si>
  <si>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</si>
  <si>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</si>
  <si>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</si>
  <si>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</si>
  <si>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</si>
  <si>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</si>
  <si>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</si>
  <si>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</si>
  <si>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</si>
  <si>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</si>
  <si>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</si>
  <si>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</si>
  <si>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</si>
  <si>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</si>
  <si>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</si>
  <si>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</si>
  <si>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</si>
  <si>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</si>
  <si>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</si>
  <si>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</si>
  <si>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</si>
  <si>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</si>
  <si>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</si>
  <si>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</si>
  <si>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</si>
  <si>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</si>
  <si>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</si>
  <si>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</si>
  <si>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</si>
  <si>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</si>
  <si>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</si>
  <si>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</si>
  <si>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</si>
  <si>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</si>
  <si>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</si>
  <si>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</si>
  <si>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</si>
  <si>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</si>
  <si>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</si>
  <si>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</si>
  <si>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</si>
  <si>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</si>
  <si>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</si>
  <si>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</si>
  <si>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</si>
  <si>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</si>
  <si>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</si>
  <si>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</si>
  <si>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</si>
  <si>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</si>
  <si>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</si>
  <si>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</si>
  <si>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</si>
  <si>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</si>
  <si>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</si>
  <si>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</si>
  <si>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</si>
  <si>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</si>
  <si>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</si>
  <si>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</si>
  <si>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</si>
  <si>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</si>
  <si>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</si>
  <si>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</si>
  <si>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</si>
  <si>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</si>
  <si>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</si>
  <si>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</si>
  <si>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</si>
  <si>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</si>
  <si>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</si>
  <si>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</si>
  <si>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</si>
  <si>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</si>
  <si>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</si>
  <si>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</si>
  <si>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</si>
  <si>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</si>
  <si>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</si>
  <si>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</si>
  <si>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</si>
  <si>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</si>
  <si>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</si>
  <si>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</si>
  <si>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</si>
  <si>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</si>
  <si>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</si>
  <si>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</si>
  <si>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</si>
  <si>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</si>
  <si>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</si>
  <si>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</si>
  <si>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</si>
  <si>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</si>
  <si>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</si>
  <si>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</si>
  <si>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</si>
  <si>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</si>
  <si>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</si>
  <si>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</si>
  <si>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</si>
  <si>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</si>
  <si>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</si>
  <si>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</si>
  <si>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</si>
  <si>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</si>
  <si>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</si>
  <si>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</si>
  <si>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</si>
  <si>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</si>
  <si>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</si>
  <si>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</si>
  <si>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</si>
  <si>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</si>
  <si>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</si>
  <si>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</si>
  <si>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</si>
  <si>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</si>
  <si>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</si>
  <si>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</si>
  <si>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</si>
  <si>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</si>
  <si>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</si>
  <si>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</si>
  <si>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</si>
  <si>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</si>
  <si>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</si>
  <si>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</si>
  <si>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</si>
  <si>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</si>
  <si>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</si>
  <si>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</si>
  <si>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</si>
  <si>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</si>
  <si>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</si>
  <si>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</si>
  <si>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</si>
  <si>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</si>
  <si>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</si>
  <si>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</si>
  <si>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</si>
  <si>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</si>
  <si>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</si>
  <si>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</si>
  <si>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</si>
  <si>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</si>
  <si>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</si>
  <si>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</si>
  <si>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</si>
  <si>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</si>
  <si>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</si>
  <si>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</si>
  <si>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</si>
  <si>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</si>
  <si>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</si>
  <si>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</si>
  <si>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</si>
  <si>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</si>
  <si>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</si>
  <si>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</si>
  <si>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</si>
  <si>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</si>
  <si>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</si>
  <si>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</si>
  <si>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</si>
  <si>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</si>
  <si>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</si>
  <si>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</si>
  <si>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</si>
  <si>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</si>
  <si>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</si>
  <si>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</si>
  <si>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</si>
  <si>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</si>
  <si>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</si>
  <si>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</si>
  <si>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</si>
  <si>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</si>
  <si>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</si>
  <si>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</si>
  <si>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</si>
  <si>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</si>
  <si>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</si>
  <si>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</si>
  <si>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</si>
  <si>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</si>
  <si>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</si>
  <si>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</si>
  <si>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</si>
  <si>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</si>
  <si>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</si>
  <si>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</si>
  <si>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</si>
  <si>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</si>
  <si>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</si>
  <si>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</si>
  <si>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</si>
  <si>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</si>
  <si>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</si>
  <si>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</si>
  <si>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</si>
  <si>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</si>
  <si>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</si>
  <si>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</si>
  <si>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</si>
  <si>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</si>
  <si>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</si>
  <si>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</si>
  <si>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</si>
  <si>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</si>
  <si>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</si>
  <si>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</si>
  <si>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</si>
  <si>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</si>
  <si>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</si>
  <si>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</si>
  <si>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</si>
  <si>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</si>
  <si>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</si>
  <si>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</si>
  <si>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</si>
  <si>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</si>
  <si>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</si>
  <si>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</si>
  <si>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</si>
  <si>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</si>
  <si>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</si>
  <si>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</si>
  <si>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</si>
  <si>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</si>
  <si>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</si>
  <si>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</si>
  <si>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</si>
  <si>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</si>
  <si>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</si>
  <si>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</si>
  <si>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</si>
  <si>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</si>
  <si>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</si>
  <si>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</si>
  <si>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</si>
  <si>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</si>
  <si>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</si>
  <si>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</si>
  <si>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</si>
  <si>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</si>
  <si>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</si>
  <si>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</si>
  <si>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</si>
  <si>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</si>
  <si>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</si>
  <si>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</si>
  <si>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</si>
  <si>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</si>
  <si>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</si>
  <si>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</si>
  <si>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</si>
  <si>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</si>
  <si>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</si>
  <si>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</si>
  <si>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</si>
  <si>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</si>
  <si>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</si>
  <si>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</si>
  <si>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</si>
  <si>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</si>
  <si>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</si>
  <si>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</si>
  <si>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</si>
  <si>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</si>
  <si>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</si>
  <si>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</si>
  <si>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</si>
  <si>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</si>
  <si>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</si>
  <si>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</si>
  <si>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</si>
  <si>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</si>
  <si>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</si>
  <si>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</si>
  <si>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</si>
  <si>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</si>
  <si>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</si>
  <si>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</si>
  <si>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</si>
  <si>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</si>
  <si>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</si>
  <si>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</si>
  <si>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</si>
  <si>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</si>
  <si>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</si>
  <si>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</si>
  <si>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</si>
  <si>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</si>
  <si>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</si>
  <si>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</si>
  <si>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</si>
  <si>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</si>
  <si>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</si>
  <si>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</si>
  <si>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</si>
  <si>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</si>
  <si>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</si>
  <si>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</si>
  <si>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</si>
  <si>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</si>
  <si>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</si>
  <si>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</si>
  <si>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</si>
  <si>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</si>
  <si>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</si>
  <si>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</si>
  <si>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</si>
  <si>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</si>
  <si>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</si>
  <si>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</si>
  <si>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</si>
  <si>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</si>
  <si>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</si>
  <si>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</si>
  <si>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</si>
  <si>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</si>
  <si>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</si>
  <si>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</si>
  <si>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</si>
  <si>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</si>
  <si>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</si>
  <si>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</si>
  <si>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</si>
  <si>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</si>
  <si>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</si>
  <si>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</si>
  <si>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</si>
  <si>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</si>
  <si>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</si>
  <si>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</si>
  <si>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</si>
  <si>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</si>
  <si>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</si>
  <si>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</si>
  <si>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</si>
  <si>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</si>
  <si>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</si>
  <si>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</si>
  <si>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</si>
  <si>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</si>
  <si>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</si>
  <si>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</si>
  <si>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</si>
  <si>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</si>
  <si>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</si>
  <si>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</si>
  <si>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</si>
  <si>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</si>
  <si>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</si>
  <si>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</si>
  <si>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</si>
  <si>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</si>
  <si>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</si>
  <si>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</si>
  <si>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</si>
  <si>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</si>
  <si>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</si>
  <si>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</si>
  <si>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</si>
  <si>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</si>
  <si>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</si>
  <si>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</si>
  <si>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</si>
  <si>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</si>
  <si>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</si>
  <si>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</si>
  <si>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</si>
  <si>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</si>
  <si>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</si>
  <si>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</si>
  <si>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</si>
  <si>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</si>
  <si>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</si>
  <si>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</si>
  <si>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</si>
  <si>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</si>
  <si>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</si>
  <si>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</si>
  <si>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</si>
  <si>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</si>
  <si>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</si>
  <si>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</si>
  <si>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</si>
  <si>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</si>
  <si>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</si>
  <si>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</si>
  <si>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</si>
  <si>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</si>
  <si>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</si>
  <si>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</si>
  <si>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</si>
  <si>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</si>
  <si>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</si>
  <si>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</si>
  <si>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</si>
  <si>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</si>
  <si>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</si>
  <si>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</si>
  <si>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</si>
  <si>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</si>
  <si>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</si>
  <si>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</si>
  <si>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</si>
  <si>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</si>
  <si>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</si>
  <si>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</si>
  <si>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</si>
  <si>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</si>
  <si>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</si>
  <si>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</si>
  <si>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</si>
  <si>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</si>
  <si>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</si>
  <si>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</si>
  <si>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</si>
  <si>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</si>
  <si>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</si>
  <si>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</si>
  <si>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</si>
  <si>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</si>
  <si>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</si>
  <si>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</si>
  <si>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</si>
  <si>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</si>
  <si>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</si>
  <si>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</si>
  <si>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</si>
  <si>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</si>
  <si>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</si>
  <si>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</si>
  <si>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</si>
  <si>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</si>
  <si>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</si>
  <si>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</si>
  <si>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</si>
  <si>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</si>
  <si>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</si>
  <si>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</si>
  <si>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</si>
  <si>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</si>
  <si>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</si>
  <si>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</si>
  <si>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</si>
  <si>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</si>
  <si>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</si>
  <si>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</si>
  <si>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</si>
  <si>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</si>
  <si>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</si>
  <si>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</si>
  <si>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</si>
  <si>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</si>
  <si>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</si>
  <si>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</si>
  <si>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</si>
  <si>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</si>
  <si>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</si>
  <si>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</si>
  <si>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</si>
  <si>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</si>
  <si>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</si>
  <si>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</si>
  <si>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</si>
  <si>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</si>
  <si>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</si>
  <si>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</si>
  <si>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</si>
  <si>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</si>
  <si>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</si>
  <si>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</si>
  <si>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</si>
  <si>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</si>
  <si>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</si>
  <si>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</si>
  <si>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</si>
  <si>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</si>
  <si>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</si>
  <si>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</si>
  <si>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</si>
  <si>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</si>
  <si>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</si>
  <si>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</si>
  <si>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</si>
  <si>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</si>
  <si>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</si>
  <si>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</si>
  <si>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</si>
  <si>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</si>
  <si>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</si>
  <si>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</si>
  <si>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</si>
  <si>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</si>
  <si>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</si>
  <si>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</si>
  <si>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</si>
  <si>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</si>
  <si>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</si>
  <si>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</si>
  <si>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</si>
  <si>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</si>
  <si>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</si>
  <si>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</si>
  <si>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</si>
  <si>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</si>
  <si>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</si>
  <si>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</si>
  <si>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</si>
  <si>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</si>
  <si>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</si>
  <si>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</si>
  <si>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</si>
  <si>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</si>
  <si>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</si>
  <si>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</si>
  <si>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</si>
  <si>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</si>
  <si>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</si>
  <si>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</si>
  <si>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</si>
  <si>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</si>
  <si>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</si>
  <si>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</si>
  <si>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</si>
  <si>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</si>
  <si>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</si>
  <si>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</si>
  <si>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</si>
  <si>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</si>
  <si>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</si>
  <si>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</si>
  <si>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</si>
  <si>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</si>
  <si>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</si>
  <si>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</si>
  <si>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</si>
  <si>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</si>
  <si>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</si>
  <si>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</si>
  <si>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</si>
  <si>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</si>
  <si>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</si>
  <si>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</si>
  <si>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</si>
  <si>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</si>
  <si>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</si>
  <si>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</si>
  <si>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</si>
  <si>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</si>
  <si>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</si>
  <si>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</si>
  <si>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</si>
  <si>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</si>
  <si>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</si>
  <si>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</si>
  <si>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</si>
  <si>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</si>
  <si>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</si>
  <si>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</si>
  <si>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</si>
  <si>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</si>
  <si>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</si>
  <si>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</si>
  <si>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</si>
  <si>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</si>
  <si>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</si>
  <si>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</si>
  <si>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</si>
  <si>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</si>
  <si>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</si>
  <si>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</si>
  <si>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</si>
  <si>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</si>
  <si>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</si>
  <si>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</si>
  <si>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</si>
  <si>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</si>
  <si>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</si>
  <si>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</si>
  <si>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</si>
  <si>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</si>
  <si>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</si>
  <si>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</si>
  <si>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</si>
  <si>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</si>
  <si>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</si>
  <si>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</si>
  <si>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</si>
  <si>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</si>
  <si>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</si>
  <si>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</si>
  <si>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</si>
  <si>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</si>
  <si>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</si>
  <si>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</si>
  <si>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</si>
  <si>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</si>
  <si>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</si>
  <si>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</si>
  <si>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</si>
  <si>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</si>
  <si>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</si>
  <si>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</si>
  <si>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</si>
  <si>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</si>
  <si>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</si>
  <si>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</si>
  <si>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</si>
  <si>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</si>
  <si>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</si>
  <si>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</si>
  <si>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</si>
  <si>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</si>
  <si>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</si>
  <si>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</si>
  <si>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</si>
  <si>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</si>
  <si>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</si>
  <si>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</si>
  <si>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</si>
  <si>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</si>
  <si>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</si>
  <si>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</si>
  <si>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</si>
  <si>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</si>
  <si>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</si>
  <si>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</si>
  <si>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</si>
  <si>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</si>
  <si>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</si>
  <si>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</si>
  <si>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</si>
  <si>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</si>
  <si>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</si>
  <si>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</si>
  <si>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</si>
  <si>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</si>
  <si>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</si>
  <si>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</si>
  <si>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</si>
  <si>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</si>
  <si>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</si>
  <si>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</si>
  <si>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</si>
  <si>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</si>
  <si>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</si>
  <si>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</si>
  <si>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</si>
  <si>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</si>
  <si>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</si>
  <si>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</si>
  <si>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</si>
  <si>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</si>
  <si>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</si>
  <si>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</si>
  <si>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</si>
  <si>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</si>
  <si>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</si>
  <si>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</si>
  <si>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</si>
  <si>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</si>
  <si>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</si>
  <si>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</si>
  <si>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</si>
  <si>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</si>
  <si>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</si>
  <si>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</si>
  <si>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</si>
  <si>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</si>
  <si>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</si>
  <si>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</si>
  <si>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</si>
  <si>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</si>
  <si>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</si>
  <si>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</si>
  <si>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</si>
  <si>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</si>
  <si>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</si>
  <si>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</si>
  <si>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</si>
  <si>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</si>
  <si>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</si>
  <si>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</si>
  <si>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</si>
  <si>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</si>
  <si>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</si>
  <si>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</si>
  <si>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</si>
  <si>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</si>
  <si>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</si>
  <si>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</si>
  <si>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</si>
  <si>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</si>
  <si>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</si>
  <si>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</si>
  <si>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</si>
  <si>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</si>
  <si>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</si>
  <si>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</si>
  <si>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</si>
  <si>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</si>
  <si>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</si>
  <si>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</si>
  <si>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</si>
  <si>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</si>
  <si>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</si>
  <si>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</si>
  <si>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</si>
  <si>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</si>
  <si>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</si>
  <si>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</si>
  <si>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</si>
  <si>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</si>
  <si>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</si>
  <si>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</si>
  <si>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</si>
  <si>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</si>
  <si>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</si>
  <si>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</si>
  <si>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</si>
  <si>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</si>
  <si>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</si>
  <si>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</si>
  <si>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</si>
  <si>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</si>
  <si>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</si>
  <si>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</si>
  <si>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</si>
  <si>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</si>
  <si>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</si>
  <si>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</si>
  <si>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</si>
  <si>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</si>
  <si>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</si>
  <si>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</si>
  <si>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</si>
  <si>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</si>
  <si>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</si>
  <si>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</si>
  <si>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</si>
  <si>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</si>
  <si>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</si>
  <si>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</si>
  <si>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</si>
  <si>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</si>
  <si>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</si>
  <si>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</si>
  <si>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</si>
  <si>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</si>
  <si>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</si>
  <si>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</si>
  <si>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</si>
  <si>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</si>
  <si>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</si>
  <si>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</si>
  <si>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</si>
  <si>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</si>
  <si>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</si>
  <si>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</si>
  <si>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</si>
  <si>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</si>
  <si>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</si>
  <si>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</si>
  <si>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</si>
  <si>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</si>
  <si>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</si>
  <si>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</si>
  <si>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</si>
  <si>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</si>
  <si>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</si>
  <si>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</si>
  <si>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</si>
  <si>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</si>
  <si>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</si>
  <si>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</si>
  <si>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</si>
  <si>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</si>
  <si>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</si>
  <si>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</si>
  <si>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</si>
  <si>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</si>
  <si>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</si>
  <si>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</si>
  <si>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</si>
  <si>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</si>
  <si>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</si>
  <si>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</si>
  <si>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</si>
  <si>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</si>
  <si>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</si>
  <si>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</si>
  <si>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</si>
  <si>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</si>
  <si>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</si>
  <si>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</si>
  <si>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</si>
  <si>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</si>
  <si>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</si>
  <si>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</si>
  <si>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</si>
  <si>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</si>
  <si>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</si>
  <si>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</si>
  <si>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</si>
  <si>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</si>
  <si>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</si>
  <si>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</si>
  <si>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</si>
  <si>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</si>
  <si>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</si>
  <si>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</si>
  <si>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</si>
  <si>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</si>
  <si>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</si>
  <si>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</si>
  <si>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</si>
  <si>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</si>
  <si>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</si>
  <si>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</si>
  <si>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</si>
  <si>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</si>
  <si>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</si>
  <si>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</si>
  <si>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</si>
  <si>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</si>
  <si>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</si>
  <si>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</si>
  <si>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</si>
  <si>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</si>
  <si>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</si>
  <si>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</si>
  <si>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</si>
  <si>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</si>
  <si>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</si>
  <si>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</si>
  <si>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</si>
  <si>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</si>
  <si>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</si>
  <si>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</si>
  <si>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</si>
  <si>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</si>
  <si>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</si>
  <si>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</si>
  <si>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</si>
  <si>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</si>
  <si>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</si>
  <si>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</si>
  <si>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</si>
  <si>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</si>
  <si>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</si>
  <si>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</si>
  <si>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</si>
  <si>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</si>
  <si>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</si>
  <si>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</si>
  <si>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</si>
  <si>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</si>
  <si>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</si>
  <si>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</si>
  <si>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</si>
  <si>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</si>
  <si>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</si>
  <si>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</si>
  <si>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</si>
  <si>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</si>
  <si>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</si>
  <si>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</si>
  <si>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</si>
  <si>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</si>
  <si>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</si>
  <si>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</si>
  <si>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</si>
  <si>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</si>
  <si>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</si>
  <si>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</si>
  <si>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</si>
  <si>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</si>
  <si>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</si>
  <si>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</si>
  <si>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</si>
  <si>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</si>
  <si>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</si>
  <si>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</si>
  <si>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</si>
  <si>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</si>
  <si>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</si>
  <si>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</si>
  <si>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</si>
  <si>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</si>
  <si>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</si>
  <si>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</si>
  <si>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</si>
  <si>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</si>
  <si>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</si>
  <si>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</si>
  <si>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</si>
  <si>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</si>
  <si>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</si>
  <si>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</si>
  <si>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</si>
  <si>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</si>
  <si>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</si>
  <si>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</si>
  <si>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</si>
  <si>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</si>
  <si>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</si>
  <si>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</si>
  <si>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</si>
  <si>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</si>
  <si>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</si>
  <si>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</si>
  <si>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</si>
  <si>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</si>
  <si>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</si>
  <si>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</si>
  <si>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</si>
  <si>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</si>
  <si>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</si>
  <si>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</si>
  <si>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</si>
  <si>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</si>
  <si>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</si>
  <si>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</si>
  <si>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</si>
  <si>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</si>
  <si>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</si>
  <si>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</si>
  <si>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</si>
  <si>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</si>
  <si>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</si>
  <si>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</si>
  <si>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</si>
  <si>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</si>
  <si>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</si>
  <si>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</si>
  <si>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</si>
  <si>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</si>
  <si>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</si>
  <si>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</si>
  <si>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</si>
  <si>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</si>
  <si>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</si>
  <si>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</si>
  <si>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</si>
  <si>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</si>
  <si>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</si>
  <si>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</si>
  <si>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</si>
  <si>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</si>
  <si>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</si>
  <si>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</si>
  <si>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</si>
  <si>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</si>
  <si>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</si>
  <si>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</si>
  <si>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</si>
  <si>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</si>
  <si>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</si>
  <si>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</si>
  <si>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</si>
  <si>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</si>
  <si>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</si>
  <si>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</si>
  <si>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</si>
  <si>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</si>
  <si>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</si>
  <si>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</si>
  <si>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</si>
  <si>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</si>
  <si>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</si>
  <si>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</si>
  <si>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</si>
  <si>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</si>
  <si>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</si>
  <si>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</si>
  <si>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</si>
  <si>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</si>
  <si>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</si>
  <si>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</si>
  <si>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</si>
  <si>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</si>
  <si>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</si>
  <si>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</si>
  <si>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</si>
  <si>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</si>
  <si>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</si>
  <si>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</si>
  <si>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</si>
  <si>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</si>
  <si>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</si>
  <si>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</si>
  <si>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</si>
  <si>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</si>
  <si>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</si>
  <si>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</si>
  <si>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</si>
  <si>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</si>
  <si>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</si>
  <si>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</si>
  <si>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</si>
  <si>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</si>
  <si>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</si>
  <si>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</si>
  <si>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</si>
  <si>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</si>
  <si>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</si>
  <si>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</si>
  <si>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</si>
  <si>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</si>
  <si>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</si>
  <si>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</si>
  <si>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</si>
  <si>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</si>
  <si>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</si>
  <si>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</si>
  <si>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</si>
  <si>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</si>
  <si>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</si>
  <si>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</si>
  <si>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</si>
  <si>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</si>
  <si>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</si>
  <si>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</si>
  <si>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</si>
  <si>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</si>
  <si>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</si>
  <si>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</si>
  <si>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</si>
  <si>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</si>
  <si>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</si>
  <si>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</si>
  <si>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</si>
  <si>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</si>
  <si>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</si>
  <si>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</si>
  <si>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</si>
  <si>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</si>
  <si>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</si>
  <si>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</si>
  <si>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</si>
  <si>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</si>
  <si>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</si>
  <si>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</si>
  <si>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</si>
  <si>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</si>
  <si>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</si>
  <si>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</si>
  <si>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</si>
  <si>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</si>
  <si>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</si>
  <si>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</si>
  <si>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</si>
  <si>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</si>
  <si>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</si>
  <si>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</si>
  <si>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</si>
  <si>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</si>
  <si>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</si>
  <si>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</si>
  <si>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</si>
  <si>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</si>
  <si>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</si>
  <si>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</si>
  <si>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</si>
  <si>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</si>
  <si>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</si>
  <si>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</si>
  <si>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</si>
  <si>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</si>
  <si>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</si>
  <si>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</si>
  <si>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</si>
  <si>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</si>
  <si>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</si>
  <si>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</si>
  <si>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</si>
  <si>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</si>
  <si>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</si>
  <si>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</si>
  <si>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</si>
  <si>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</si>
  <si>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</si>
  <si>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</si>
  <si>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</si>
  <si>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</si>
  <si>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</si>
  <si>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</si>
  <si>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</si>
  <si>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</si>
  <si>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</si>
  <si>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</si>
  <si>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</si>
  <si>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</si>
  <si>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</si>
  <si>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</si>
  <si>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</si>
  <si>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</si>
  <si>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</si>
  <si>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</si>
  <si>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</si>
  <si>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</si>
  <si>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</si>
  <si>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</si>
  <si>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</si>
  <si>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</si>
  <si>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</si>
  <si>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</si>
  <si>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</si>
  <si>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</si>
  <si>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</si>
  <si>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</si>
  <si>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</si>
  <si>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</si>
  <si>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</si>
  <si>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</si>
  <si>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</si>
  <si>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</si>
  <si>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</si>
  <si>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</si>
  <si>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</si>
  <si>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</si>
  <si>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</si>
  <si>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</si>
  <si>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</si>
  <si>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</si>
  <si>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</si>
  <si>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</si>
  <si>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</si>
  <si>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</si>
  <si>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</si>
  <si>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</si>
  <si>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</si>
  <si>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</si>
  <si>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</si>
  <si>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</si>
  <si>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</si>
  <si>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</si>
  <si>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</si>
  <si>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</si>
  <si>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</si>
  <si>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</si>
  <si>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</si>
  <si>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</si>
  <si>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</si>
  <si>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</si>
  <si>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</si>
  <si>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</si>
  <si>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</si>
  <si>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</si>
  <si>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</si>
  <si>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</si>
  <si>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</si>
  <si>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</si>
  <si>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</si>
  <si>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</si>
  <si>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</si>
  <si>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</si>
  <si>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</si>
  <si>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</si>
  <si>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</si>
  <si>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</si>
  <si>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</si>
  <si>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</si>
  <si>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</si>
  <si>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</si>
  <si>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</si>
  <si>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</si>
  <si>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</si>
  <si>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</si>
  <si>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</si>
  <si>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</si>
  <si>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</si>
  <si>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</si>
  <si>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</si>
  <si>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</si>
  <si>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</si>
  <si>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</si>
  <si>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</si>
  <si>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</si>
  <si>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</si>
  <si>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</si>
  <si>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</si>
  <si>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</si>
  <si>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</si>
  <si>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</si>
  <si>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</si>
  <si>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</si>
  <si>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</si>
  <si>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</si>
  <si>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</si>
  <si>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</si>
  <si>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</si>
  <si>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</si>
  <si>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</si>
  <si>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</si>
  <si>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</si>
  <si>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</si>
  <si>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</si>
  <si>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</si>
  <si>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</si>
  <si>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</si>
  <si>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</si>
  <si>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</si>
  <si>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</si>
  <si>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</si>
  <si>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</si>
  <si>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</si>
  <si>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</si>
  <si>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</si>
  <si>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</si>
  <si>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</si>
  <si>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</si>
  <si>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</si>
  <si>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</si>
  <si>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</si>
  <si>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</si>
  <si>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</si>
  <si>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</si>
  <si>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</si>
  <si>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</si>
  <si>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</si>
  <si>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</si>
  <si>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</si>
  <si>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</si>
  <si>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</si>
  <si>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</si>
  <si>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</si>
  <si>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</si>
  <si>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</si>
  <si>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</si>
  <si>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</si>
  <si>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</si>
  <si>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</si>
  <si>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</si>
  <si>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</si>
  <si>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</si>
  <si>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</si>
  <si>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</si>
  <si>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</si>
  <si>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</si>
  <si>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</si>
  <si>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</si>
  <si>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</si>
  <si>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</si>
  <si>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</si>
  <si>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</si>
  <si>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</si>
  <si>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</si>
  <si>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</si>
  <si>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</si>
  <si>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</si>
  <si>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</si>
  <si>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</si>
  <si>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</si>
  <si>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</si>
  <si>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</si>
  <si>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</si>
  <si>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</si>
  <si>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</si>
  <si>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</si>
  <si>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</si>
  <si>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</si>
  <si>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</si>
  <si>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</si>
  <si>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</si>
  <si>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</si>
  <si>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</si>
  <si>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</si>
  <si>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</si>
  <si>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</si>
  <si>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</si>
  <si>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</si>
  <si>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</si>
  <si>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</si>
  <si>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</si>
  <si>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</si>
  <si>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</si>
  <si>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</si>
  <si>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</si>
  <si>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</si>
  <si>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</si>
  <si>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</si>
  <si>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</si>
  <si>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</si>
  <si>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</si>
  <si>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</si>
  <si>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</si>
  <si>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</si>
  <si>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</si>
  <si>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</si>
  <si>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</si>
  <si>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</si>
  <si>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</si>
  <si>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</si>
  <si>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</si>
  <si>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</si>
  <si>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</si>
  <si>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</si>
  <si>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</si>
  <si>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</si>
  <si>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</si>
  <si>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</si>
  <si>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</si>
  <si>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</si>
  <si>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</si>
  <si>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</si>
  <si>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</si>
  <si>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</si>
  <si>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</si>
  <si>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</si>
  <si>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</si>
  <si>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</si>
  <si>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</si>
  <si>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</si>
  <si>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</si>
  <si>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</si>
  <si>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</si>
  <si>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</si>
  <si>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</si>
  <si>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</si>
  <si>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</si>
  <si>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</si>
  <si>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</si>
  <si>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</si>
  <si>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</si>
  <si>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</si>
  <si>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</si>
  <si>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</si>
  <si>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</si>
  <si>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</si>
  <si>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</si>
  <si>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</si>
  <si>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</si>
  <si>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</si>
  <si>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</si>
  <si>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</si>
  <si>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</si>
  <si>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</si>
  <si>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</si>
  <si>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</si>
  <si>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</si>
  <si>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</si>
  <si>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</si>
  <si>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</si>
  <si>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</si>
  <si>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</si>
  <si>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</si>
  <si>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</si>
  <si>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</si>
  <si>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</si>
  <si>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</si>
  <si>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</si>
  <si>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</si>
  <si>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</si>
  <si>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</si>
  <si>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</si>
  <si>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</si>
  <si>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</si>
  <si>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</si>
  <si>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</si>
  <si>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</si>
  <si>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</si>
  <si>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</si>
  <si>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</si>
  <si>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</si>
  <si>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</si>
  <si>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</si>
  <si>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</si>
  <si>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</si>
  <si>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</si>
  <si>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</si>
  <si>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</si>
  <si>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</si>
  <si>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</si>
  <si>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</si>
  <si>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</si>
  <si>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</si>
  <si>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</si>
  <si>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</si>
  <si>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</si>
  <si>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</si>
  <si>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</si>
  <si>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</si>
  <si>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</si>
  <si>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</si>
  <si>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</si>
  <si>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</si>
  <si>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</si>
  <si>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</si>
  <si>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</si>
  <si>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</si>
  <si>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</si>
  <si>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</si>
  <si>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</si>
  <si>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</si>
  <si>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</si>
  <si>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</si>
  <si>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</si>
  <si>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</si>
  <si>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</si>
  <si>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</si>
  <si>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</si>
  <si>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</si>
  <si>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</si>
  <si>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</si>
  <si>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</si>
  <si>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</si>
  <si>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</si>
  <si>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</si>
  <si>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</si>
  <si>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</si>
  <si>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</si>
  <si>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</si>
  <si>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</si>
  <si>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</si>
  <si>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</si>
  <si>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</si>
  <si>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</si>
  <si>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</si>
  <si>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</si>
  <si>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</si>
  <si>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</si>
  <si>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</si>
  <si>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</si>
  <si>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</si>
  <si>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</si>
  <si>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</si>
  <si>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</si>
  <si>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</si>
  <si>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</si>
  <si>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</si>
  <si>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</si>
  <si>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</si>
  <si>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</si>
  <si>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</si>
  <si>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</si>
  <si>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</si>
  <si>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</si>
  <si>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</si>
  <si>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</si>
  <si>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</si>
  <si>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</si>
  <si>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</si>
  <si>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</si>
  <si>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</si>
  <si>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</si>
  <si>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</si>
  <si>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</si>
  <si>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</si>
  <si>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</si>
  <si>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</si>
  <si>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</si>
  <si>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</si>
  <si>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</si>
  <si>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</si>
  <si>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</si>
  <si>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</si>
  <si>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</si>
  <si>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</si>
  <si>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</si>
  <si>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</si>
  <si>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</si>
  <si>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</si>
  <si>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</si>
  <si>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</si>
  <si>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</si>
  <si>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</si>
  <si>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</si>
  <si>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</si>
  <si>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</si>
  <si>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</si>
  <si>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</si>
  <si>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</si>
  <si>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</si>
  <si>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</si>
  <si>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</si>
  <si>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</si>
  <si>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</si>
  <si>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</si>
  <si>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</si>
  <si>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</si>
  <si>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</si>
  <si>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</si>
  <si>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</si>
  <si>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</si>
  <si>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</si>
  <si>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</si>
  <si>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</si>
  <si>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</si>
  <si>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</si>
  <si>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</si>
  <si>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</si>
  <si>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</si>
  <si>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</si>
  <si>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</si>
  <si>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</si>
  <si>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</si>
  <si>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</si>
  <si>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</si>
  <si>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</si>
  <si>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</si>
  <si>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</si>
  <si>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</si>
  <si>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</si>
  <si>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</si>
  <si>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</si>
  <si>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</si>
  <si>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</si>
  <si>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</si>
  <si>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</si>
  <si>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</si>
  <si>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</si>
  <si>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</si>
  <si>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</si>
  <si>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</si>
  <si>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</si>
  <si>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</si>
  <si>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</si>
  <si>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</si>
  <si>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</si>
  <si>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</si>
  <si>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</si>
  <si>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</si>
  <si>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</si>
  <si>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</si>
  <si>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</si>
  <si>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</si>
  <si>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</si>
  <si>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</si>
  <si>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</si>
  <si>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</si>
  <si>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</si>
  <si>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</si>
  <si>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</si>
  <si>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</si>
  <si>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</si>
  <si>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</si>
  <si>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</si>
  <si>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</si>
  <si>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</si>
  <si>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</si>
  <si>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</si>
  <si>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</si>
  <si>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</si>
  <si>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</si>
  <si>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</si>
  <si>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</si>
  <si>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</si>
  <si>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</si>
  <si>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</si>
  <si>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</si>
  <si>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</si>
  <si>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</si>
  <si>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</si>
  <si>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</si>
  <si>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</si>
  <si>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</si>
  <si>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</si>
  <si>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</si>
  <si>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</si>
  <si>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</si>
  <si>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</si>
  <si>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</si>
  <si>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</si>
  <si>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</si>
  <si>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</si>
  <si>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</si>
  <si>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</si>
  <si>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</si>
  <si>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</si>
  <si>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</si>
  <si>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</si>
  <si>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</si>
  <si>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</si>
  <si>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</si>
  <si>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</si>
  <si>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</si>
  <si>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</si>
  <si>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</si>
  <si>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</si>
  <si>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</si>
  <si>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</si>
  <si>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</si>
  <si>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</si>
  <si>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</si>
  <si>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</si>
  <si>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</si>
  <si>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</si>
  <si>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</si>
  <si>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</si>
  <si>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</si>
  <si>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</si>
  <si>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</si>
  <si>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</si>
  <si>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</si>
  <si>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</si>
  <si>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</si>
  <si>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</si>
  <si>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</si>
  <si>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</si>
  <si>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</si>
  <si>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</si>
  <si>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</si>
  <si>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</si>
  <si>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</si>
  <si>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</si>
  <si>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</si>
  <si>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</si>
  <si>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</si>
  <si>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</si>
  <si>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</si>
  <si>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</si>
  <si>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</si>
  <si>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</si>
  <si>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</si>
  <si>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</si>
  <si>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</si>
  <si>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</si>
  <si>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</si>
  <si>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</si>
  <si>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</si>
  <si>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</si>
  <si>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</si>
  <si>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</si>
  <si>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</si>
  <si>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</si>
  <si>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</si>
  <si>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</si>
  <si>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</si>
  <si>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</si>
  <si>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</si>
  <si>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</si>
  <si>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</si>
  <si>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</si>
  <si>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</si>
  <si>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</si>
  <si>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</si>
  <si>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</si>
  <si>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</si>
  <si>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</si>
  <si>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</si>
  <si>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</si>
  <si>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</si>
  <si>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</si>
  <si>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</si>
  <si>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</si>
  <si>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</si>
  <si>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</si>
  <si>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</si>
  <si>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</si>
  <si>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</si>
  <si>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</si>
  <si>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</si>
  <si>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</si>
  <si>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</si>
  <si>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</si>
  <si>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</si>
  <si>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</si>
  <si>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</si>
  <si>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</si>
  <si>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</si>
  <si>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</si>
  <si>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</si>
  <si>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</si>
  <si>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</si>
  <si>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</si>
  <si>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</si>
  <si>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</si>
  <si>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</si>
  <si>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</si>
  <si>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</si>
  <si>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</si>
  <si>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</si>
  <si>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</si>
  <si>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</si>
  <si>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</si>
  <si>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</si>
  <si>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</si>
  <si>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</si>
  <si>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</si>
  <si>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</si>
  <si>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</si>
  <si>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</si>
  <si>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</si>
  <si>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</si>
  <si>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</si>
  <si>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</si>
  <si>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</si>
  <si>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</si>
  <si>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</si>
  <si>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</si>
  <si>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</si>
  <si>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</si>
  <si>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</si>
  <si>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</si>
  <si>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</si>
  <si>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</si>
  <si>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</si>
  <si>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</si>
  <si>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</si>
  <si>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</si>
  <si>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</si>
  <si>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</si>
  <si>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</si>
  <si>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</si>
  <si>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</si>
  <si>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</si>
  <si>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</si>
  <si>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</si>
  <si>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</si>
  <si>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</si>
  <si>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</si>
  <si>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</si>
  <si>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</si>
  <si>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</si>
  <si>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</si>
  <si>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</si>
  <si>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</si>
  <si>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</si>
  <si>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</si>
  <si>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</si>
  <si>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</si>
  <si>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</si>
  <si>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</si>
  <si>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</si>
  <si>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</si>
  <si>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</si>
  <si>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</si>
  <si>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</si>
  <si>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</si>
  <si>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</si>
  <si>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</si>
  <si>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</si>
  <si>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</si>
  <si>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</si>
  <si>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</si>
  <si>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</si>
  <si>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</si>
  <si>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</si>
  <si>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</si>
  <si>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</si>
  <si>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</si>
  <si>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</si>
  <si>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</si>
  <si>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</si>
  <si>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</si>
  <si>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</si>
  <si>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</si>
  <si>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</si>
  <si>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</si>
  <si>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</si>
  <si>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</si>
  <si>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</si>
  <si>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</si>
  <si>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</si>
  <si>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</si>
  <si>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</si>
  <si>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</si>
  <si>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</si>
  <si>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</si>
  <si>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</si>
  <si>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</si>
  <si>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</si>
  <si>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</si>
  <si>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</si>
  <si>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</si>
  <si>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</si>
  <si>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</si>
  <si>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</si>
  <si>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</si>
  <si>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</si>
  <si>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</si>
  <si>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</si>
  <si>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</si>
  <si>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</si>
  <si>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</si>
  <si>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</si>
  <si>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</si>
  <si>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</si>
  <si>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</si>
  <si>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</si>
  <si>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</si>
  <si>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</si>
  <si>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</si>
  <si>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</si>
  <si>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</si>
  <si>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</si>
  <si>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</si>
  <si>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</si>
  <si>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</si>
  <si>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</si>
  <si>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</si>
  <si>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</si>
  <si>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</si>
  <si>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</si>
  <si>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</si>
  <si>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</si>
  <si>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</si>
  <si>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</si>
  <si>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</si>
  <si>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</si>
  <si>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</si>
  <si>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</si>
  <si>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</si>
  <si>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</si>
  <si>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</si>
  <si>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</si>
  <si>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</si>
  <si>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</si>
  <si>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</si>
  <si>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</si>
  <si>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</si>
  <si>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</si>
  <si>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</si>
  <si>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</si>
  <si>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</si>
  <si>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</si>
  <si>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</si>
  <si>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</si>
  <si>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</si>
  <si>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</si>
  <si>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</si>
  <si>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</si>
  <si>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</si>
  <si>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</si>
  <si>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</si>
  <si>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</si>
  <si>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</si>
  <si>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</si>
  <si>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</si>
  <si>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</si>
  <si>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</si>
  <si>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</si>
  <si>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</si>
  <si>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</si>
  <si>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</si>
  <si>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</si>
  <si>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</si>
  <si>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</si>
  <si>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</si>
  <si>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</si>
  <si>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</si>
  <si>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</si>
  <si>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</si>
  <si>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</si>
  <si>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</si>
  <si>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</si>
  <si>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</si>
  <si>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</si>
  <si>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</si>
  <si>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</si>
  <si>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</si>
  <si>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</si>
  <si>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</si>
  <si>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</si>
  <si>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</si>
  <si>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</si>
  <si>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</si>
  <si>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</si>
  <si>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</si>
  <si>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</si>
  <si>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</si>
  <si>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</si>
  <si>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</si>
  <si>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</si>
  <si>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</si>
  <si>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</si>
  <si>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</si>
  <si>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</si>
  <si>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</si>
  <si>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</si>
  <si>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</si>
  <si>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</si>
  <si>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</si>
  <si>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</si>
  <si>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</si>
  <si>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</si>
  <si>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</si>
  <si>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</si>
  <si>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</si>
  <si>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</si>
  <si>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</si>
  <si>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</si>
  <si>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</si>
  <si>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</si>
  <si>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</si>
  <si>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</si>
  <si>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</si>
  <si>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</si>
  <si>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</si>
  <si>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</si>
  <si>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</si>
  <si>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</si>
  <si>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</si>
  <si>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</si>
  <si>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</si>
  <si>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</si>
  <si>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</si>
  <si>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</si>
  <si>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</si>
  <si>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</si>
  <si>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</si>
  <si>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</si>
  <si>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</si>
  <si>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</si>
  <si>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</si>
  <si>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</si>
  <si>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</si>
  <si>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</si>
  <si>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</si>
  <si>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</si>
  <si>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</si>
  <si>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</si>
  <si>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</si>
  <si>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</si>
  <si>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</si>
  <si>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</si>
  <si>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</si>
  <si>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</si>
  <si>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</si>
  <si>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</si>
  <si>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</si>
  <si>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</si>
  <si>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</si>
  <si>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</si>
  <si>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</si>
  <si>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</si>
  <si>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</si>
  <si>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</si>
  <si>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</si>
  <si>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</si>
  <si>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</si>
  <si>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</si>
  <si>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</si>
  <si>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</si>
  <si>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</si>
  <si>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</si>
  <si>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</si>
  <si>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</si>
  <si>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</si>
  <si>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</si>
  <si>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</si>
  <si>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</si>
  <si>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</si>
  <si>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</si>
  <si>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</si>
  <si>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</si>
  <si>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</si>
  <si>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</si>
  <si>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</si>
  <si>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</si>
  <si>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</si>
  <si>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</si>
  <si>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</si>
  <si>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</si>
  <si>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</si>
  <si>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</si>
  <si>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</si>
  <si>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</si>
  <si>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</si>
  <si>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</si>
  <si>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</si>
  <si>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</si>
  <si>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</si>
  <si>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</si>
  <si>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</si>
  <si>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</si>
  <si>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</si>
  <si>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</si>
  <si>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</si>
  <si>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</si>
  <si>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</si>
  <si>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</si>
  <si>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</si>
  <si>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</si>
  <si>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</si>
  <si>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</si>
  <si>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</si>
  <si>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</si>
  <si>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</si>
  <si>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</si>
  <si>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</si>
  <si>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</si>
  <si>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</si>
  <si>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</si>
  <si>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</si>
  <si>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</si>
  <si>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</si>
  <si>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</si>
  <si>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</si>
  <si>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</si>
  <si>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</si>
  <si>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</si>
  <si>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</si>
  <si>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</si>
  <si>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</si>
  <si>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</si>
  <si>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</si>
  <si>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</si>
  <si>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</si>
  <si>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</si>
  <si>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</si>
  <si>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</si>
  <si>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</si>
  <si>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</si>
  <si>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</si>
  <si>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</si>
  <si>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</si>
  <si>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</si>
  <si>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</si>
  <si>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</si>
  <si>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</si>
  <si>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</si>
  <si>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</si>
  <si>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</si>
  <si>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</si>
  <si>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</si>
  <si>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</si>
  <si>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</si>
  <si>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</si>
  <si>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</si>
  <si>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</si>
  <si>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</si>
  <si>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</si>
  <si>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</si>
  <si>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</si>
  <si>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</si>
  <si>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</si>
  <si>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</si>
  <si>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</si>
  <si>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</si>
  <si>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</si>
  <si>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</si>
  <si>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</si>
  <si>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</si>
  <si>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</si>
  <si>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</si>
  <si>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</si>
  <si>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</si>
  <si>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</si>
  <si>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</si>
  <si>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</si>
  <si>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</si>
  <si>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</si>
  <si>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</si>
  <si>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</si>
  <si>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</si>
  <si>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</si>
  <si>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</si>
  <si>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</si>
  <si>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</si>
  <si>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</si>
  <si>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</si>
  <si>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</si>
  <si>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</si>
  <si>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</si>
  <si>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</si>
  <si>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</si>
  <si>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</si>
  <si>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</si>
  <si>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</si>
  <si>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</si>
  <si>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</si>
  <si>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</si>
  <si>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</si>
  <si>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</si>
  <si>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</si>
  <si>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</si>
  <si>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</si>
  <si>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</si>
  <si>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</si>
  <si>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</si>
  <si>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</si>
  <si>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</si>
  <si>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</si>
  <si>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</si>
  <si>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</si>
  <si>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</si>
  <si>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</si>
  <si>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</si>
  <si>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</si>
  <si>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</si>
  <si>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</si>
  <si>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</si>
  <si>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</si>
  <si>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</si>
  <si>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</si>
  <si>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</si>
  <si>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</si>
  <si>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</si>
  <si>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</si>
  <si>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</si>
  <si>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</si>
  <si>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</si>
  <si>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</si>
  <si>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</si>
  <si>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</si>
  <si>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</si>
  <si>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</si>
  <si>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</si>
  <si>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</si>
  <si>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</si>
  <si>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</si>
  <si>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</si>
  <si>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</si>
  <si>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</si>
  <si>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</si>
  <si>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</si>
  <si>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</si>
  <si>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</si>
  <si>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</si>
  <si>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</si>
  <si>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</si>
  <si>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</si>
  <si>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</si>
  <si>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</si>
  <si>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</si>
  <si>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</si>
  <si>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</si>
  <si>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</si>
  <si>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</si>
  <si>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</si>
  <si>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</si>
  <si>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</si>
  <si>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</si>
  <si>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</si>
  <si>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</si>
  <si>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</si>
  <si>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</si>
  <si>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</si>
  <si>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</si>
  <si>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</si>
  <si>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</si>
  <si>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</si>
  <si>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</si>
  <si>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</si>
  <si>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</si>
  <si>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</si>
  <si>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</si>
  <si>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</si>
  <si>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</si>
  <si>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</si>
  <si>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</si>
  <si>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</si>
  <si>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</si>
  <si>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</si>
  <si>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</si>
  <si>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</si>
  <si>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</si>
  <si>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</si>
  <si>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</si>
  <si>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</si>
  <si>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</si>
  <si>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</si>
  <si>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</si>
  <si>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</si>
  <si>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</si>
  <si>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</si>
  <si>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</si>
  <si>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</si>
  <si>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</si>
  <si>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</si>
  <si>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</si>
  <si>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</si>
  <si>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</si>
  <si>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</si>
  <si>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</si>
  <si>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</si>
  <si>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</si>
  <si>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</si>
  <si>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</si>
  <si>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</si>
  <si>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</si>
  <si>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</si>
  <si>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</si>
  <si>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</si>
  <si>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</si>
  <si>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</si>
  <si>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</si>
  <si>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</si>
  <si>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</si>
  <si>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</si>
  <si>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</si>
  <si>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</si>
  <si>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</si>
  <si>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</si>
  <si>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</si>
  <si>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</si>
  <si>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</si>
  <si>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</si>
  <si>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</si>
  <si>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</si>
  <si>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</si>
  <si>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</si>
  <si>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</si>
  <si>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</si>
  <si>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</si>
  <si>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</si>
  <si>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</si>
  <si>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</si>
  <si>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</si>
  <si>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</si>
  <si>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</si>
  <si>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</si>
  <si>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</si>
  <si>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</si>
  <si>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</si>
  <si>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</si>
  <si>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</si>
  <si>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</si>
  <si>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</si>
  <si>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</si>
  <si>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</si>
  <si>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</si>
  <si>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</si>
  <si>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</si>
  <si>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</si>
  <si>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</si>
  <si>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</si>
  <si>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</si>
  <si>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</si>
  <si>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</si>
  <si>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</si>
  <si>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</si>
  <si>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</si>
  <si>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</si>
  <si>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</si>
  <si>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</si>
  <si>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</si>
  <si>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</si>
  <si>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</si>
  <si>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</si>
  <si>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</si>
  <si>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</si>
  <si>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</si>
  <si>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</si>
  <si>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</si>
  <si>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</si>
  <si>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</si>
  <si>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</si>
  <si>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</si>
  <si>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</si>
  <si>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</si>
  <si>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</si>
  <si>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</si>
  <si>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</si>
  <si>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</si>
  <si>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</si>
  <si>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</si>
  <si>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</si>
  <si>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</si>
  <si>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</si>
  <si>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</si>
  <si>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</si>
  <si>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</si>
  <si>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</si>
  <si>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</si>
  <si>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</si>
  <si>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</si>
  <si>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</si>
  <si>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</si>
  <si>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</si>
  <si>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</si>
  <si>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</si>
  <si>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</si>
  <si>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</si>
  <si>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</si>
  <si>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</si>
  <si>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</si>
  <si>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</si>
  <si>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</si>
  <si>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</si>
  <si>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</si>
  <si>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</si>
  <si>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</si>
  <si>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</si>
  <si>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</si>
  <si>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</si>
  <si>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</si>
  <si>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</si>
  <si>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</si>
  <si>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</si>
  <si>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</si>
  <si>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</si>
  <si>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</si>
  <si>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</si>
  <si>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</si>
  <si>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</si>
  <si>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</si>
  <si>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</si>
  <si>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</si>
  <si>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</si>
  <si>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</si>
  <si>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</si>
  <si>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</si>
  <si>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</si>
  <si>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</si>
  <si>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</si>
  <si>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</si>
  <si>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</si>
  <si>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</si>
  <si>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</si>
  <si>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</si>
  <si>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</si>
  <si>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</si>
  <si>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</si>
  <si>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</si>
  <si>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</si>
  <si>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</si>
  <si>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</si>
  <si>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</si>
  <si>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</si>
  <si>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</si>
  <si>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</si>
  <si>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</si>
  <si>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</si>
  <si>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</si>
  <si>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</si>
  <si>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</si>
  <si>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</si>
  <si>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</si>
  <si>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</si>
  <si>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</si>
  <si>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</si>
  <si>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</si>
  <si>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</si>
  <si>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</si>
  <si>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</si>
  <si>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</si>
  <si>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</si>
  <si>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</si>
  <si>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</si>
  <si>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</si>
  <si>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</si>
  <si>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</si>
  <si>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</si>
  <si>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</si>
  <si>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</si>
  <si>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</si>
  <si>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</si>
  <si>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</si>
  <si>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</si>
  <si>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</si>
  <si>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</si>
  <si>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</si>
  <si>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</si>
  <si>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</si>
  <si>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</si>
  <si>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</si>
  <si>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</si>
  <si>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</si>
  <si>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</si>
  <si>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</si>
  <si>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</si>
  <si>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</si>
  <si>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</si>
  <si>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</si>
  <si>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</si>
  <si>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</si>
  <si>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</si>
  <si>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</si>
  <si>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</si>
  <si>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</si>
  <si>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</si>
  <si>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</si>
  <si>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</si>
  <si>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</si>
  <si>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</si>
  <si>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</si>
  <si>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</si>
  <si>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</si>
  <si>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</si>
  <si>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</si>
  <si>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</si>
  <si>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</si>
  <si>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</si>
  <si>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</si>
  <si>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</si>
  <si>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</si>
  <si>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</si>
  <si>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</si>
  <si>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</si>
  <si>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</si>
  <si>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</si>
  <si>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</si>
  <si>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</si>
  <si>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</si>
  <si>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</si>
  <si>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</si>
  <si>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</si>
  <si>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</si>
  <si>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</si>
  <si>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</si>
  <si>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</si>
  <si>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</si>
  <si>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</si>
  <si>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</si>
  <si>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</si>
  <si>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</si>
  <si>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</si>
  <si>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</si>
  <si>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</si>
  <si>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</si>
  <si>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</si>
  <si>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</si>
  <si>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</si>
  <si>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</si>
  <si>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</si>
  <si>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</si>
  <si>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</si>
  <si>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</si>
  <si>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</si>
  <si>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</si>
  <si>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</si>
  <si>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</si>
  <si>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</si>
  <si>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</si>
  <si>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</si>
  <si>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</si>
  <si>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</si>
  <si>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</si>
  <si>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</si>
  <si>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</si>
  <si>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</si>
  <si>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</si>
  <si>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</si>
  <si>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</si>
  <si>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</si>
  <si>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</si>
  <si>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</si>
  <si>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</si>
  <si>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</si>
  <si>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</si>
  <si>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</si>
  <si>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</si>
  <si>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</si>
  <si>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</si>
  <si>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</si>
  <si>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</si>
  <si>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</si>
  <si>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</si>
  <si>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</si>
  <si>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</si>
  <si>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</si>
  <si>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</si>
  <si>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</si>
  <si>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</si>
  <si>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</si>
  <si>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</si>
  <si>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</si>
  <si>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</si>
  <si>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</si>
  <si>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</si>
  <si>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</si>
  <si>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</si>
  <si>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</si>
  <si>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</si>
  <si>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</si>
  <si>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</si>
  <si>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</si>
  <si>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</si>
  <si>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</si>
  <si>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</si>
  <si>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</si>
  <si>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</si>
  <si>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</si>
  <si>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</si>
  <si>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</si>
  <si>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</si>
  <si>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</si>
  <si>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</si>
  <si>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</si>
  <si>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</si>
  <si>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</si>
  <si>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</si>
  <si>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</si>
  <si>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</si>
  <si>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</si>
  <si>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</si>
  <si>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</si>
  <si>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</si>
  <si>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</si>
  <si>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</si>
  <si>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</si>
  <si>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</si>
  <si>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</si>
  <si>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</si>
  <si>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</si>
  <si>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</si>
  <si>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</si>
  <si>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</si>
  <si>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</si>
  <si>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</si>
  <si>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</si>
  <si>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</si>
  <si>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</si>
  <si>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</si>
  <si>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</si>
  <si>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</si>
  <si>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</si>
  <si>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</si>
  <si>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</si>
  <si>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</si>
  <si>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</si>
  <si>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</si>
  <si>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</si>
  <si>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</si>
  <si>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</si>
  <si>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</si>
  <si>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</si>
  <si>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</si>
  <si>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</si>
  <si>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</si>
  <si>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</si>
  <si>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</si>
  <si>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</si>
  <si>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</si>
  <si>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</si>
  <si>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</si>
  <si>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</si>
  <si>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</si>
  <si>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</si>
  <si>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</si>
  <si>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</si>
  <si>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</si>
  <si>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</si>
  <si>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</si>
  <si>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</si>
  <si>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</si>
  <si>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</si>
  <si>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</si>
  <si>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</si>
  <si>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</si>
  <si>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</si>
  <si>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</si>
  <si>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</si>
  <si>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</si>
  <si>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</si>
  <si>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</si>
  <si>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</si>
  <si>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</si>
  <si>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</si>
  <si>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</si>
  <si>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</si>
  <si>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</si>
  <si>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</si>
  <si>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</si>
  <si>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</si>
  <si>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</si>
  <si>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</si>
  <si>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</si>
  <si>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</si>
  <si>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</si>
  <si>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</si>
  <si>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</si>
  <si>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</si>
  <si>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</si>
  <si>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</si>
  <si>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</si>
  <si>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</si>
  <si>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</si>
  <si>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</si>
  <si>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</si>
  <si>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</si>
  <si>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</si>
  <si>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</si>
  <si>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</si>
  <si>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</si>
  <si>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</si>
  <si>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</si>
  <si>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</si>
  <si>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</si>
  <si>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</si>
  <si>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</si>
  <si>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</si>
  <si>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</si>
  <si>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</si>
  <si>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</si>
  <si>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</si>
  <si>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</si>
  <si>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</si>
  <si>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</si>
  <si>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</si>
  <si>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</si>
  <si>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</si>
  <si>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</si>
  <si>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</si>
  <si>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</si>
  <si>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</si>
  <si>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</si>
  <si>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</si>
  <si>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</si>
  <si>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</si>
  <si>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</si>
  <si>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</si>
  <si>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</si>
  <si>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</si>
  <si>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</si>
  <si>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</si>
  <si>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</si>
  <si>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</si>
  <si>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</si>
  <si>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</si>
  <si>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</si>
  <si>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</si>
  <si>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</si>
  <si>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</si>
  <si>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</si>
  <si>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</si>
  <si>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</si>
  <si>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</si>
  <si>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</si>
  <si>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</si>
  <si>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</si>
  <si>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</si>
  <si>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</si>
  <si>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</si>
  <si>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</si>
  <si>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</si>
  <si>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</si>
  <si>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</si>
  <si>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</si>
  <si>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</si>
  <si>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</si>
  <si>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</si>
  <si>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</si>
  <si>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</si>
  <si>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</si>
  <si>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</si>
  <si>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</si>
  <si>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</si>
  <si>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</si>
  <si>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</si>
  <si>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</si>
  <si>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</si>
  <si>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</si>
  <si>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</si>
  <si>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</si>
  <si>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</si>
  <si>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</si>
  <si>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</si>
  <si>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</si>
  <si>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</si>
  <si>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</si>
  <si>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</si>
  <si>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</si>
  <si>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</si>
  <si>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</si>
  <si>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</si>
  <si>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</si>
  <si>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</si>
  <si>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</si>
  <si>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</si>
  <si>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</si>
  <si>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</si>
  <si>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</si>
  <si>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</si>
  <si>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</si>
  <si>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</si>
  <si>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</si>
  <si>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</si>
  <si>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</si>
  <si>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</si>
  <si>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</si>
  <si>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</si>
  <si>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</si>
  <si>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</si>
  <si>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</si>
  <si>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</si>
  <si>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</si>
  <si>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</si>
  <si>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</si>
  <si>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</si>
  <si>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</si>
  <si>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</si>
  <si>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</si>
  <si>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</si>
  <si>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</si>
  <si>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</si>
  <si>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</si>
  <si>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</si>
  <si>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</si>
  <si>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</si>
  <si>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</si>
  <si>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</si>
  <si>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</si>
  <si>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</si>
  <si>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</si>
  <si>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</si>
  <si>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</si>
  <si>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</si>
  <si>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</si>
  <si>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</si>
  <si>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</si>
  <si>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</si>
  <si>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</si>
  <si>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</si>
  <si>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</si>
  <si>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</si>
  <si>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</si>
  <si>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</si>
  <si>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</si>
  <si>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</si>
  <si>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</si>
  <si>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</si>
  <si>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</si>
  <si>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</si>
  <si>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</si>
  <si>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</si>
  <si>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</si>
  <si>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</si>
  <si>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</si>
  <si>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</si>
  <si>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</si>
  <si>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</si>
  <si>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</si>
  <si>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</si>
  <si>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</si>
  <si>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</si>
  <si>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</si>
  <si>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</si>
  <si>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</si>
  <si>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</si>
  <si>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</si>
  <si>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</si>
  <si>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</si>
  <si>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</si>
  <si>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</si>
  <si>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</si>
  <si>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</si>
  <si>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</si>
  <si>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</si>
  <si>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</si>
  <si>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</si>
  <si>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</si>
  <si>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</si>
  <si>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</si>
  <si>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</si>
  <si>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</si>
  <si>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</si>
  <si>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</si>
  <si>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</si>
  <si>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</si>
  <si>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</si>
  <si>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</si>
  <si>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</si>
  <si>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</si>
  <si>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</si>
  <si>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</si>
  <si>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</si>
  <si>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</si>
  <si>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</si>
  <si>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</si>
  <si>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</si>
  <si>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</si>
  <si>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</si>
  <si>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</si>
  <si>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</si>
  <si>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</si>
  <si>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</si>
  <si>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</si>
  <si>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</si>
  <si>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</si>
  <si>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</si>
  <si>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</si>
  <si>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</si>
  <si>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</si>
  <si>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</si>
  <si>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</si>
  <si>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</si>
  <si>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</si>
  <si>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</si>
  <si>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</si>
  <si>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</si>
  <si>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</si>
  <si>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</si>
  <si>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</si>
  <si>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</si>
  <si>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</si>
  <si>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</si>
  <si>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</si>
  <si>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</si>
  <si>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</si>
  <si>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</si>
  <si>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</si>
  <si>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</si>
  <si>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</si>
  <si>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</si>
  <si>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</si>
  <si>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</si>
  <si>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</si>
  <si>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</si>
  <si>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</si>
  <si>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</si>
  <si>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</si>
  <si>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</si>
  <si>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</si>
  <si>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</si>
  <si>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</si>
  <si>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</si>
  <si>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</si>
  <si>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</si>
  <si>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</si>
  <si>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</si>
  <si>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</si>
  <si>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</si>
  <si>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</si>
  <si>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</si>
  <si>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</si>
  <si>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</si>
  <si>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</si>
  <si>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</si>
  <si>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</si>
  <si>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</si>
  <si>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</si>
  <si>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</si>
  <si>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</si>
  <si>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</si>
  <si>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</si>
  <si>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</si>
  <si>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</si>
  <si>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</si>
  <si>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</si>
  <si>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</si>
  <si>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</si>
  <si>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</si>
  <si>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</si>
  <si>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</si>
  <si>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</si>
  <si>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</si>
  <si>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</si>
  <si>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</si>
  <si>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</si>
  <si>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</si>
  <si>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</si>
  <si>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</si>
  <si>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</si>
  <si>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</si>
  <si>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</si>
  <si>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</si>
  <si>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</si>
  <si>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</si>
  <si>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</si>
  <si>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</si>
  <si>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</si>
  <si>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</si>
  <si>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</si>
  <si>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</si>
  <si>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</si>
  <si>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</si>
  <si>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</si>
  <si>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</si>
  <si>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</si>
  <si>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</si>
  <si>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</si>
  <si>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</si>
  <si>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</si>
  <si>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</si>
  <si>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</si>
  <si>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</si>
  <si>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</si>
  <si>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</si>
  <si>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</si>
  <si>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</si>
  <si>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</si>
  <si>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</si>
  <si>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</si>
  <si>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</si>
  <si>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</si>
  <si>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</si>
  <si>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</si>
  <si>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</si>
  <si>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</si>
  <si>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</si>
  <si>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</si>
  <si>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</si>
  <si>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</si>
  <si>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</si>
  <si>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</si>
  <si>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</si>
  <si>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</si>
  <si>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</si>
  <si>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</si>
  <si>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</si>
  <si>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</si>
  <si>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</si>
  <si>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</si>
  <si>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</si>
  <si>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</si>
  <si>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</si>
  <si>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</si>
  <si>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</si>
  <si>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</si>
  <si>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</si>
  <si>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</si>
  <si>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</si>
  <si>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</si>
  <si>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</si>
  <si>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</si>
  <si>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</si>
  <si>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</si>
  <si>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</si>
  <si>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</si>
  <si>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</si>
  <si>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</si>
  <si>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</si>
  <si>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</si>
  <si>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</si>
  <si>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</si>
  <si>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</si>
  <si>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</si>
  <si>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</si>
  <si>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</si>
  <si>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</si>
  <si>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</si>
  <si>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</si>
  <si>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</si>
  <si>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</si>
  <si>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</si>
  <si>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</si>
  <si>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</si>
  <si>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</si>
  <si>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</si>
  <si>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</si>
  <si>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</si>
  <si>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</si>
  <si>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</si>
  <si>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</si>
  <si>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</si>
  <si>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</si>
  <si>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</si>
  <si>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</si>
  <si>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</si>
  <si>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</si>
  <si>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</si>
  <si>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</si>
  <si>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</si>
  <si>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</si>
  <si>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</si>
  <si>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</si>
  <si>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</si>
  <si>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</si>
  <si>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</si>
  <si>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</si>
  <si>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</si>
  <si>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</si>
  <si>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</si>
  <si>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</si>
  <si>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</si>
  <si>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</si>
  <si>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</si>
  <si>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</si>
  <si>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</si>
  <si>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</si>
  <si>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</si>
  <si>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</si>
  <si>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</si>
  <si>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</si>
  <si>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</si>
  <si>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</si>
  <si>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抵押</t>
  </si>
  <si>
    <t>房地产抵押价值</t>
  </si>
  <si>
    <t>北京市</t>
  </si>
  <si>
    <t>企业</t>
  </si>
  <si>
    <t>是</t>
  </si>
  <si>
    <t>地上</t>
  </si>
  <si>
    <t>独立商业</t>
  </si>
  <si>
    <t>商业</t>
    <phoneticPr fontId="7" type="noConversion"/>
  </si>
  <si>
    <t>利息：取LPR加浮动点数</t>
  </si>
  <si>
    <t>成新度</t>
  </si>
  <si>
    <t>收益法</t>
  </si>
  <si>
    <t>押一</t>
  </si>
  <si>
    <t>钢混</t>
  </si>
  <si>
    <t>非生产用房</t>
  </si>
  <si>
    <t>按租金收入计税</t>
  </si>
  <si>
    <t>未包含在土地购买价格中</t>
  </si>
  <si>
    <t>全部缴纳</t>
  </si>
  <si>
    <t>成本法</t>
  </si>
  <si>
    <t>总价</t>
  </si>
  <si>
    <t>成本比率</t>
  </si>
  <si>
    <t>通成达大厦</t>
    <phoneticPr fontId="140" type="noConversion"/>
  </si>
  <si>
    <t>租金</t>
    <phoneticPr fontId="140" type="noConversion"/>
  </si>
  <si>
    <t>建筑面积</t>
    <phoneticPr fontId="140" type="noConversion"/>
  </si>
  <si>
    <t>国门大厦</t>
    <phoneticPr fontId="140" type="noConversion"/>
  </si>
  <si>
    <t>第三置业大厦</t>
    <phoneticPr fontId="140" type="noConversion"/>
  </si>
  <si>
    <t>中冶大厦</t>
    <phoneticPr fontId="140" type="noConversion"/>
  </si>
  <si>
    <t>时间国际</t>
    <phoneticPr fontId="140" type="noConversion"/>
  </si>
  <si>
    <t>静安中心</t>
    <phoneticPr fontId="140" type="noConversion"/>
  </si>
  <si>
    <t>豪成大厦</t>
    <phoneticPr fontId="140" type="noConversion"/>
  </si>
  <si>
    <t>基准地价</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</si>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</sst>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113" fillId="0" borderId="23" xfId="0" applyFont="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04" fillId="5" borderId="1" xfId="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66674</xdr:rowOff>
    </xdr:from>
    <xdr:to>
      <xdr:col>11</xdr:col>
      <xdr:colOff>8807</xdr:colOff>
      <xdr:row>23</xdr:row>
      <xdr:rowOff>123133</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66674"/>
          <a:ext cx="7476407" cy="3999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E000586&#38745;&#23433;&#35199;&#34903;-&#22522;&#20934;&#22320;&#20215;-&#29579;&#26342;20221107-1024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C6">
            <v>23000</v>
          </cell>
        </row>
        <row r="18">
          <cell r="V18">
            <v>13235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8">
          <cell r="V18">
            <v>13235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估价对象为北京市房地产，为所有。根据《国有土地使用证》[]，估价对象（分摊）出让国有建设用地使用权面积为0平方米，建筑面积为6531.86平方米。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估价对象为北京市房地产,属开发建设的，该项目尚在开发建设中。根据《国有土地使用证》[]，估价对象（分摊）出让国有建设用地使用权面积为0平方米，规划建筑面积为6531.86平方米。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2022年11月4日</v>
      </c>
    </row>
    <row r="13" spans="1:2" s="1318" customFormat="1">
      <c r="A13" s="1316" t="s">
        <v>954</v>
      </c>
      <c r="B13" s="1317" t="str">
        <f>'预评函-1'!A18</f>
        <v>本次估价的“房地产价值”是指在正常市场情况下，在价值时点2022年11月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18786</v>
      </c>
    </row>
    <row r="21" spans="1:2" s="1318" customFormat="1">
      <c r="A21" s="1316" t="s">
        <v>962</v>
      </c>
      <c r="B21" s="1317">
        <f ca="1">'预评函-2'!D7</f>
        <v>28761</v>
      </c>
    </row>
    <row r="22" spans="1:2" s="1318" customFormat="1">
      <c r="A22" s="1316" t="s">
        <v>963</v>
      </c>
      <c r="B22" s="1317" t="str">
        <f ca="1">'预评函-2'!D6</f>
        <v>壹亿捌仟柒佰捌拾陆万元整</v>
      </c>
    </row>
    <row r="23" spans="1:2" s="1318" customFormat="1">
      <c r="A23" s="1316" t="s">
        <v>1014</v>
      </c>
      <c r="B23" s="1317" t="str">
        <f>'预评函-2'!B8</f>
        <v>2.估价师知悉的法定优先受偿款</v>
      </c>
    </row>
    <row r="24" spans="1:2" s="1318" customFormat="1">
      <c r="A24" s="1316" t="s">
        <v>1020</v>
      </c>
      <c r="B24" s="1317">
        <f>'预评函-2'!D8</f>
        <v>3410</v>
      </c>
    </row>
    <row r="25" spans="1:2" s="1318" customFormat="1">
      <c r="A25" s="1316" t="s">
        <v>964</v>
      </c>
      <c r="B25" s="1317" t="str">
        <f>'预评函-2'!D9</f>
        <v>叁仟肆佰壹拾万元整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3410</v>
      </c>
    </row>
    <row r="29" spans="1:2" s="1318" customFormat="1">
      <c r="A29" s="1316" t="s">
        <v>1018</v>
      </c>
      <c r="B29" s="1317" t="str">
        <f>'预评函-2'!B13</f>
        <v>3.房地产抵押价值</v>
      </c>
    </row>
    <row r="30" spans="1:2" s="1318" customFormat="1">
      <c r="A30" s="1316" t="s">
        <v>1019</v>
      </c>
      <c r="B30" s="1317">
        <f ca="1">'预评函-2'!D13</f>
        <v>15376</v>
      </c>
    </row>
    <row r="31" spans="1:2" s="1318" customFormat="1">
      <c r="A31" s="1316" t="s">
        <v>1001</v>
      </c>
      <c r="B31" s="1317">
        <f ca="1">'预评函-2'!D15</f>
        <v>23540</v>
      </c>
    </row>
    <row r="32" spans="1:2" s="1318" customFormat="1">
      <c r="A32" s="1316" t="s">
        <v>968</v>
      </c>
      <c r="B32" s="1317" t="str">
        <f ca="1">'预评函-2'!D14</f>
        <v>壹亿伍仟叁佰柒拾陆万元整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6531.86</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f ca="1">'预评函-3'!D4</f>
        <v>16720</v>
      </c>
    </row>
    <row r="48" spans="1:2" s="1318" customFormat="1">
      <c r="A48" s="1316" t="s">
        <v>974</v>
      </c>
      <c r="B48" s="1317">
        <f ca="1">'预评函-3'!E4</f>
        <v>25598</v>
      </c>
    </row>
    <row r="49" spans="1:2" s="1318" customFormat="1">
      <c r="A49" s="1316" t="s">
        <v>975</v>
      </c>
      <c r="B49" s="1317" t="str">
        <f ca="1">'预评函-3'!D5</f>
        <v>壹亿陆仟柒佰贰拾万元整</v>
      </c>
    </row>
    <row r="50" spans="1:2" s="1318" customFormat="1">
      <c r="A50" s="1316" t="s">
        <v>999</v>
      </c>
      <c r="B50" s="1317" t="str">
        <f>'预评函-3'!F2</f>
        <v>在建建筑物价值</v>
      </c>
    </row>
    <row r="51" spans="1:2" s="1318" customFormat="1">
      <c r="A51" s="1316" t="s">
        <v>976</v>
      </c>
      <c r="B51" s="1317">
        <f ca="1">'预评函-3'!F4</f>
        <v>2066</v>
      </c>
    </row>
    <row r="52" spans="1:2" s="1318" customFormat="1">
      <c r="A52" s="1316" t="s">
        <v>977</v>
      </c>
      <c r="B52" s="1317">
        <f ca="1">'预评函-3'!G4</f>
        <v>3163</v>
      </c>
    </row>
    <row r="53" spans="1:2" s="1318" customFormat="1">
      <c r="A53" s="1316" t="s">
        <v>1005</v>
      </c>
      <c r="B53" s="1317" t="str">
        <f ca="1">'预评函-3'!F5</f>
        <v>贰仟零陆拾陆万元整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故，本次评估估价师知悉的法定优先受偿款为人民币3410万元整。</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2793</v>
      </c>
      <c r="C17" s="1683"/>
    </row>
    <row r="18" spans="1:3">
      <c r="A18" s="1682" t="s">
        <v>1490</v>
      </c>
      <c r="B18" s="1682" t="s">
        <v>2937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90" t="s">
        <v>651</v>
      </c>
      <c r="C54" s="1687" t="s">
        <v>1008</v>
      </c>
    </row>
    <row r="55" spans="1:4">
      <c r="A55" s="3276"/>
      <c r="B55" s="1690" t="s">
        <v>652</v>
      </c>
      <c r="C55" s="1687" t="s">
        <v>1009</v>
      </c>
    </row>
    <row r="56" spans="1:4">
      <c r="A56" s="3276"/>
      <c r="B56" s="1690" t="s">
        <v>653</v>
      </c>
      <c r="C56" s="1687" t="s">
        <v>1013</v>
      </c>
    </row>
    <row r="57" spans="1:4">
      <c r="A57" s="32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1" sqref="H2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77" t="str">
        <f>IF(B10="北京市","北京市",C10)&amp;F10&amp;IF(结果表!G1="在建","出让国有建设用地使用权及在建建筑物",IF(结果表!G1="土地","出让国有建设用地使用权",))&amp;B9&amp;"预评估"</f>
        <v>北京市房地产抵押价值预评估</v>
      </c>
      <c r="C1" s="3278"/>
      <c r="D1" s="3278"/>
      <c r="E1" s="3278"/>
      <c r="F1" s="3278"/>
      <c r="G1" s="3278"/>
      <c r="H1" s="3278"/>
      <c r="I1" s="3279"/>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44869</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3175</v>
      </c>
      <c r="C8" s="2564"/>
      <c r="D8" s="3280" t="s">
        <v>2677</v>
      </c>
      <c r="E8" s="2565" t="s">
        <v>3176</v>
      </c>
      <c r="F8" s="2566"/>
      <c r="G8" s="2840"/>
      <c r="H8" s="2840"/>
      <c r="I8" s="2840"/>
      <c r="J8" s="2615"/>
      <c r="K8" s="2790"/>
      <c r="L8" s="2789"/>
      <c r="M8" s="2789"/>
      <c r="N8" s="2615"/>
      <c r="O8" s="2626"/>
      <c r="P8" s="2615"/>
      <c r="Q8" s="2615"/>
      <c r="R8" s="2615"/>
    </row>
    <row r="9" spans="1:28" ht="13.5" thickBot="1">
      <c r="A9" s="2567" t="s">
        <v>2678</v>
      </c>
      <c r="B9" s="2568" t="s">
        <v>3176</v>
      </c>
      <c r="C9" s="2569"/>
      <c r="D9" s="3281"/>
      <c r="E9" s="2568" t="s">
        <v>70</v>
      </c>
      <c r="F9" s="2570"/>
      <c r="G9" s="2842"/>
      <c r="H9" s="2842"/>
      <c r="I9" s="2842"/>
      <c r="J9" s="2615"/>
      <c r="K9" s="2792"/>
      <c r="L9" s="2789"/>
      <c r="M9" s="2789"/>
      <c r="N9" s="2615"/>
      <c r="O9" s="2626"/>
      <c r="P9" s="2615"/>
      <c r="Q9" s="2615"/>
      <c r="R9" s="2615"/>
    </row>
    <row r="10" spans="1:28" ht="13.5" thickTop="1">
      <c r="A10" s="2571" t="s">
        <v>2679</v>
      </c>
      <c r="B10" s="2572" t="s">
        <v>3177</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3178</v>
      </c>
      <c r="C11" s="2577"/>
      <c r="D11" s="2578"/>
      <c r="E11" s="2544"/>
      <c r="F11" s="2544"/>
      <c r="G11" s="2544"/>
      <c r="H11" s="2544"/>
      <c r="I11" s="2544"/>
      <c r="J11" s="2615"/>
      <c r="K11" s="2792"/>
      <c r="L11" s="2789"/>
      <c r="M11" s="2789"/>
      <c r="N11" s="2615"/>
      <c r="O11" s="2626"/>
      <c r="P11" s="2615"/>
      <c r="Q11" s="2615"/>
      <c r="R11" s="2615"/>
    </row>
    <row r="12" spans="1:28">
      <c r="A12" s="2579" t="s">
        <v>2682</v>
      </c>
      <c r="B12" s="2576" t="s">
        <v>3174</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v>59479</v>
      </c>
      <c r="F13" s="946"/>
      <c r="G13" s="946"/>
      <c r="H13" s="946"/>
      <c r="I13" s="946"/>
      <c r="J13" s="2615"/>
      <c r="K13" s="2792"/>
      <c r="L13" s="2789"/>
      <c r="M13" s="2789"/>
      <c r="N13" s="2615"/>
      <c r="O13" s="2626"/>
      <c r="P13" s="2615"/>
      <c r="Q13" s="2615"/>
      <c r="R13" s="2615"/>
    </row>
    <row r="14" spans="1:28">
      <c r="A14" s="1194"/>
      <c r="B14" s="2581"/>
      <c r="C14" s="2582" t="s">
        <v>2691</v>
      </c>
      <c r="D14" s="2583"/>
      <c r="E14" s="2583">
        <v>40</v>
      </c>
      <c r="F14" s="2583"/>
      <c r="G14" s="2583"/>
      <c r="H14" s="2583"/>
      <c r="I14" s="2583"/>
      <c r="J14" s="2615"/>
      <c r="K14" s="2793"/>
      <c r="L14" s="2789"/>
      <c r="M14" s="2789"/>
      <c r="N14" s="2615"/>
      <c r="O14" s="2626"/>
      <c r="P14" s="2615"/>
      <c r="Q14" s="2615"/>
      <c r="R14" s="2615"/>
    </row>
    <row r="15" spans="1:28">
      <c r="A15" s="326"/>
      <c r="B15" s="2584"/>
      <c r="C15" s="2585" t="s">
        <v>2692</v>
      </c>
      <c r="D15" s="2586" t="str">
        <f>IF(B12="出让",IF(D13="","",ROUNDDOWN(MIN((D13-$D$3)/365,D14),2)),D14)</f>
        <v/>
      </c>
      <c r="E15" s="2586">
        <f>IF(B12="出让",IF(E13="","",ROUNDDOWN(MIN((E13-$D$3)/365,E14),2)),E14)</f>
        <v>40</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2693</v>
      </c>
      <c r="B16" s="3287"/>
      <c r="C16" s="3288"/>
      <c r="D16" s="3289"/>
      <c r="E16" s="2589" t="s">
        <v>2694</v>
      </c>
      <c r="F16" s="3290"/>
      <c r="G16" s="3291"/>
      <c r="H16" s="3291"/>
      <c r="I16" s="3292"/>
      <c r="J16" s="2615"/>
      <c r="K16" s="2794"/>
      <c r="L16" s="2627"/>
      <c r="M16" s="2627"/>
      <c r="N16" s="2685"/>
      <c r="O16" s="2627"/>
      <c r="P16" s="2685"/>
      <c r="Q16" s="2615"/>
      <c r="R16" s="2615"/>
    </row>
    <row r="17" spans="1:28">
      <c r="A17" s="319" t="s">
        <v>2695</v>
      </c>
      <c r="B17" s="308" t="s">
        <v>2696</v>
      </c>
      <c r="C17" s="11">
        <f>'数据-汇总表'!E3</f>
        <v>6531.86</v>
      </c>
      <c r="D17" s="2496" t="s">
        <v>2697</v>
      </c>
      <c r="E17" s="3293" t="s">
        <v>2698</v>
      </c>
      <c r="F17" s="3294"/>
      <c r="G17" s="3294"/>
      <c r="H17" s="3294"/>
      <c r="I17" s="3295"/>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0</v>
      </c>
      <c r="D18" s="1205" t="s">
        <v>2701</v>
      </c>
      <c r="E18" s="3296" t="s">
        <v>2702</v>
      </c>
      <c r="F18" s="3297"/>
      <c r="G18" s="3297"/>
      <c r="H18" s="3297"/>
      <c r="I18" s="3298"/>
      <c r="J18" s="2615"/>
      <c r="K18" s="2795"/>
      <c r="L18" s="2627"/>
      <c r="M18" s="2627"/>
      <c r="N18" s="2685"/>
      <c r="O18" s="2627"/>
      <c r="P18" s="2685"/>
      <c r="Q18" s="2615"/>
      <c r="R18" s="2615"/>
      <c r="S18" s="2615"/>
      <c r="T18" s="2615"/>
      <c r="U18" s="2615"/>
      <c r="V18" s="2615"/>
    </row>
    <row r="19" spans="1:28" ht="37.5" thickTop="1" thickBot="1">
      <c r="A19" s="333" t="s">
        <v>1499</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83" t="s">
        <v>2706</v>
      </c>
      <c r="C20" s="3284"/>
      <c r="D20" s="3285" t="s">
        <v>2707</v>
      </c>
      <c r="E20" s="3286"/>
      <c r="F20" s="2824" t="s">
        <v>1500</v>
      </c>
      <c r="G20" s="2841"/>
      <c r="H20" s="2841"/>
      <c r="I20" s="2841"/>
      <c r="J20" s="2615"/>
      <c r="K20" s="3282"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1501</v>
      </c>
      <c r="D21" s="1704" t="s">
        <v>2710</v>
      </c>
      <c r="E21" s="2812" t="s">
        <v>1501</v>
      </c>
      <c r="F21" s="2825"/>
      <c r="G21" s="2841"/>
      <c r="H21" s="2841"/>
      <c r="I21" s="2841"/>
      <c r="J21" s="2615"/>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1502</v>
      </c>
      <c r="D22" s="2840"/>
      <c r="E22" s="2840"/>
      <c r="F22" s="2840"/>
      <c r="G22" s="2841"/>
      <c r="H22" s="2841"/>
      <c r="I22" s="2841"/>
      <c r="J22" s="2615"/>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1503</v>
      </c>
      <c r="C24" s="2818"/>
      <c r="D24" s="2814" t="s">
        <v>1503</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1504</v>
      </c>
      <c r="C25" s="2818"/>
      <c r="D25" s="2814" t="s">
        <v>1504</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1505</v>
      </c>
      <c r="C26" s="2822"/>
      <c r="D26" s="2820" t="s">
        <v>1505</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0"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0"/>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0"/>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1"/>
      <c r="B30" s="308" t="s">
        <v>2718</v>
      </c>
      <c r="C30" s="3302"/>
      <c r="D30" s="3303"/>
      <c r="E30" s="2841"/>
      <c r="F30" s="2841"/>
      <c r="G30" s="2841"/>
      <c r="H30" s="2841"/>
      <c r="I30" s="2841"/>
      <c r="J30" s="2615"/>
      <c r="K30" s="2792"/>
      <c r="L30" s="2789"/>
      <c r="M30" s="2789"/>
      <c r="N30" s="2615"/>
      <c r="O30" s="2626"/>
      <c r="P30" s="2615"/>
      <c r="Q30" s="2615"/>
      <c r="R30" s="2615"/>
      <c r="S30" s="2615"/>
      <c r="T30" s="2615"/>
      <c r="U30" s="2615"/>
      <c r="V30" s="2615"/>
    </row>
    <row r="31" spans="1:28">
      <c r="A31" s="3304"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5"/>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5"/>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299" t="s">
        <v>2728</v>
      </c>
      <c r="T34" s="2604" t="str">
        <f>NUMBERSTRING(7-K34,1)&amp;"通"</f>
        <v>七通</v>
      </c>
      <c r="U34" s="2615"/>
      <c r="V34" s="2615"/>
    </row>
    <row r="35" spans="1:30">
      <c r="A35" s="2605"/>
      <c r="B35" s="3306" t="s">
        <v>2729</v>
      </c>
      <c r="C35" s="3306"/>
      <c r="D35" s="3306"/>
      <c r="E35" s="3306"/>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t="s">
        <v>441</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t="s">
        <v>382</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6531.86</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6531.86</v>
      </c>
      <c r="H5" s="16">
        <f t="shared" ref="H5:AT5" si="0">SUM(H13:H656)</f>
        <v>5413.53</v>
      </c>
      <c r="I5" s="16">
        <f t="shared" si="0"/>
        <v>5413.53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1118.33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1118.33</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6531.86</v>
      </c>
      <c r="BA5" s="18">
        <f t="shared" si="1"/>
        <v>5413.53</v>
      </c>
      <c r="BB5" s="18">
        <f t="shared" si="1"/>
        <v>5413.53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1118.33</v>
      </c>
      <c r="BM5" s="18">
        <f t="shared" si="1"/>
        <v>0</v>
      </c>
      <c r="BN5" s="18">
        <f t="shared" si="1"/>
        <v>0</v>
      </c>
      <c r="BO5" s="18">
        <f t="shared" si="1"/>
        <v>0</v>
      </c>
      <c r="BP5" s="18">
        <f t="shared" si="1"/>
        <v>0</v>
      </c>
      <c r="BQ5" s="18">
        <f t="shared" si="1"/>
        <v>0</v>
      </c>
      <c r="BR5" s="18">
        <f t="shared" si="1"/>
        <v>1118.33</v>
      </c>
      <c r="BS5" s="18">
        <f t="shared" si="1"/>
        <v>0</v>
      </c>
      <c r="BT5" s="19">
        <f t="shared" si="1"/>
        <v>0</v>
      </c>
    </row>
    <row r="6" spans="1:72" s="1725" customFormat="1" ht="12.75">
      <c r="A6" s="15" t="s">
        <v>1516</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3180</v>
      </c>
      <c r="J9" s="899"/>
      <c r="K9" s="1739"/>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f>K9</f>
        <v>0</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3181</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3179</v>
      </c>
      <c r="E13" s="16">
        <f>IF($C$3="是",ROUND($A$3*G13/$B$3,2),ROUND($A$3*(G13-AT13)/$B$3,2))</f>
        <v>0</v>
      </c>
      <c r="F13" s="32"/>
      <c r="G13" s="33">
        <f>H13+AC13+AT13</f>
        <v>6531.86</v>
      </c>
      <c r="H13" s="20">
        <f>SUMIF(I$12:AB$12,"总值",I13:AB13)</f>
        <v>5413.53</v>
      </c>
      <c r="I13" s="1762">
        <v>5413.53</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1118.33</v>
      </c>
      <c r="AD13" s="1763"/>
      <c r="AE13" s="1763"/>
      <c r="AF13" s="1763"/>
      <c r="AG13" s="1763"/>
      <c r="AH13" s="1763"/>
      <c r="AI13" s="1763"/>
      <c r="AJ13" s="1763"/>
      <c r="AK13" s="1763"/>
      <c r="AL13" s="1763"/>
      <c r="AM13" s="1763"/>
      <c r="AN13" s="1763">
        <f>999.96+118.37</f>
        <v>1118.33</v>
      </c>
      <c r="AO13" s="1763"/>
      <c r="AP13" s="1763"/>
      <c r="AQ13" s="1763"/>
      <c r="AR13" s="1763"/>
      <c r="AS13" s="1763"/>
      <c r="AT13" s="1764"/>
      <c r="AU13" s="1765"/>
      <c r="AV13" s="11">
        <f t="shared" ref="AV13:AX17" si="6">A13</f>
        <v>0</v>
      </c>
      <c r="AW13" s="11">
        <f t="shared" si="6"/>
        <v>0</v>
      </c>
      <c r="AX13" s="11">
        <f t="shared" si="6"/>
        <v>0</v>
      </c>
      <c r="AY13" s="1484">
        <f>ROUND($AY$6*AZ13/$AZ$5,2)</f>
        <v>0</v>
      </c>
      <c r="AZ13" s="16">
        <f>BA13+BL13</f>
        <v>6531.86</v>
      </c>
      <c r="BA13" s="16">
        <f>SUM(BB13:BK13)</f>
        <v>5413.53</v>
      </c>
      <c r="BB13" s="16">
        <f>IF($D13="是",I13-J13,0)</f>
        <v>5413.53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1118.33</v>
      </c>
      <c r="BM13" s="16">
        <f>IF($D13="是",AD13-AE13,0)</f>
        <v>0</v>
      </c>
      <c r="BN13" s="16">
        <f>IF($D13="是",AF13-AG13,0)</f>
        <v>0</v>
      </c>
      <c r="BO13" s="16">
        <f>IF($D13="是",AH13-AI13,0)</f>
        <v>0</v>
      </c>
      <c r="BP13" s="16">
        <f>IF($D13="是",AJ13-AK13,0)</f>
        <v>0</v>
      </c>
      <c r="BQ13" s="16">
        <f>IF($D13="是",AL13-AM13,0)</f>
        <v>0</v>
      </c>
      <c r="BR13" s="16">
        <f>IF($D13="是",AN13-AO13,0)</f>
        <v>1118.33</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7" sqref="G5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18" t="s">
        <v>1575</v>
      </c>
      <c r="B2" s="3318"/>
      <c r="C2" s="3318"/>
      <c r="D2" s="885" t="s">
        <v>1551</v>
      </c>
      <c r="E2" s="1775" t="s">
        <v>1552</v>
      </c>
      <c r="F2" s="2836"/>
      <c r="G2" s="2827"/>
      <c r="H2" s="2828"/>
      <c r="I2" s="2499" t="s">
        <v>1576</v>
      </c>
      <c r="J2" s="2836"/>
      <c r="K2" s="2836"/>
      <c r="L2" s="2836"/>
      <c r="M2" s="2836"/>
      <c r="N2" s="2838"/>
      <c r="O2" s="2836"/>
      <c r="P2" s="2836"/>
    </row>
    <row r="3" spans="1:16" ht="15.75" thickBot="1">
      <c r="A3" s="3319" t="s">
        <v>1549</v>
      </c>
      <c r="B3" s="3319"/>
      <c r="C3" s="3319"/>
      <c r="D3" s="46">
        <f>'数据-基础表'!AY6</f>
        <v>0</v>
      </c>
      <c r="E3" s="46">
        <f>'数据-基础表'!AZ5</f>
        <v>6531.86</v>
      </c>
      <c r="F3" s="2836"/>
      <c r="G3" s="1260"/>
      <c r="H3" s="1138" t="s">
        <v>1550</v>
      </c>
      <c r="I3" s="945" t="e">
        <f>ROUND('数据-基础表'!B3/'数据-基础表'!A3,2)</f>
        <v>#DIV/0!</v>
      </c>
      <c r="J3" s="2836"/>
      <c r="K3" s="2836"/>
      <c r="L3" s="2836"/>
      <c r="M3" s="2836"/>
      <c r="N3" s="2838"/>
      <c r="O3" s="2836"/>
      <c r="P3" s="2836"/>
    </row>
    <row r="4" spans="1:16" ht="15">
      <c r="A4" s="3320"/>
      <c r="B4" s="3321"/>
      <c r="C4" s="3322"/>
      <c r="D4" s="1777" t="s">
        <v>1551</v>
      </c>
      <c r="E4" s="1778" t="s">
        <v>1552</v>
      </c>
      <c r="F4" s="2836"/>
      <c r="G4" s="2829" t="s">
        <v>1577</v>
      </c>
      <c r="H4" s="1138" t="s">
        <v>1557</v>
      </c>
      <c r="I4" s="945" t="e">
        <f>ROUND(SUMIF('数据-基础表'!I9:AS9,"地上",'数据-基础表'!I5:AS5)/'数据-基础表'!A3,2)</f>
        <v>#DIV/0!</v>
      </c>
      <c r="J4" s="2836"/>
      <c r="K4" s="2836"/>
      <c r="L4" s="2836"/>
      <c r="M4" s="2836"/>
      <c r="N4" s="2838"/>
      <c r="O4" s="2836"/>
      <c r="P4" s="2836"/>
    </row>
    <row r="5" spans="1:16">
      <c r="A5" s="47" t="s">
        <v>1553</v>
      </c>
      <c r="B5" s="3323" t="s">
        <v>1554</v>
      </c>
      <c r="C5" s="3323"/>
      <c r="D5" s="48">
        <f>ROUND($D$3*E5/$E$3,2)</f>
        <v>0</v>
      </c>
      <c r="E5" s="49">
        <f>SUMIF('数据-基础表'!$11:$11,"住宅",'数据-基础表'!$5:$5)</f>
        <v>0</v>
      </c>
      <c r="F5" s="2836"/>
      <c r="G5" s="1260"/>
      <c r="H5" s="1138" t="s">
        <v>1550</v>
      </c>
      <c r="I5" s="945" t="e">
        <f>ROUND(E31/D31,2)</f>
        <v>#DIV/0!</v>
      </c>
      <c r="J5" s="2836"/>
      <c r="K5" s="2836"/>
      <c r="L5" s="2836"/>
      <c r="M5" s="2836"/>
      <c r="N5" s="2836"/>
      <c r="O5" s="2836"/>
      <c r="P5" s="2836"/>
    </row>
    <row r="6" spans="1:16" ht="15" thickBot="1">
      <c r="A6" s="1780"/>
      <c r="B6" s="3323" t="s">
        <v>1555</v>
      </c>
      <c r="C6" s="3323"/>
      <c r="D6" s="48">
        <f>ROUND($D$3*E6/$E$3,2)</f>
        <v>0</v>
      </c>
      <c r="E6" s="49">
        <f>E3-E5</f>
        <v>6531.86</v>
      </c>
      <c r="F6" s="2836"/>
      <c r="G6" s="2830" t="s">
        <v>1556</v>
      </c>
      <c r="H6" s="1261" t="s">
        <v>1557</v>
      </c>
      <c r="I6" s="2831" t="e">
        <f>ROUND(F31/D31,2)</f>
        <v>#DIV/0!</v>
      </c>
      <c r="J6" s="2836"/>
      <c r="K6" s="2836"/>
      <c r="L6" s="2836"/>
      <c r="M6" s="2836"/>
      <c r="N6" s="2836"/>
      <c r="O6" s="2836"/>
      <c r="P6" s="2836"/>
    </row>
    <row r="7" spans="1:16" ht="15.75" thickBot="1">
      <c r="A7" s="3315"/>
      <c r="B7" s="3316"/>
      <c r="C7" s="3317"/>
      <c r="D7" s="1777" t="s">
        <v>1551</v>
      </c>
      <c r="E7" s="1781" t="s">
        <v>1558</v>
      </c>
      <c r="F7" s="2836"/>
      <c r="G7" s="2832" t="s">
        <v>1559</v>
      </c>
      <c r="H7" s="2833"/>
      <c r="I7" s="2834"/>
      <c r="J7" s="2836"/>
      <c r="K7" s="2836"/>
      <c r="L7" s="2836"/>
      <c r="M7" s="2836"/>
      <c r="N7" s="2836"/>
      <c r="O7" s="2836"/>
      <c r="P7" s="2836"/>
    </row>
    <row r="8" spans="1:16">
      <c r="A8" s="47" t="s">
        <v>1560</v>
      </c>
      <c r="B8" s="50" t="s">
        <v>1561</v>
      </c>
      <c r="C8" s="48" t="s">
        <v>1562</v>
      </c>
      <c r="D8" s="48">
        <f t="shared" ref="D8:D15" si="0">ROUND($D$3*E8/$E$3,2)</f>
        <v>0</v>
      </c>
      <c r="E8" s="51">
        <f>SUMIF('数据-基础表'!BB10:BK10,"地上",'数据-基础表'!BB5:BK5)</f>
        <v>5413.53</v>
      </c>
      <c r="F8" s="2836"/>
      <c r="G8" s="2837"/>
      <c r="H8" s="2837"/>
      <c r="I8" s="2836"/>
      <c r="J8" s="2836"/>
      <c r="K8" s="2836"/>
      <c r="L8" s="2836"/>
      <c r="M8" s="2836"/>
      <c r="N8" s="2836"/>
      <c r="O8" s="2836"/>
      <c r="P8" s="2836"/>
    </row>
    <row r="9" spans="1:16">
      <c r="A9" s="1782"/>
      <c r="B9" s="1783"/>
      <c r="C9" s="48" t="s">
        <v>1563</v>
      </c>
      <c r="D9" s="48">
        <f t="shared" si="0"/>
        <v>0</v>
      </c>
      <c r="E9" s="52">
        <v>0</v>
      </c>
      <c r="F9" s="2836"/>
      <c r="G9" s="2837"/>
      <c r="H9" s="2837"/>
      <c r="I9" s="2836"/>
      <c r="J9" s="2836"/>
      <c r="K9" s="2836"/>
      <c r="L9" s="2836"/>
      <c r="M9" s="2836"/>
      <c r="N9" s="2836"/>
      <c r="O9" s="2836"/>
      <c r="P9" s="2836"/>
    </row>
    <row r="10" spans="1:16">
      <c r="A10" s="1782"/>
      <c r="B10" s="1783"/>
      <c r="C10" s="48" t="s">
        <v>1572</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1564</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1565</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1566</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1578</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1573</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1567</v>
      </c>
      <c r="D16" s="50">
        <f>SUM(D8:D15)</f>
        <v>0</v>
      </c>
      <c r="E16" s="53">
        <f>SUM(E8:E15)</f>
        <v>5413.53</v>
      </c>
      <c r="F16" s="2836"/>
      <c r="G16" s="2837"/>
      <c r="H16" s="1784" t="s">
        <v>1579</v>
      </c>
      <c r="I16" s="1785"/>
      <c r="J16" s="1254"/>
      <c r="K16" s="3312" t="s">
        <v>1579</v>
      </c>
      <c r="L16" s="3313"/>
      <c r="M16" s="3313"/>
      <c r="N16" s="3313"/>
      <c r="O16" s="3313"/>
      <c r="P16" s="3314"/>
    </row>
    <row r="17" spans="1:19" ht="15">
      <c r="A17" s="1786" t="s">
        <v>1580</v>
      </c>
      <c r="B17" s="1787" t="s">
        <v>1581</v>
      </c>
      <c r="C17" s="1788" t="s">
        <v>1582</v>
      </c>
      <c r="D17" s="1789" t="s">
        <v>1570</v>
      </c>
      <c r="E17" s="1790" t="s">
        <v>1571</v>
      </c>
      <c r="F17" s="1791"/>
      <c r="G17" s="1792"/>
      <c r="H17" s="1793" t="s">
        <v>1583</v>
      </c>
      <c r="I17" s="1794" t="s">
        <v>1568</v>
      </c>
      <c r="J17" s="1254"/>
      <c r="K17" s="3309" t="s">
        <v>1584</v>
      </c>
      <c r="L17" s="3310"/>
      <c r="M17" s="3311"/>
      <c r="N17" s="3309" t="s">
        <v>1585</v>
      </c>
      <c r="O17" s="3310"/>
      <c r="P17" s="3311"/>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31" t="s">
        <v>3182</v>
      </c>
      <c r="D19" s="48">
        <f>ROUND($D$3*E19/$E$3,2)</f>
        <v>0</v>
      </c>
      <c r="E19" s="56">
        <f t="shared" ref="E19:E26" si="1">SUM(F19:G19)</f>
        <v>5413.53</v>
      </c>
      <c r="F19" s="2976">
        <f>'数据-基础表'!I13</f>
        <v>5413.53</v>
      </c>
      <c r="G19" s="2977"/>
      <c r="H19" s="679">
        <f>ROUND($D$3*I19/$E$3,2)</f>
        <v>0</v>
      </c>
      <c r="I19" s="51">
        <f t="shared" ref="I19:I26" si="2">IF($I$17="自定义",P19,M19)</f>
        <v>1118.33</v>
      </c>
      <c r="J19" s="1254"/>
      <c r="K19" s="1253">
        <f t="shared" ref="K19:K26" si="3">ROUND(E$28*E19/E$27,2)</f>
        <v>1118.33</v>
      </c>
      <c r="L19" s="1138">
        <f t="shared" ref="L19:L26" si="4">ROUND(IF(COUNTIF(C19,"*住宅*")&gt;0,E$29*E19/E$32,0),2)</f>
        <v>0</v>
      </c>
      <c r="M19" s="1265">
        <f>K19+L19</f>
        <v>1118.33</v>
      </c>
      <c r="N19" s="1805"/>
      <c r="O19" s="1806"/>
      <c r="P19" s="1265">
        <f>N19+O19</f>
        <v>0</v>
      </c>
      <c r="R19" s="1138">
        <f t="shared" ref="R19:S26" si="5">D19+H19</f>
        <v>0</v>
      </c>
      <c r="S19" s="1139">
        <f t="shared" si="5"/>
        <v>6531.86</v>
      </c>
    </row>
    <row r="20" spans="1:19">
      <c r="A20" s="1807"/>
      <c r="B20" s="50" t="s">
        <v>1597</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0</v>
      </c>
      <c r="E27" s="1256">
        <f>IF(SUM(E19:E26)='数据-基础表'!BA5,SUM(E19:E26),IF(F27="地上面积有误","面积有误","地下面积有误"))</f>
        <v>5413.53</v>
      </c>
      <c r="F27" s="1255">
        <f>IF(SUM(F19:F26)=E8,SUM(F19:F26),"地上面积有误")</f>
        <v>5413.53</v>
      </c>
      <c r="G27" s="1257">
        <f>SUM(G19:G26)</f>
        <v>0</v>
      </c>
      <c r="H27" s="1258">
        <f>SUM(H19:H26)</f>
        <v>0</v>
      </c>
      <c r="I27" s="1259">
        <f>SUM(I19:I26)</f>
        <v>1118.33</v>
      </c>
      <c r="J27" s="1254"/>
      <c r="K27" s="1262">
        <f>SUM(K19:K26)</f>
        <v>1118.33</v>
      </c>
      <c r="L27" s="1263">
        <f>SUM(L19:L26)</f>
        <v>0</v>
      </c>
      <c r="M27" s="1266">
        <f>SUM(M19:M26)</f>
        <v>1118.33</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6531.86</v>
      </c>
    </row>
    <row r="28" spans="1:19">
      <c r="A28" s="1807"/>
      <c r="B28" s="50" t="s">
        <v>1599</v>
      </c>
      <c r="C28" s="1150" t="s">
        <v>1600</v>
      </c>
      <c r="D28" s="48">
        <f>ROUND($D$3*E28/$E$3,2)</f>
        <v>0</v>
      </c>
      <c r="E28" s="56">
        <f>SUM(F28:G28)</f>
        <v>1118.33</v>
      </c>
      <c r="F28" s="60">
        <f>'数据-基础表'!BQ5+'数据-基础表'!BS5</f>
        <v>0</v>
      </c>
      <c r="G28" s="61">
        <f>'数据-基础表'!BR5+'数据-基础表'!BT5</f>
        <v>1118.33</v>
      </c>
      <c r="H28" s="2836"/>
      <c r="I28" s="2836"/>
      <c r="J28" s="2836"/>
      <c r="K28" s="2836"/>
      <c r="L28" s="2836"/>
      <c r="M28" s="2836"/>
      <c r="N28" s="2836"/>
      <c r="O28" s="2836"/>
      <c r="P28" s="2836"/>
    </row>
    <row r="29" spans="1:19">
      <c r="A29" s="1807"/>
      <c r="B29" s="50" t="s">
        <v>1599</v>
      </c>
      <c r="C29" s="1811" t="s">
        <v>1601</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1598</v>
      </c>
      <c r="D30" s="1255">
        <f>SUM(D28:D29)</f>
        <v>0</v>
      </c>
      <c r="E30" s="1255">
        <f>SUM(E28:E29)</f>
        <v>1118.33</v>
      </c>
      <c r="F30" s="1255">
        <f>SUM(F28:F29)</f>
        <v>0</v>
      </c>
      <c r="G30" s="1257">
        <f>SUM(G28:G29)</f>
        <v>1118.33</v>
      </c>
      <c r="H30" s="2836"/>
      <c r="I30" s="2836"/>
      <c r="J30" s="2836"/>
      <c r="K30" s="2836"/>
      <c r="L30" s="2836"/>
      <c r="M30" s="2836"/>
      <c r="N30" s="2836"/>
      <c r="O30" s="2836"/>
      <c r="P30" s="2836"/>
    </row>
    <row r="31" spans="1:19" ht="15.75" thickBot="1">
      <c r="A31" s="1813"/>
      <c r="B31" s="1814"/>
      <c r="C31" s="925" t="s">
        <v>1602</v>
      </c>
      <c r="D31" s="685">
        <f>D27+D30</f>
        <v>0</v>
      </c>
      <c r="E31" s="685">
        <f>E27+E30</f>
        <v>6531.86</v>
      </c>
      <c r="F31" s="686">
        <f>F27+F30</f>
        <v>5413.53</v>
      </c>
      <c r="G31" s="687">
        <f>G27+G30</f>
        <v>1118.33</v>
      </c>
      <c r="H31" s="2836"/>
      <c r="I31" s="2836"/>
      <c r="J31" s="2836"/>
      <c r="K31" s="2836"/>
      <c r="L31" s="2836"/>
      <c r="M31" s="2836"/>
      <c r="N31" s="2836"/>
      <c r="O31" s="2836"/>
      <c r="P31" s="2836"/>
    </row>
    <row r="32" spans="1:19">
      <c r="A32" s="1779"/>
      <c r="B32" s="1779" t="s">
        <v>1603</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S21" sqref="S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1605</v>
      </c>
      <c r="B2" s="1157">
        <f>项目基本情况!D3</f>
        <v>44869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3184</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59479</v>
      </c>
      <c r="F6" s="68">
        <f>SUMIF(项目基本情况!D$12:I$12,C6,项目基本情况!D$15:I$15)</f>
        <v>40</v>
      </c>
      <c r="G6" s="69">
        <f>IF(ISERROR(ROUND(POWER(1+H6,D6-F6)*(POWER(1+H6,F6)-1)/(POWER(1+H6,D6)-1),3)),0,ROUND(POWER(1+H6,D6-F6)*(POWER(1+H6,F6)-1)/(POWER(1+H6,D6)-1),3))</f>
        <v>1</v>
      </c>
      <c r="H6" s="741">
        <v>0.05</v>
      </c>
      <c r="I6" s="741">
        <v>5.5E-2</v>
      </c>
      <c r="J6" s="70">
        <v>7.0000000000000007E-2</v>
      </c>
      <c r="K6" s="1142">
        <f>SUMIF('数据-汇总表'!C$19:C$33,A6,'数据-汇总表'!E$19:E$33)</f>
        <v>5413.53</v>
      </c>
      <c r="L6" s="742">
        <v>3300</v>
      </c>
      <c r="M6" s="71">
        <f t="shared" ref="M6:M14" si="0">ROUND(K6*L6/10000,0)</f>
        <v>1786</v>
      </c>
      <c r="N6" s="740">
        <v>0.74</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1118.33</v>
      </c>
      <c r="T6" s="1287">
        <f>ROUND($L$14*S6/10000,0)</f>
        <v>369</v>
      </c>
      <c r="U6" s="74">
        <v>5</v>
      </c>
      <c r="V6" s="3581">
        <v>0.03</v>
      </c>
      <c r="W6" s="75">
        <v>0.1</v>
      </c>
      <c r="X6" s="1152"/>
      <c r="Y6" s="76">
        <f>N6</f>
        <v>0.74</v>
      </c>
      <c r="Z6" s="77"/>
      <c r="AA6" s="70"/>
      <c r="AB6" s="70"/>
      <c r="AC6" s="1152"/>
      <c r="AD6" s="78"/>
      <c r="AE6" s="1153">
        <f ca="1">IF(AN6="",0,SUMIF(INDIRECT("'"&amp;AN6&amp;"'"&amp;"!E:E"),$AE$5,INDIRECT("'"&amp;AN6&amp;"'"&amp;"!F:F")))</f>
        <v>40</v>
      </c>
      <c r="AF6" s="1483"/>
      <c r="AG6" s="143">
        <f>IF(AF6="",0,AE6-AF6)</f>
        <v>0</v>
      </c>
      <c r="AH6" s="79"/>
      <c r="AI6" s="81">
        <v>365</v>
      </c>
      <c r="AJ6" s="82"/>
      <c r="AK6" s="83">
        <v>1.4999999999999999E-2</v>
      </c>
      <c r="AL6" s="84">
        <v>1.5E-3</v>
      </c>
      <c r="AM6" s="85">
        <v>1.4999999999999999E-2</v>
      </c>
      <c r="AN6" s="1852" t="s">
        <v>3185</v>
      </c>
      <c r="AO6" s="55">
        <f ca="1">SUMIF(INDIRECT("'"&amp;AN6&amp;"'"&amp;"!A:A"),"总价",INDIRECT("'"&amp;AN6&amp;"'"&amp;"!B:B"))</f>
        <v>16654</v>
      </c>
      <c r="AP6" s="1853">
        <f>IF(C6="住宅",K6*L6,0)</f>
        <v>0</v>
      </c>
      <c r="AQ6" s="55">
        <f>ROUND($L$14*$N$14*S6/10000,0)</f>
        <v>273</v>
      </c>
      <c r="AR6" s="55">
        <f>ROUND($L$14*(1-$N$14)*S6/10000,0)</f>
        <v>96</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1118.33</v>
      </c>
      <c r="L14" s="87">
        <f>L6</f>
        <v>3300</v>
      </c>
      <c r="M14" s="71">
        <f t="shared" si="0"/>
        <v>369</v>
      </c>
      <c r="N14" s="88">
        <f>N6</f>
        <v>0.74</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1</v>
      </c>
      <c r="H16" s="95">
        <f>ROUND(SUMPRODUCT(H6:H13,K6:K13)/SUMPRODUCT((H6:H13&gt;0)*(K6:K13)),3)</f>
        <v>0.05</v>
      </c>
      <c r="I16" s="96"/>
      <c r="J16" s="96"/>
      <c r="K16" s="97">
        <f>SUM(K6:K15)</f>
        <v>6531.86</v>
      </c>
      <c r="L16" s="98">
        <f>ROUND(M16*10000/SUM(K6:K14),0)</f>
        <v>3299</v>
      </c>
      <c r="M16" s="98">
        <f>SUM(M6:M14)</f>
        <v>2155</v>
      </c>
      <c r="N16" s="99">
        <f>ROUND(SUMPRODUCT(M6:M14,N6:N14)/M16,3)</f>
        <v>0.74</v>
      </c>
      <c r="O16" s="98">
        <f>SUM(O6:O14)</f>
        <v>0</v>
      </c>
      <c r="P16" s="98">
        <f>SUM(P6:P14)</f>
        <v>0</v>
      </c>
      <c r="Q16" s="100">
        <f>ROUND(SUMPRODUCT(Q6:Q13,K6:K13)/SUMPRODUCT((Q6:Q13&gt;0)*(K6:K13)),2)</f>
        <v>0.2</v>
      </c>
      <c r="R16" s="1146">
        <f ca="1">SUM(R6:R13)</f>
        <v>0</v>
      </c>
      <c r="S16" s="101">
        <f>SUM(S6:S13)</f>
        <v>1118.33</v>
      </c>
      <c r="T16" s="102">
        <f>IF(SUMIF(T6:T13,"&lt;9E307")=M14,SUMIF(T6:T13,"&lt;9E307"),"有误，请检查")</f>
        <v>369</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1654</v>
      </c>
      <c r="B18" s="2864"/>
      <c r="C18" s="2852"/>
      <c r="D18" s="2855"/>
      <c r="E18" s="2852"/>
      <c r="F18" s="2852"/>
      <c r="G18" s="2852"/>
      <c r="H18" s="2852"/>
      <c r="I18" s="2852"/>
      <c r="J18" s="2852"/>
      <c r="K18" s="2851"/>
      <c r="L18" s="2851"/>
      <c r="M18" s="2850"/>
      <c r="N18" s="2850">
        <f>ROUND(1-(2022-1996)/60,2)</f>
        <v>0.56999999999999995</v>
      </c>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1655</v>
      </c>
      <c r="B19" s="108">
        <v>0</v>
      </c>
      <c r="C19" s="2980" t="s">
        <v>2805</v>
      </c>
      <c r="D19" s="2855"/>
      <c r="E19" s="2852"/>
      <c r="F19" s="2852"/>
      <c r="G19" s="2852"/>
      <c r="H19" s="2852"/>
      <c r="I19" s="2852"/>
      <c r="J19" s="2852"/>
      <c r="K19" s="2851"/>
      <c r="L19" s="2851"/>
      <c r="M19" s="2850"/>
      <c r="N19" s="2850">
        <v>0.9</v>
      </c>
      <c r="O19" s="2850"/>
      <c r="P19" s="2850"/>
      <c r="Q19" s="2850"/>
      <c r="R19" s="2850"/>
      <c r="S19" s="2850"/>
      <c r="T19" s="2850"/>
      <c r="U19" s="2850">
        <f>10*0.7*'数据-汇总表'!F19/'数据-汇总表'!E3</f>
        <v>5.8015190160230015</v>
      </c>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1656</v>
      </c>
      <c r="B20" s="109">
        <v>2</v>
      </c>
      <c r="C20" s="2981" t="s">
        <v>2803</v>
      </c>
      <c r="D20" s="2855"/>
      <c r="E20" s="2852"/>
      <c r="F20" s="2852"/>
      <c r="G20" s="2852"/>
      <c r="H20" s="2852"/>
      <c r="I20" s="2852"/>
      <c r="J20" s="2852"/>
      <c r="K20" s="2851"/>
      <c r="L20" s="2851"/>
      <c r="M20" s="2850"/>
      <c r="N20" s="2850">
        <f>(N18+N19)/2</f>
        <v>0.73499999999999999</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1657</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1658</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1659</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1660</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1661</v>
      </c>
      <c r="B26" s="1863" t="s">
        <v>1662</v>
      </c>
      <c r="C26" s="2856" t="s">
        <v>1663</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1664</v>
      </c>
      <c r="B27" s="112">
        <v>160</v>
      </c>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131</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1674</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1675</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1676</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3183</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1677</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1678</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1679</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1680</v>
      </c>
      <c r="B44" s="124">
        <v>7.0000000000000007E-2</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1681</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1682</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1683</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1684</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1685</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1686</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1687</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1688</v>
      </c>
      <c r="B52" s="129">
        <f>SUMIF(A54:A63,B53,B54:B63)</f>
        <v>12</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1689</v>
      </c>
      <c r="B53" s="1875" t="s">
        <v>137</v>
      </c>
      <c r="C53" s="2838" t="s">
        <v>1690</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1691</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1692</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1693</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1694</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1695</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1696</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1697</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1698</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1699</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1700</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4" t="s">
        <v>2786</v>
      </c>
      <c r="B1" s="3325"/>
      <c r="C1" s="3325"/>
      <c r="D1" s="3325"/>
      <c r="E1" s="3325"/>
      <c r="F1" s="3325"/>
      <c r="G1" s="332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8" sqref="F8"/>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6531.86</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44869</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18786</v>
      </c>
      <c r="C5" s="2688">
        <f ca="1">ROUND(B5*10000/$B$1,0)</f>
        <v>28761</v>
      </c>
      <c r="D5" s="2688" t="e">
        <f ca="1">ROUND(B5*10000/$B$2,0)</f>
        <v>#DIV/0!</v>
      </c>
      <c r="E5" s="2865"/>
      <c r="F5" s="2866"/>
      <c r="G5" s="2866"/>
      <c r="H5" s="2867"/>
      <c r="I5" s="2867"/>
      <c r="J5" s="2867"/>
      <c r="K5" s="2867"/>
    </row>
    <row r="6" spans="1:11" ht="16.5">
      <c r="A6" s="2688" t="s">
        <v>1081</v>
      </c>
      <c r="B6" s="2688">
        <f ca="1">SUM(G14:G23)</f>
        <v>15376</v>
      </c>
      <c r="C6" s="2688">
        <f ca="1">ROUND(B6*10000/$B$1,0)</f>
        <v>23540</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6531.86</v>
      </c>
      <c r="C14" s="2694">
        <f>结果表!C118</f>
        <v>0</v>
      </c>
      <c r="D14" s="2694">
        <f ca="1">结果表!H118</f>
        <v>18786</v>
      </c>
      <c r="E14" s="2694">
        <f ca="1">ROUND(D14*10000/B14,0)</f>
        <v>28761</v>
      </c>
      <c r="F14" s="2694" t="e">
        <f ca="1">ROUND(D14*10000/C14,0)</f>
        <v>#DIV/0!</v>
      </c>
      <c r="G14" s="2694">
        <f ca="1">结果表!D122</f>
        <v>15376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1" zoomScale="70" zoomScaleNormal="100" zoomScaleSheetLayoutView="70" zoomScalePageLayoutView="80" workbookViewId="0">
      <selection activeCell="O42" sqref="O42"/>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c r="H1" s="1887" t="str">
        <f>IF(G1="现房","——","估价对象范围")</f>
        <v>估价对象范围</v>
      </c>
      <c r="I1" s="1888"/>
    </row>
    <row r="2" spans="1:12" ht="21.75" customHeight="1" thickBot="1">
      <c r="A2" s="3396" t="str">
        <f>项目基本情况!S2</f>
        <v>北京市房地产</v>
      </c>
      <c r="B2" s="3397"/>
      <c r="C2" s="3397"/>
      <c r="D2" s="3397"/>
      <c r="E2" s="3397"/>
      <c r="F2" s="3397"/>
      <c r="G2" s="3397"/>
      <c r="H2" s="3397"/>
      <c r="I2" s="3398"/>
    </row>
    <row r="3" spans="1:12" ht="12.75">
      <c r="A3" s="3400" t="s">
        <v>1708</v>
      </c>
      <c r="B3" s="3401"/>
      <c r="C3" s="3401"/>
      <c r="D3" s="3401"/>
      <c r="E3" s="3401"/>
      <c r="F3" s="3401"/>
      <c r="G3" s="3401"/>
      <c r="H3" s="3401"/>
      <c r="I3" s="3401"/>
    </row>
    <row r="4" spans="1:12" ht="14.25">
      <c r="A4" s="1891" t="s">
        <v>1709</v>
      </c>
      <c r="B4" s="1892" t="s">
        <v>1710</v>
      </c>
      <c r="C4" s="1893" t="s">
        <v>3192</v>
      </c>
      <c r="D4" s="1893" t="s">
        <v>3185</v>
      </c>
      <c r="E4" s="3405" t="s">
        <v>1711</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1712</v>
      </c>
      <c r="B5" s="3399">
        <v>25</v>
      </c>
      <c r="C5" s="3402"/>
      <c r="D5" s="3390"/>
      <c r="E5" s="136" t="s">
        <v>1713</v>
      </c>
      <c r="F5" s="1894"/>
      <c r="G5" s="1894"/>
      <c r="H5" s="1894"/>
      <c r="I5" s="1508"/>
    </row>
    <row r="6" spans="1:12" ht="12.75">
      <c r="A6" s="3341"/>
      <c r="B6" s="3399"/>
      <c r="C6" s="3404"/>
      <c r="D6" s="3390"/>
      <c r="E6" s="136" t="s">
        <v>1714</v>
      </c>
      <c r="F6" s="1894"/>
      <c r="G6" s="1894"/>
      <c r="H6" s="1894"/>
      <c r="I6" s="1508"/>
    </row>
    <row r="7" spans="1:12" ht="12.75">
      <c r="A7" s="3341"/>
      <c r="B7" s="3399"/>
      <c r="C7" s="3403"/>
      <c r="D7" s="3390"/>
      <c r="E7" s="136" t="s">
        <v>1715</v>
      </c>
      <c r="F7" s="1894"/>
      <c r="G7" s="1894"/>
      <c r="H7" s="1894"/>
      <c r="I7" s="1508"/>
    </row>
    <row r="8" spans="1:12" ht="12.75">
      <c r="A8" s="3341" t="s">
        <v>1716</v>
      </c>
      <c r="B8" s="3399">
        <v>15</v>
      </c>
      <c r="C8" s="3402"/>
      <c r="D8" s="3390"/>
      <c r="E8" s="136" t="s">
        <v>1717</v>
      </c>
      <c r="F8" s="1894"/>
      <c r="G8" s="1894"/>
      <c r="H8" s="1894"/>
      <c r="I8" s="1508"/>
    </row>
    <row r="9" spans="1:12" ht="12.75">
      <c r="A9" s="3341"/>
      <c r="B9" s="3399"/>
      <c r="C9" s="3403"/>
      <c r="D9" s="3390"/>
      <c r="E9" s="136" t="s">
        <v>1718</v>
      </c>
      <c r="F9" s="1894"/>
      <c r="G9" s="1894"/>
      <c r="H9" s="1894"/>
      <c r="I9" s="1508"/>
    </row>
    <row r="10" spans="1:12" ht="12.75">
      <c r="A10" s="3341" t="s">
        <v>1719</v>
      </c>
      <c r="B10" s="3399">
        <v>15</v>
      </c>
      <c r="C10" s="3402"/>
      <c r="D10" s="3390"/>
      <c r="E10" s="136" t="s">
        <v>1720</v>
      </c>
      <c r="F10" s="1894"/>
      <c r="G10" s="1894"/>
      <c r="H10" s="1894"/>
      <c r="I10" s="1508"/>
    </row>
    <row r="11" spans="1:12" ht="12.75">
      <c r="A11" s="3341"/>
      <c r="B11" s="3399"/>
      <c r="C11" s="3403"/>
      <c r="D11" s="3390"/>
      <c r="E11" s="136" t="s">
        <v>1721</v>
      </c>
      <c r="F11" s="1894"/>
      <c r="G11" s="1894"/>
      <c r="H11" s="1894"/>
      <c r="I11" s="1508"/>
    </row>
    <row r="12" spans="1:12" ht="12.75">
      <c r="A12" s="3341" t="s">
        <v>1722</v>
      </c>
      <c r="B12" s="3399">
        <v>15</v>
      </c>
      <c r="C12" s="3402"/>
      <c r="D12" s="3390"/>
      <c r="E12" s="136" t="s">
        <v>1723</v>
      </c>
      <c r="F12" s="1894"/>
      <c r="G12" s="1894"/>
      <c r="H12" s="1894"/>
      <c r="I12" s="1508"/>
    </row>
    <row r="13" spans="1:12" ht="12.75">
      <c r="A13" s="3341"/>
      <c r="B13" s="3399"/>
      <c r="C13" s="3403"/>
      <c r="D13" s="3390"/>
      <c r="E13" s="136" t="s">
        <v>1724</v>
      </c>
      <c r="F13" s="1894"/>
      <c r="G13" s="1894"/>
      <c r="H13" s="1894"/>
      <c r="I13" s="1508"/>
    </row>
    <row r="14" spans="1:12" ht="12.75">
      <c r="A14" s="3341" t="s">
        <v>1725</v>
      </c>
      <c r="B14" s="3399">
        <v>30</v>
      </c>
      <c r="C14" s="3402">
        <v>4</v>
      </c>
      <c r="D14" s="3390">
        <v>6</v>
      </c>
      <c r="E14" s="136" t="s">
        <v>1726</v>
      </c>
      <c r="F14" s="1894"/>
      <c r="G14" s="1894"/>
      <c r="H14" s="1894"/>
      <c r="I14" s="1508"/>
    </row>
    <row r="15" spans="1:12" ht="12.75">
      <c r="A15" s="3341"/>
      <c r="B15" s="3399"/>
      <c r="C15" s="3404"/>
      <c r="D15" s="3390"/>
      <c r="E15" s="136" t="s">
        <v>1727</v>
      </c>
      <c r="F15" s="1894"/>
      <c r="G15" s="1894"/>
      <c r="H15" s="1894"/>
      <c r="I15" s="1508"/>
    </row>
    <row r="16" spans="1:12" ht="12.75">
      <c r="A16" s="3341"/>
      <c r="B16" s="3399"/>
      <c r="C16" s="3403"/>
      <c r="D16" s="3390"/>
      <c r="E16" s="136" t="s">
        <v>1728</v>
      </c>
      <c r="F16" s="1894"/>
      <c r="G16" s="1894"/>
      <c r="H16" s="1894"/>
      <c r="I16" s="1508"/>
    </row>
    <row r="17" spans="1:36" ht="15">
      <c r="A17" s="1895" t="s">
        <v>1729</v>
      </c>
      <c r="B17" s="60"/>
      <c r="C17" s="137">
        <f>SUM(C5:C16)</f>
        <v>4</v>
      </c>
      <c r="D17" s="137">
        <f>SUM(D5:D16)</f>
        <v>6</v>
      </c>
      <c r="E17" s="134"/>
      <c r="F17" s="134"/>
      <c r="G17" s="134"/>
      <c r="H17" s="134"/>
      <c r="I17" s="134"/>
      <c r="K17" s="308"/>
      <c r="L17" s="308" t="s">
        <v>1730</v>
      </c>
      <c r="M17" s="308" t="s">
        <v>1731</v>
      </c>
    </row>
    <row r="18" spans="1:36" ht="31.9" customHeight="1" thickBot="1">
      <c r="A18" s="1896" t="s">
        <v>1732</v>
      </c>
      <c r="B18" s="1897"/>
      <c r="C18" s="138">
        <f>ROUND(C17/SUM(C17:D17),2)</f>
        <v>0.4</v>
      </c>
      <c r="D18" s="138">
        <f>1-C18</f>
        <v>0.6</v>
      </c>
      <c r="E18" s="3421" t="s">
        <v>2631</v>
      </c>
      <c r="F18" s="3422"/>
      <c r="G18" s="3422"/>
      <c r="H18" s="3422"/>
      <c r="I18" s="3422"/>
      <c r="K18" s="308" t="s">
        <v>1733</v>
      </c>
      <c r="L18" s="308">
        <f>IF(C1="",'数据-汇总表'!E3,SUMIF(项目类型,C1,'数据-汇总表'!E17:E26)+SUMIF(项目类型,C1,'数据-汇总表'!I17:I26))</f>
        <v>6531.86</v>
      </c>
      <c r="M18" s="308">
        <f>IF(C1="",'数据-汇总表'!E3,SUMIF(项目类型,C1,'数据-汇总表'!E17:E26))</f>
        <v>6531.86</v>
      </c>
    </row>
    <row r="19" spans="1:36" ht="15">
      <c r="A19" s="1898" t="s">
        <v>1734</v>
      </c>
      <c r="B19" s="1899" t="s">
        <v>1735</v>
      </c>
      <c r="C19" s="139">
        <f ca="1">SUMIF(INDIRECT("'"&amp;C4&amp;"'"&amp;"!A:A"),结果表!B19,INDIRECT("'"&amp;C4&amp;"'"&amp;"!B:B"))</f>
        <v>21983</v>
      </c>
      <c r="D19" s="140">
        <f ca="1">SUMIF(INDIRECT("'"&amp;D4&amp;"'"&amp;"!A:A"),结果表!B19,INDIRECT("'"&amp;D4&amp;"'"&amp;"!B:B"))</f>
        <v>16654</v>
      </c>
      <c r="E19" s="1898" t="s">
        <v>1736</v>
      </c>
      <c r="F19" s="1899" t="s">
        <v>1735</v>
      </c>
      <c r="G19" s="141">
        <f ca="1">ROUND(C19*$C$18+D19*$D$18,0)</f>
        <v>18786</v>
      </c>
      <c r="H19" s="1900" t="s">
        <v>1737</v>
      </c>
      <c r="I19" s="134"/>
      <c r="K19" s="308" t="s">
        <v>1738</v>
      </c>
      <c r="L19" s="308">
        <f>IF(C1="",'数据-汇总表'!D3,SUMIF(项目类型,C1,'数据-汇总表'!D17:D26)+SUMIF(项目类型,C1,'数据-汇总表'!H17:H27))</f>
        <v>0</v>
      </c>
      <c r="M19" s="308">
        <f>IF(C1="",'数据-汇总表'!D3,SUMIF(项目类型,C1,'数据-汇总表'!D17:D26))</f>
        <v>0</v>
      </c>
    </row>
    <row r="20" spans="1:36" ht="15">
      <c r="A20" s="1901"/>
      <c r="B20" s="1138" t="s">
        <v>1739</v>
      </c>
      <c r="C20" s="142">
        <f ca="1">SUMIF(INDIRECT("'"&amp;C4&amp;"'"&amp;"!A:A"),结果表!B20,INDIRECT("'"&amp;C4&amp;"'"&amp;"!B:B"))</f>
        <v>33655</v>
      </c>
      <c r="D20" s="143">
        <f ca="1">SUMIF(INDIRECT("'"&amp;D4&amp;"'"&amp;"!A:A"),结果表!B20,INDIRECT("'"&amp;D4&amp;"'"&amp;"!B:B"))</f>
        <v>30764</v>
      </c>
      <c r="E20" s="1901"/>
      <c r="F20" s="1138" t="s">
        <v>1739</v>
      </c>
      <c r="G20" s="144">
        <f ca="1">ROUND(C20*$C$18+D20*$D$18,0)</f>
        <v>31920</v>
      </c>
      <c r="H20" s="898" t="s">
        <v>1740</v>
      </c>
      <c r="I20" s="134"/>
    </row>
    <row r="21" spans="1:36" ht="15" customHeight="1" thickBot="1">
      <c r="A21" s="918"/>
      <c r="B21" s="1902" t="s">
        <v>1741</v>
      </c>
      <c r="C21" s="728" t="e">
        <f ca="1">ROUND(C19*10000/L19,0)</f>
        <v>#DIV/0!</v>
      </c>
      <c r="D21" s="729" t="e">
        <f ca="1">ROUND(D19*10000/L19,0)</f>
        <v>#DIV/0!</v>
      </c>
      <c r="E21" s="918"/>
      <c r="F21" s="1902" t="s">
        <v>1741</v>
      </c>
      <c r="G21" s="145" t="e">
        <f ca="1">ROUND(G19*10000/L19,0)</f>
        <v>#DIV/0!</v>
      </c>
      <c r="H21" s="1903" t="s">
        <v>1740</v>
      </c>
      <c r="I21" s="134"/>
    </row>
    <row r="22" spans="1:36" ht="15" thickBot="1">
      <c r="A22" s="1825" t="s">
        <v>1742</v>
      </c>
      <c r="B22" s="1904"/>
      <c r="C22" s="1905"/>
      <c r="D22" s="730">
        <f ca="1">IF(C19&lt;D19,D19/C19-1,C19/D19-1)</f>
        <v>0.31998318722228891</v>
      </c>
      <c r="E22" s="134"/>
      <c r="F22" s="134"/>
      <c r="G22" s="134"/>
      <c r="H22" s="134"/>
      <c r="I22" s="134"/>
    </row>
    <row r="23" spans="1:36" ht="13.5" thickBot="1">
      <c r="A23" s="1884"/>
      <c r="B23" s="1884"/>
      <c r="C23" s="1884"/>
      <c r="D23" s="1884"/>
      <c r="E23" s="134"/>
      <c r="F23" s="134"/>
      <c r="G23" s="134"/>
      <c r="H23" s="134"/>
      <c r="I23" s="134"/>
    </row>
    <row r="24" spans="1:36" ht="14.25">
      <c r="A24" s="3414" t="s">
        <v>1743</v>
      </c>
      <c r="B24" s="1899" t="s">
        <v>1735</v>
      </c>
      <c r="C24" s="141">
        <f>IF(B30=0,0,D30)</f>
        <v>0</v>
      </c>
      <c r="D24" s="1906"/>
      <c r="E24" s="134"/>
      <c r="F24" s="134"/>
      <c r="G24" s="134"/>
      <c r="H24" s="134"/>
      <c r="I24" s="134"/>
    </row>
    <row r="25" spans="1:36" ht="14.25">
      <c r="A25" s="3415"/>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5">
      <c r="A27" s="3233"/>
      <c r="B27" s="147"/>
      <c r="C27" s="147"/>
      <c r="D27" s="148">
        <f ca="1">G19/'数据-汇总表'!F19</f>
        <v>3.4701941247208383</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18786</v>
      </c>
      <c r="D32" s="1912" t="s">
        <v>3193</v>
      </c>
      <c r="E32" s="134"/>
      <c r="F32" s="134"/>
      <c r="G32" s="134"/>
      <c r="H32" s="134"/>
      <c r="I32" s="134"/>
    </row>
    <row r="33" spans="1:15" ht="15">
      <c r="A33" s="875" t="s">
        <v>1750</v>
      </c>
      <c r="B33" s="1913"/>
      <c r="C33" s="1914" t="s">
        <v>3194</v>
      </c>
      <c r="D33" s="1915" t="s">
        <v>3192</v>
      </c>
      <c r="E33" s="1916" t="s">
        <v>1751</v>
      </c>
      <c r="F33" s="1917" t="str">
        <f>IF(D32="楼面单价","取值（单价）","取值（总价）")</f>
        <v>取值（总价）</v>
      </c>
      <c r="G33" s="134"/>
      <c r="H33" s="134"/>
      <c r="I33" s="134"/>
    </row>
    <row r="34" spans="1:15" ht="15">
      <c r="A34" s="1918"/>
      <c r="B34" s="1919" t="s">
        <v>1752</v>
      </c>
      <c r="C34" s="153">
        <f ca="1">IF(C33="自定义",F34,C32-C35)</f>
        <v>16720</v>
      </c>
      <c r="D34" s="951">
        <f ca="1">IF(C33="自定义",ROUND(C34/C32,3),IF(C33="收益比率",SUMIF(INDIRECT("'"&amp;D33&amp;"'"&amp;"!b:b"),"土地收益比率",INDIRECT("'"&amp;D33&amp;"'"&amp;"!c:c")),SUMIF(INDIRECT("'"&amp;D33&amp;"'"&amp;"!b:b"),"土地成本比率",INDIRECT("'"&amp;D33&amp;"'"&amp;"!c:c"))))</f>
        <v>0.89</v>
      </c>
      <c r="E34" s="1920" t="s">
        <v>1753</v>
      </c>
      <c r="F34" s="1451"/>
      <c r="G34" s="134"/>
      <c r="H34" s="134"/>
      <c r="I34" s="134"/>
    </row>
    <row r="35" spans="1:15" ht="15.75" thickBot="1">
      <c r="A35" s="1921"/>
      <c r="B35" s="1922" t="s">
        <v>1754</v>
      </c>
      <c r="C35" s="1285">
        <f ca="1">IF(C33="自定义",F35,ROUND(C32*D35,0))</f>
        <v>2066</v>
      </c>
      <c r="D35" s="1286">
        <f ca="1">IF(C33="自定义",ROUND(C35/C32,3),IF(C33="收益比率",SUMIF(INDIRECT("'"&amp;D33&amp;"'"&amp;"!b:b"),"建筑物收益比率",INDIRECT("'"&amp;D33&amp;"'"&amp;"!c:c")),SUMIF(INDIRECT("'"&amp;D33&amp;"'"&amp;"!b:b"),"建筑物成本比率",INDIRECT("'"&amp;D33&amp;"'"&amp;"!c:c"))))</f>
        <v>0.11</v>
      </c>
      <c r="E35" s="1923" t="s">
        <v>1755</v>
      </c>
      <c r="F35" s="159"/>
      <c r="G35" s="134"/>
      <c r="H35" s="134"/>
      <c r="I35" s="134"/>
    </row>
    <row r="36" spans="1:15" ht="15.75" thickBot="1">
      <c r="A36" s="3391" t="s">
        <v>1756</v>
      </c>
      <c r="B36" s="1924" t="s">
        <v>1757</v>
      </c>
      <c r="C36" s="150"/>
      <c r="D36" s="1925"/>
      <c r="E36" s="1926"/>
      <c r="F36" s="1927"/>
      <c r="G36" s="134"/>
      <c r="H36" s="134"/>
      <c r="I36" s="134"/>
    </row>
    <row r="37" spans="1:15" ht="15.75" thickBot="1">
      <c r="A37" s="3392"/>
      <c r="B37" s="1811" t="s">
        <v>1758</v>
      </c>
      <c r="C37" s="152"/>
      <c r="D37" s="1254"/>
      <c r="E37" s="1254"/>
      <c r="F37" s="1927"/>
      <c r="G37" s="134"/>
      <c r="H37" s="134"/>
      <c r="I37" s="134"/>
    </row>
    <row r="38" spans="1:15" ht="15.75" thickBot="1">
      <c r="A38" s="3393"/>
      <c r="B38" s="1928" t="s">
        <v>1759</v>
      </c>
      <c r="C38" s="683">
        <f>E40</f>
        <v>3410</v>
      </c>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f>ROUND([3]基准地价修正!$V$18*0.25*1.0305,0)</f>
        <v>3410</v>
      </c>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11" t="s">
        <v>1770</v>
      </c>
      <c r="B45" s="3412"/>
      <c r="C45" s="3413"/>
      <c r="D45" s="160">
        <f ca="1">ROUND(H101*F45,0)</f>
        <v>18786</v>
      </c>
      <c r="E45" s="161" t="s">
        <v>1771</v>
      </c>
      <c r="F45" s="162">
        <v>1</v>
      </c>
      <c r="G45" s="163" t="s">
        <v>1772</v>
      </c>
      <c r="H45" s="134"/>
      <c r="I45" s="134"/>
      <c r="J45" s="3328" t="s">
        <v>1773</v>
      </c>
      <c r="K45" s="3328"/>
      <c r="L45" s="3328"/>
      <c r="M45" s="3328"/>
      <c r="N45" s="3328"/>
      <c r="O45" s="3328"/>
    </row>
    <row r="46" spans="1:15" ht="14.25" customHeight="1">
      <c r="A46" s="3408" t="s">
        <v>1774</v>
      </c>
      <c r="B46" s="3409"/>
      <c r="C46" s="3409"/>
      <c r="D46" s="3409"/>
      <c r="E46" s="3409"/>
      <c r="F46" s="3409"/>
      <c r="G46" s="3410"/>
      <c r="H46" s="1943"/>
      <c r="I46" s="164"/>
      <c r="J46" s="2699">
        <v>1</v>
      </c>
      <c r="K46" s="3329" t="s">
        <v>1775</v>
      </c>
      <c r="L46" s="3329"/>
      <c r="M46" s="3330"/>
      <c r="N46" s="3330"/>
      <c r="O46" s="3330"/>
    </row>
    <row r="47" spans="1:15" ht="12" customHeight="1">
      <c r="A47" s="165" t="s">
        <v>1776</v>
      </c>
      <c r="B47" s="166"/>
      <c r="C47" s="167"/>
      <c r="D47" s="1200" t="s">
        <v>1777</v>
      </c>
      <c r="E47" s="308" t="s">
        <v>1778</v>
      </c>
      <c r="F47" s="168" t="s">
        <v>1779</v>
      </c>
      <c r="G47" s="2722" t="s">
        <v>1780</v>
      </c>
      <c r="H47" s="2723"/>
      <c r="I47" s="164"/>
      <c r="J47" s="2699">
        <v>2</v>
      </c>
      <c r="K47" s="3329" t="s">
        <v>1781</v>
      </c>
      <c r="L47" s="3329"/>
      <c r="M47" s="3331">
        <f>'数据-取费表'!B2</f>
        <v>44869</v>
      </c>
      <c r="N47" s="3331"/>
      <c r="O47" s="3331"/>
    </row>
    <row r="48" spans="1:15" ht="25.5">
      <c r="A48" s="3394" t="s">
        <v>1782</v>
      </c>
      <c r="B48" s="3395"/>
      <c r="C48" s="3395"/>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1783</v>
      </c>
      <c r="H48" s="2726"/>
      <c r="I48" s="1943"/>
      <c r="J48" s="2699">
        <v>3</v>
      </c>
      <c r="K48" s="3329" t="s">
        <v>1784</v>
      </c>
      <c r="L48" s="3329"/>
      <c r="M48" s="3332">
        <f ca="1">H101</f>
        <v>18786</v>
      </c>
      <c r="N48" s="3332"/>
      <c r="O48" s="3332"/>
    </row>
    <row r="49" spans="1:35" ht="25.5" customHeight="1">
      <c r="A49" s="2507" t="s">
        <v>1785</v>
      </c>
      <c r="B49" s="3377" t="s">
        <v>1786</v>
      </c>
      <c r="C49" s="3377"/>
      <c r="D49" s="1726">
        <v>0</v>
      </c>
      <c r="E49" s="330" t="s">
        <v>1787</v>
      </c>
      <c r="F49" s="2600" t="s">
        <v>34</v>
      </c>
      <c r="G49" s="3360"/>
      <c r="H49" s="2479" t="s">
        <v>2634</v>
      </c>
      <c r="I49" s="2480"/>
      <c r="J49" s="2699">
        <v>4</v>
      </c>
      <c r="K49" s="3329" t="str">
        <f>IF(项目基本情况!E8="房地产抵押价值","房地产抵押价值","抵押担保权已注销时的房地产抵押价值")</f>
        <v>房地产抵押价值</v>
      </c>
      <c r="L49" s="3329"/>
      <c r="M49" s="3332">
        <f ca="1">IF(项目基本情况!E8="房地产抵押价值",H107,H109)</f>
        <v>15376</v>
      </c>
      <c r="N49" s="3332"/>
      <c r="O49" s="3332"/>
    </row>
    <row r="50" spans="1:35" ht="25.5" customHeight="1">
      <c r="A50" s="2727"/>
      <c r="B50" s="3377" t="s">
        <v>1788</v>
      </c>
      <c r="C50" s="3377"/>
      <c r="D50" s="2728"/>
      <c r="E50" s="338"/>
      <c r="F50" s="2600"/>
      <c r="G50" s="3361"/>
      <c r="H50" s="2481" t="s">
        <v>2635</v>
      </c>
      <c r="I50" s="2480"/>
      <c r="J50" s="3328" t="s">
        <v>1789</v>
      </c>
      <c r="K50" s="3328"/>
      <c r="L50" s="3328"/>
      <c r="M50" s="3328"/>
      <c r="N50" s="3328"/>
      <c r="O50" s="3328"/>
    </row>
    <row r="51" spans="1:35" ht="20.45" customHeight="1">
      <c r="A51" s="2729"/>
      <c r="B51" s="3377" t="s">
        <v>1790</v>
      </c>
      <c r="C51" s="3377"/>
      <c r="D51" s="1200"/>
      <c r="E51" s="333"/>
      <c r="F51" s="2600"/>
      <c r="G51" s="3362"/>
      <c r="H51" s="2481" t="s">
        <v>2636</v>
      </c>
      <c r="I51" s="2480"/>
      <c r="J51" s="2700" t="s">
        <v>1791</v>
      </c>
      <c r="K51" s="3329" t="s">
        <v>1792</v>
      </c>
      <c r="L51" s="3329"/>
      <c r="M51" s="2700" t="s">
        <v>1793</v>
      </c>
      <c r="N51" s="2700" t="s">
        <v>1794</v>
      </c>
      <c r="O51" s="2700" t="s">
        <v>1795</v>
      </c>
    </row>
    <row r="52" spans="1:35" ht="24" customHeight="1">
      <c r="A52" s="2509" t="s">
        <v>1796</v>
      </c>
      <c r="B52" s="3377" t="s">
        <v>1797</v>
      </c>
      <c r="C52" s="3377"/>
      <c r="D52" s="1200">
        <f ca="1">ROUND(D45*'数据-取费表'!B41/(1+'数据-取费表'!C42),0)</f>
        <v>1002</v>
      </c>
      <c r="E52" s="2508" t="s">
        <v>1798</v>
      </c>
      <c r="F52" s="2730">
        <f>'数据-取费表'!B41</f>
        <v>5.6000000000000001E-2</v>
      </c>
      <c r="G52" s="2731"/>
      <c r="H52" s="2720"/>
      <c r="I52" s="1944"/>
      <c r="J52" s="2699">
        <v>1</v>
      </c>
      <c r="K52" s="3354" t="s">
        <v>1799</v>
      </c>
      <c r="L52" s="3354"/>
      <c r="M52" s="2701" t="b">
        <f>D48</f>
        <v>0</v>
      </c>
      <c r="N52" s="2699" t="str">
        <f>E48</f>
        <v>销售额×税（费）率</v>
      </c>
      <c r="O52" s="2702">
        <f>F48</f>
        <v>5.6000000000000001E-2</v>
      </c>
    </row>
    <row r="53" spans="1:35" ht="12" customHeight="1">
      <c r="A53" s="2509" t="s">
        <v>1800</v>
      </c>
      <c r="B53" s="3378" t="s">
        <v>2791</v>
      </c>
      <c r="C53" s="3379"/>
      <c r="D53" s="1200">
        <f ca="1">ROUND(D45*'数据-取费表'!B41/(1+'数据-取费表'!C42),0)</f>
        <v>1002</v>
      </c>
      <c r="E53" s="2508" t="s">
        <v>1798</v>
      </c>
      <c r="F53" s="2730">
        <f>'数据-取费表'!B41</f>
        <v>5.6000000000000001E-2</v>
      </c>
      <c r="G53" s="2731"/>
      <c r="H53" s="2720"/>
      <c r="I53" s="1944"/>
      <c r="J53" s="2699">
        <v>2</v>
      </c>
      <c r="K53" s="3354" t="s">
        <v>1801</v>
      </c>
      <c r="L53" s="3354"/>
      <c r="M53" s="2701">
        <f t="shared" ref="M53:O54" ca="1" si="0">D55</f>
        <v>9</v>
      </c>
      <c r="N53" s="2699" t="str">
        <f t="shared" si="0"/>
        <v>销售额×税（费）率</v>
      </c>
      <c r="O53" s="2702" t="str">
        <f t="shared" si="0"/>
        <v>免征</v>
      </c>
    </row>
    <row r="54" spans="1:35" ht="12" customHeight="1">
      <c r="A54" s="2509" t="s">
        <v>1802</v>
      </c>
      <c r="B54" s="3378" t="s">
        <v>2792</v>
      </c>
      <c r="C54" s="3379"/>
      <c r="D54" s="1200">
        <f ca="1">C68</f>
        <v>1002</v>
      </c>
      <c r="E54" s="333" t="s">
        <v>1803</v>
      </c>
      <c r="F54" s="2730">
        <f>'数据-取费表'!B41</f>
        <v>5.6000000000000001E-2</v>
      </c>
      <c r="G54" s="2731"/>
      <c r="H54" s="2732"/>
      <c r="I54" s="1944"/>
      <c r="J54" s="2699">
        <v>3</v>
      </c>
      <c r="K54" s="3354" t="s">
        <v>1804</v>
      </c>
      <c r="L54" s="3354"/>
      <c r="M54" s="2701">
        <f t="shared" ca="1" si="0"/>
        <v>10633</v>
      </c>
      <c r="N54" s="2699" t="str">
        <f t="shared" si="0"/>
        <v>增值额×税（费）率</v>
      </c>
      <c r="O54" s="2703" t="str">
        <f t="shared" si="0"/>
        <v>免征</v>
      </c>
    </row>
    <row r="55" spans="1:35" ht="24" customHeight="1">
      <c r="A55" s="3417" t="s">
        <v>1805</v>
      </c>
      <c r="B55" s="3395"/>
      <c r="C55" s="3395"/>
      <c r="D55" s="2498">
        <f ca="1">IF(H55="个人住宅",0,ROUND(D45*I55,0))</f>
        <v>9</v>
      </c>
      <c r="E55" s="2508" t="s">
        <v>1806</v>
      </c>
      <c r="F55" s="2730" t="str">
        <f>IF(H55="正常",I55,"免征")</f>
        <v>免征</v>
      </c>
      <c r="G55" s="2731"/>
      <c r="H55" s="2726"/>
      <c r="I55" s="170">
        <f>'数据-取费表'!B49</f>
        <v>5.0000000000000001E-4</v>
      </c>
      <c r="J55" s="2699">
        <f>IF(H59="非个人房产","",4)</f>
        <v>4</v>
      </c>
      <c r="K55" s="3354" t="str">
        <f>IF(H59="非个人房产","——","个人所得税")</f>
        <v>个人所得税</v>
      </c>
      <c r="L55" s="3354"/>
      <c r="M55" s="2704">
        <f ca="1">D59</f>
        <v>179</v>
      </c>
      <c r="N55" s="2179" t="str">
        <f>E59</f>
        <v>差额计税</v>
      </c>
      <c r="O55" s="2705">
        <f>F59</f>
        <v>0.01</v>
      </c>
    </row>
    <row r="56" spans="1:35" ht="24.75">
      <c r="A56" s="3417" t="s">
        <v>1807</v>
      </c>
      <c r="B56" s="3395"/>
      <c r="C56" s="3395"/>
      <c r="D56" s="2498">
        <f ca="1">IF(H56="个人住宅",D57,D58)</f>
        <v>10633</v>
      </c>
      <c r="E56" s="2508" t="s">
        <v>1808</v>
      </c>
      <c r="F56" s="2730" t="str">
        <f>IF(H56="正常",F58,"免征")</f>
        <v>免征</v>
      </c>
      <c r="G56" s="2733" t="s">
        <v>1809</v>
      </c>
      <c r="H56" s="2734"/>
      <c r="I56" s="1945"/>
      <c r="J56" s="2699" t="str">
        <f>IF(项目基本情况!K6="上海银行",IF(J55="",4,J55+1),"")</f>
        <v/>
      </c>
      <c r="K56" s="3335" t="str">
        <f>IF(项目基本情况!K6="上海银行","其他处置费用","")</f>
        <v/>
      </c>
      <c r="L56" s="3336"/>
      <c r="M56" s="2701" t="str">
        <f>IF(项目基本情况!K6="上海银行",M69,"")</f>
        <v/>
      </c>
      <c r="N56" s="3335" t="str">
        <f>IF(项目基本情况!K6="上海银行","包含处置中涉及的律师、诉讼、拍卖、评估等费用","")</f>
        <v/>
      </c>
      <c r="O56" s="3338"/>
    </row>
    <row r="57" spans="1:35" ht="12.75">
      <c r="A57" s="2509" t="s">
        <v>1785</v>
      </c>
      <c r="B57" s="3378" t="s">
        <v>1810</v>
      </c>
      <c r="C57" s="3379"/>
      <c r="D57" s="1726">
        <v>0</v>
      </c>
      <c r="E57" s="330" t="s">
        <v>1787</v>
      </c>
      <c r="F57" s="308"/>
      <c r="G57" s="2731"/>
      <c r="H57" s="2735"/>
      <c r="I57" s="1945"/>
      <c r="J57" s="3354">
        <f>IF(AND(J55="",J56=""),4,IF(项目基本情况!K6="上海银行",结果表!J56+1,结果表!J55+1))</f>
        <v>5</v>
      </c>
      <c r="K57" s="3354" t="s">
        <v>1811</v>
      </c>
      <c r="L57" s="2706" t="s">
        <v>1812</v>
      </c>
      <c r="M57" s="2707"/>
      <c r="N57" s="2708">
        <f ca="1">SUMIF(M52:M56,"&lt;9e307")</f>
        <v>10821</v>
      </c>
      <c r="O57" s="2709"/>
      <c r="P57" s="2869">
        <f ca="1">N57/M49</f>
        <v>0.70375910509885531</v>
      </c>
    </row>
    <row r="58" spans="1:35" ht="24.75">
      <c r="A58" s="2509" t="s">
        <v>1796</v>
      </c>
      <c r="B58" s="3378" t="s">
        <v>1813</v>
      </c>
      <c r="C58" s="3377"/>
      <c r="D58" s="2498">
        <f ca="1">IF(H58="转让取得",C81,C97)</f>
        <v>10633</v>
      </c>
      <c r="E58" s="2508" t="s">
        <v>1808</v>
      </c>
      <c r="F58" s="308" t="s">
        <v>34</v>
      </c>
      <c r="G58" s="2731"/>
      <c r="H58" s="2734"/>
      <c r="I58" s="1945"/>
      <c r="J58" s="3354"/>
      <c r="K58" s="3354"/>
      <c r="L58" s="2706" t="s">
        <v>1814</v>
      </c>
      <c r="M58" s="2710"/>
      <c r="N58" s="2711" t="str">
        <f ca="1">NUMBERSTRING(INT(N57*10000),2)&amp;"元整"</f>
        <v>壹亿零捌佰贰拾壹万元整</v>
      </c>
      <c r="O58" s="2712"/>
    </row>
    <row r="59" spans="1:35" ht="24.75" thickBot="1">
      <c r="A59" s="3358" t="s">
        <v>1815</v>
      </c>
      <c r="B59" s="3359"/>
      <c r="C59" s="3359"/>
      <c r="D59" s="2736">
        <f ca="1">IF(H59="非个人房产","——",IF(H59="个人住宅（满五唯一有凭证）",0,IF(H59="个人其他（无凭证）",ROUND(D45*F59,0),ROUND(C67*F59,0))))</f>
        <v>179</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1809</v>
      </c>
      <c r="H59" s="2483"/>
      <c r="I59" s="2482" t="s">
        <v>2637</v>
      </c>
      <c r="J59" s="3356">
        <f>J57+1</f>
        <v>6</v>
      </c>
      <c r="K59" s="3354" t="s">
        <v>1816</v>
      </c>
      <c r="L59" s="2699" t="s">
        <v>1812</v>
      </c>
      <c r="M59" s="2713"/>
      <c r="N59" s="2714">
        <f ca="1">M49-N57</f>
        <v>4555</v>
      </c>
      <c r="O59" s="2715"/>
    </row>
    <row r="60" spans="1:35" ht="12" customHeight="1">
      <c r="A60" s="1946"/>
      <c r="B60" s="1884"/>
      <c r="C60" s="1884"/>
      <c r="D60" s="1884"/>
      <c r="E60" s="1714"/>
      <c r="F60" s="1945"/>
      <c r="G60" s="1945"/>
      <c r="H60" s="1947"/>
      <c r="I60" s="134"/>
      <c r="J60" s="3357"/>
      <c r="K60" s="3354"/>
      <c r="L60" s="2706" t="s">
        <v>1814</v>
      </c>
      <c r="M60" s="2710"/>
      <c r="N60" s="2711" t="str">
        <f ca="1">NUMBERSTRING(INT(N59*10000),2)&amp;"元整"</f>
        <v>肆仟伍佰伍拾伍万元整</v>
      </c>
      <c r="O60" s="2712"/>
    </row>
    <row r="61" spans="1:35" ht="13.5" thickBot="1">
      <c r="A61" s="3416" t="s">
        <v>1817</v>
      </c>
      <c r="B61" s="3416"/>
      <c r="C61" s="3416"/>
      <c r="D61" s="3416"/>
      <c r="E61" s="3416"/>
      <c r="F61" s="1945"/>
      <c r="G61" s="1945"/>
      <c r="H61" s="1947"/>
      <c r="I61" s="134"/>
      <c r="J61" s="2699">
        <f>J59+1</f>
        <v>7</v>
      </c>
      <c r="K61" s="3354" t="s">
        <v>1818</v>
      </c>
      <c r="L61" s="3354"/>
      <c r="M61" s="2716"/>
      <c r="N61" s="2717">
        <f ca="1">ROUND(N59*10000/'数据-汇总表'!E3,0)</f>
        <v>6974</v>
      </c>
      <c r="O61" s="2718"/>
    </row>
    <row r="62" spans="1:35" ht="12.75">
      <c r="A62" s="3373" t="s">
        <v>1819</v>
      </c>
      <c r="B62" s="3374"/>
      <c r="C62" s="2160"/>
      <c r="D62" s="2160" t="s">
        <v>1820</v>
      </c>
      <c r="E62" s="171" t="s">
        <v>1821</v>
      </c>
      <c r="F62" s="1945"/>
      <c r="G62" s="1945"/>
      <c r="H62" s="1947"/>
      <c r="I62" s="134"/>
    </row>
    <row r="63" spans="1:35" ht="12.75">
      <c r="A63" s="178" t="s">
        <v>594</v>
      </c>
      <c r="B63" s="172" t="s">
        <v>1822</v>
      </c>
      <c r="C63" s="2740">
        <f ca="1">ROUND((C64+C65)/(1+'数据-取费表'!C42),0)</f>
        <v>17891</v>
      </c>
      <c r="D63" s="172"/>
      <c r="E63" s="173"/>
      <c r="F63" s="1945"/>
      <c r="G63" s="1945"/>
      <c r="H63" s="1947"/>
      <c r="I63" s="134"/>
      <c r="J63" s="3337" t="s">
        <v>1823</v>
      </c>
      <c r="K63" s="1453" t="s">
        <v>1824</v>
      </c>
      <c r="L63" s="1453">
        <f ca="1">IF(M49&gt;10000,M49*0.5%,IF(AND(M49&gt;1000,M49&lt;=10000),M49*1%,IF(AND(M49&gt;100,M49&lt;=1000),M49*3%,IF(AND(M49&gt;10,M49&lt;=100),M49*5%,M49*8%))))</f>
        <v>76.88</v>
      </c>
      <c r="M63" s="308">
        <f ca="1">ROUND(L63,1)</f>
        <v>76.900000000000006</v>
      </c>
      <c r="N63" s="2719"/>
      <c r="Z63" s="1889"/>
      <c r="AI63" s="1890"/>
    </row>
    <row r="64" spans="1:35" ht="14.25" customHeight="1">
      <c r="A64" s="174" t="s">
        <v>589</v>
      </c>
      <c r="B64" s="175" t="s">
        <v>1825</v>
      </c>
      <c r="C64" s="2741">
        <f ca="1">D45</f>
        <v>18786</v>
      </c>
      <c r="D64" s="175" t="s">
        <v>32</v>
      </c>
      <c r="E64" s="177"/>
      <c r="F64" s="1945"/>
      <c r="G64" s="1945"/>
      <c r="H64" s="1947"/>
      <c r="I64" s="134"/>
      <c r="J64" s="3337"/>
      <c r="K64" s="1453" t="s">
        <v>1826</v>
      </c>
      <c r="L64" s="1453">
        <f ca="1">IF(M49&gt;2000,M49*0.5%,IF(AND(M49&gt;1000,M49&lt;=2000),M49*0.6%,IF(AND(M49&gt;500,M49&lt;=1000),M49*0.7%,IF(AND(M49&gt;200,M49&lt;=500),M49*0.8%,IF(AND(M49&gt;100,M49&lt;=200),M49*0.9%,IF(AND(M49&gt;50,M49&lt;=100),M49*1%,IF(AND(M49&gt;20,M49&lt;=50),M49*1.5%,IF(AND(M49&gt;10,M49&lt;=20),M49*2%,IF(AND(M49&gt;1,M49&lt;=10),M49*2.5%)))))))))</f>
        <v>76.88</v>
      </c>
      <c r="M64" s="308">
        <f t="shared" ref="M64:M65" ca="1" si="1">ROUND(L64,1)</f>
        <v>76.900000000000006</v>
      </c>
      <c r="N64" s="2720" t="s">
        <v>1827</v>
      </c>
      <c r="Z64" s="1889"/>
      <c r="AI64" s="1890"/>
    </row>
    <row r="65" spans="1:35" ht="14.25" customHeight="1">
      <c r="A65" s="174" t="s">
        <v>590</v>
      </c>
      <c r="B65" s="175" t="s">
        <v>1828</v>
      </c>
      <c r="C65" s="2742"/>
      <c r="D65" s="175"/>
      <c r="E65" s="177"/>
      <c r="F65" s="1945"/>
      <c r="G65" s="1945"/>
      <c r="H65" s="1947"/>
      <c r="I65" s="134"/>
      <c r="J65" s="3337"/>
      <c r="K65" s="1453" t="s">
        <v>1829</v>
      </c>
      <c r="L65" s="1453">
        <f ca="1">IF(M49&gt;1000,M49*0.1%,IF(AND(M49&gt;500,M49&lt;=1000),M49*0.5%,IF(AND(M49&gt;50,M49&lt;=500),M49*1%,IF(AND(M49&gt;1,M49&lt;=50),M49*1.5%))))</f>
        <v>15.375999999999999</v>
      </c>
      <c r="M65" s="308">
        <f t="shared" ca="1" si="1"/>
        <v>15.4</v>
      </c>
      <c r="N65" s="2720" t="s">
        <v>1827</v>
      </c>
      <c r="Z65" s="1889"/>
      <c r="AI65" s="1890"/>
    </row>
    <row r="66" spans="1:35" ht="14.25" customHeight="1">
      <c r="A66" s="178" t="s">
        <v>591</v>
      </c>
      <c r="B66" s="179" t="s">
        <v>1830</v>
      </c>
      <c r="C66" s="2743"/>
      <c r="D66" s="179" t="s">
        <v>32</v>
      </c>
      <c r="E66" s="1460" t="s">
        <v>1096</v>
      </c>
      <c r="F66" s="1945"/>
      <c r="G66" s="1945"/>
      <c r="H66" s="1947"/>
      <c r="I66" s="134"/>
      <c r="J66" s="3337"/>
      <c r="K66" s="1453" t="s">
        <v>1831</v>
      </c>
      <c r="L66" s="1453">
        <f ca="1">M49*0.5%</f>
        <v>76.88</v>
      </c>
      <c r="M66" s="308">
        <f ca="1">IF(L66&gt;0.5,0.5,ROUND(L66,0))</f>
        <v>0.5</v>
      </c>
      <c r="N66" s="2720" t="s">
        <v>1832</v>
      </c>
      <c r="Z66" s="1889"/>
      <c r="AI66" s="1890"/>
    </row>
    <row r="67" spans="1:35" ht="14.25" customHeight="1">
      <c r="A67" s="178" t="s">
        <v>592</v>
      </c>
      <c r="B67" s="179" t="s">
        <v>1833</v>
      </c>
      <c r="C67" s="2744">
        <f ca="1">C63-C66</f>
        <v>17891</v>
      </c>
      <c r="D67" s="175" t="s">
        <v>32</v>
      </c>
      <c r="E67" s="177"/>
      <c r="F67" s="1945"/>
      <c r="G67" s="1945"/>
      <c r="H67" s="1947"/>
      <c r="I67" s="134"/>
      <c r="J67" s="3337"/>
      <c r="K67" s="1453" t="s">
        <v>1834</v>
      </c>
      <c r="L67" s="1453">
        <f ca="1">IF(M49&gt;=10000,(8.25+(M49-10000)*0.01%),IF(AND(M49&gt;=8000,M49&lt;10000),(7.85+(M49-8000)*0.02%),IF(AND(M49&gt;=5000,M49&lt;8000),(6.65+(M49-5000)*0.04%),IF(AND(M49&gt;=2000,M49&lt;5000),(4.25+(PM49-2000)*0.08%),IF(AND(M49&gt;=1000,M49&lt;2000),(2.75+(M49-1000)*0.15%),IF(AND(M49&gt;=100,M49&lt;1000),(0.5+(M49-100)*0.25%),IF(AND(M49&gt;0,M49&lt;100),M49*0.5%)))))))</f>
        <v>8.7875999999999994</v>
      </c>
      <c r="M67" s="308">
        <f ca="1">ROUND(L67*0.9,1)</f>
        <v>7.9</v>
      </c>
      <c r="N67" s="2719"/>
      <c r="Z67" s="1889"/>
      <c r="AI67" s="1890"/>
    </row>
    <row r="68" spans="1:35" ht="14.25" customHeight="1" thickBot="1">
      <c r="A68" s="181" t="s">
        <v>593</v>
      </c>
      <c r="B68" s="182" t="s">
        <v>1835</v>
      </c>
      <c r="C68" s="2745">
        <f ca="1">IF(C67&lt;=0,0,ROUND(C67*D68,0))</f>
        <v>1002</v>
      </c>
      <c r="D68" s="2746">
        <f>'数据-取费表'!B41</f>
        <v>5.6000000000000001E-2</v>
      </c>
      <c r="E68" s="184"/>
      <c r="F68" s="1945"/>
      <c r="G68" s="1945"/>
      <c r="H68" s="1947"/>
      <c r="I68" s="134"/>
      <c r="J68" s="3337"/>
      <c r="K68" s="1453" t="s">
        <v>1836</v>
      </c>
      <c r="L68" s="1453">
        <f ca="1">IF(M49&gt;10000,M49*0.5%,IF(AND(M49&gt;5000,M49&lt;=10000),M49*1%,IF(AND(M49&gt;1000,M49&lt;=5000),M49*2%,IF(AND(M49&gt;200,M49&lt;=1000),M49*3%,M49*5%))))</f>
        <v>76.88</v>
      </c>
      <c r="M68" s="308">
        <f ca="1">ROUND(L68,1)</f>
        <v>76.900000000000006</v>
      </c>
      <c r="N68" s="2719"/>
      <c r="Z68" s="1889"/>
      <c r="AI68" s="1890"/>
    </row>
    <row r="69" spans="1:35" s="1909" customFormat="1" ht="16.5" customHeight="1">
      <c r="A69" s="1948"/>
      <c r="B69" s="1949"/>
      <c r="C69" s="1950"/>
      <c r="D69" s="1951"/>
      <c r="E69" s="1952"/>
      <c r="F69" s="1714"/>
      <c r="G69" s="1714"/>
      <c r="H69" s="1713"/>
      <c r="I69" s="1884"/>
      <c r="J69" s="3337"/>
      <c r="K69" s="1453" t="s">
        <v>1837</v>
      </c>
      <c r="L69" s="1453"/>
      <c r="M69" s="308">
        <f ca="1">ROUND(SUM(M63:M68),0)</f>
        <v>255</v>
      </c>
      <c r="N69" s="2721">
        <f ca="1">M69/M49</f>
        <v>1.6584287200832465E-2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1" t="s">
        <v>1838</v>
      </c>
      <c r="B70" s="3382"/>
      <c r="C70" s="3382"/>
      <c r="D70" s="3382"/>
      <c r="E70" s="3382"/>
      <c r="F70" s="3382"/>
      <c r="G70" s="3382"/>
      <c r="H70" s="3382"/>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3" t="s">
        <v>1819</v>
      </c>
      <c r="B71" s="3374"/>
      <c r="C71" s="2160"/>
      <c r="D71" s="2160" t="s">
        <v>1820</v>
      </c>
      <c r="E71" s="185" t="s">
        <v>1821</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4">
        <f ca="1">ROUND(D45/(1+'数据-取费表'!C42),0)</f>
        <v>17891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4">
        <f ca="1">C74+C78</f>
        <v>107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7"/>
      <c r="D75" s="175" t="s">
        <v>32</v>
      </c>
      <c r="E75" s="190" t="s">
        <v>1843</v>
      </c>
      <c r="F75" s="2748"/>
      <c r="G75" s="190" t="s">
        <v>1844</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50">
        <v>0.05</v>
      </c>
      <c r="E76" s="3378" t="s">
        <v>1846</v>
      </c>
      <c r="F76" s="3377"/>
      <c r="G76" s="3377"/>
      <c r="H76" s="338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5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52">
        <f ca="1">ROUND(D45*D78/(1+'数据-取费表'!C42),0)</f>
        <v>107</v>
      </c>
      <c r="D78" s="2753">
        <f>'数据-取费表'!B43</f>
        <v>6.000000000000001E-3</v>
      </c>
      <c r="E78" s="3370" t="s">
        <v>1850</v>
      </c>
      <c r="F78" s="3371"/>
      <c r="G78" s="3371"/>
      <c r="H78" s="337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4">
        <f ca="1">C72-C73</f>
        <v>17784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4">
        <f ca="1">IF(C79&lt;=0,0,C79/C73)</f>
        <v>166.20560747663552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5">
        <f ca="1">ROUND(IF(C79&lt;=0,0,IF(C80&gt;=200%,C79*60%-C73*35%,IF(C80&gt;=100%,C79*50%-C73*15%,IF(C80&gt;=50%,C79*40%-C73*5%,IF(C80&lt;50%,C79*30%,0))))),0)</f>
        <v>10633</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1" t="s">
        <v>1854</v>
      </c>
      <c r="B83" s="3382"/>
      <c r="C83" s="3382"/>
      <c r="D83" s="3382"/>
      <c r="E83" s="3382"/>
      <c r="F83" s="3382"/>
      <c r="G83" s="3382"/>
      <c r="H83" s="338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3" t="s">
        <v>1819</v>
      </c>
      <c r="B84" s="3374"/>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4">
        <f ca="1">ROUND(D45/(1+'数据-取费表'!C42),0)</f>
        <v>17891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4">
        <f ca="1">IF(H88="仅含出让金",C87+C90+C91+C92+C93+C94,C87+C91+C92+C93+C94)</f>
        <v>107</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8"/>
      <c r="D88" s="2753"/>
      <c r="E88" s="199" t="s">
        <v>1857</v>
      </c>
      <c r="F88" s="2501"/>
      <c r="G88" s="200" t="s">
        <v>1858</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52">
        <f>ROUND(C88*D89,0)</f>
        <v>0</v>
      </c>
      <c r="D89" s="275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8"/>
      <c r="D90" s="2753"/>
      <c r="E90" s="199" t="str">
        <f>IF(H88="-","土地取得成本中已包含该笔费用"," ")</f>
        <v xml:space="preserve"> </v>
      </c>
      <c r="F90" s="2501"/>
      <c r="G90" s="3339" t="s">
        <v>2629</v>
      </c>
      <c r="H90" s="3340"/>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52">
        <f>IF(H91="——",成本法!C33,I91)</f>
        <v>0</v>
      </c>
      <c r="D91" s="2753"/>
      <c r="E91" s="3370" t="s">
        <v>1863</v>
      </c>
      <c r="F91" s="3371"/>
      <c r="G91" s="337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52">
        <f>ROUND((C87+C90+C91)*D92,0)</f>
        <v>0</v>
      </c>
      <c r="D92" s="2759"/>
      <c r="E92" s="3370" t="s">
        <v>1866</v>
      </c>
      <c r="F92" s="3371"/>
      <c r="G92" s="3371"/>
      <c r="H92" s="3372"/>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52">
        <f ca="1">ROUND(D45*D93/(1+'数据-取费表'!C42),0)</f>
        <v>107</v>
      </c>
      <c r="D93" s="2753">
        <f>'数据-取费表'!B43</f>
        <v>6.000000000000001E-3</v>
      </c>
      <c r="E93" s="3370" t="s">
        <v>1850</v>
      </c>
      <c r="F93" s="3371"/>
      <c r="G93" s="3371"/>
      <c r="H93" s="337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8">
        <f>ROUND((C87+C90+C91)*D94,0)</f>
        <v>0</v>
      </c>
      <c r="D94" s="2753">
        <v>0.2</v>
      </c>
      <c r="E94" s="3418" t="s">
        <v>1870</v>
      </c>
      <c r="F94" s="3419"/>
      <c r="G94" s="3419"/>
      <c r="H94" s="342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4">
        <f ca="1">ROUND(C85-C86,0)</f>
        <v>17784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4">
        <f ca="1">IF(C95&lt;=0,0,C95/C86)</f>
        <v>166.20560747663552</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5">
        <f ca="1">ROUND(IF(C95&lt;=0,0,IF(C96&gt;=200%,C95*60%-C86*35%,IF(C96&gt;=100%,C95*50%-C86*15%,IF(C96&gt;=50%,C95*40%-C86*5%,IF(C96&lt;50%,C95*30%,0))))),0)</f>
        <v>10633</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0" t="s">
        <v>1872</v>
      </c>
      <c r="B100" s="3321"/>
      <c r="C100" s="3321"/>
      <c r="D100" s="3355"/>
      <c r="E100" s="3321" t="s">
        <v>1873</v>
      </c>
      <c r="F100" s="3321"/>
      <c r="G100" s="3321"/>
      <c r="H100" s="3355"/>
      <c r="I100" s="134"/>
    </row>
    <row r="101" spans="1:35" ht="18.75" customHeight="1">
      <c r="A101" s="3363" t="s">
        <v>1874</v>
      </c>
      <c r="B101" s="3364"/>
      <c r="C101" s="2761" t="str">
        <f>C4</f>
        <v>成本法</v>
      </c>
      <c r="D101" s="2762" t="str">
        <f>D4</f>
        <v>收益法</v>
      </c>
      <c r="E101" s="3333" t="s">
        <v>1875</v>
      </c>
      <c r="F101" s="3334"/>
      <c r="G101" s="1964" t="s">
        <v>1876</v>
      </c>
      <c r="H101" s="2771">
        <f ca="1">H118</f>
        <v>18786</v>
      </c>
      <c r="I101" s="134"/>
    </row>
    <row r="102" spans="1:35" ht="18.75" customHeight="1">
      <c r="A102" s="3365" t="s">
        <v>1877</v>
      </c>
      <c r="B102" s="2760" t="s">
        <v>1876</v>
      </c>
      <c r="C102" s="2761">
        <f ca="1">C19</f>
        <v>21983</v>
      </c>
      <c r="D102" s="2762">
        <f ca="1">D19</f>
        <v>16654</v>
      </c>
      <c r="E102" s="3333"/>
      <c r="F102" s="3334"/>
      <c r="G102" s="1964" t="s">
        <v>1878</v>
      </c>
      <c r="H102" s="2731">
        <f ca="1">I118</f>
        <v>28761</v>
      </c>
      <c r="I102" s="134"/>
    </row>
    <row r="103" spans="1:35" ht="42.75" customHeight="1">
      <c r="A103" s="3365"/>
      <c r="B103" s="2760" t="s">
        <v>1878</v>
      </c>
      <c r="C103" s="2763">
        <f ca="1">C20</f>
        <v>33655</v>
      </c>
      <c r="D103" s="2764">
        <f ca="1">D20</f>
        <v>30764</v>
      </c>
      <c r="E103" s="3326" t="s">
        <v>1879</v>
      </c>
      <c r="F103" s="3327"/>
      <c r="G103" s="1965" t="s">
        <v>1880</v>
      </c>
      <c r="H103" s="2771">
        <f>IF(D36="正常操作",H104+H105+H106,H105+H106)</f>
        <v>3410</v>
      </c>
      <c r="I103" s="134"/>
    </row>
    <row r="104" spans="1:35" ht="18.75" customHeight="1">
      <c r="A104" s="3365" t="s">
        <v>1881</v>
      </c>
      <c r="B104" s="2765" t="s">
        <v>1876</v>
      </c>
      <c r="C104" s="2766">
        <f ca="1">H118</f>
        <v>18786</v>
      </c>
      <c r="D104" s="2767"/>
      <c r="E104" s="1811" t="s">
        <v>1882</v>
      </c>
      <c r="F104" s="1802"/>
      <c r="G104" s="1965" t="s">
        <v>1880</v>
      </c>
      <c r="H104" s="2772">
        <f>IF(D36="同一抵押权人同一抵押物续贷",C36&amp;"（续贷，未扣减，详见特别提示）",C36)</f>
        <v>0</v>
      </c>
      <c r="I104" s="134"/>
    </row>
    <row r="105" spans="1:35" ht="18.75" customHeight="1" thickBot="1">
      <c r="A105" s="3375"/>
      <c r="B105" s="2768" t="s">
        <v>1878</v>
      </c>
      <c r="C105" s="2769">
        <f ca="1">I118</f>
        <v>28761</v>
      </c>
      <c r="D105" s="2770"/>
      <c r="E105" s="1811" t="s">
        <v>1883</v>
      </c>
      <c r="F105" s="1802"/>
      <c r="G105" s="1965" t="s">
        <v>1880</v>
      </c>
      <c r="H105" s="2773">
        <f>C37</f>
        <v>0</v>
      </c>
      <c r="I105" s="134"/>
    </row>
    <row r="106" spans="1:35" ht="18.75" customHeight="1">
      <c r="A106" s="1884" t="s">
        <v>1884</v>
      </c>
      <c r="B106" s="1884"/>
      <c r="C106" s="1884"/>
      <c r="D106" s="1884"/>
      <c r="E106" s="1966" t="s">
        <v>1885</v>
      </c>
      <c r="F106" s="1802"/>
      <c r="G106" s="1965" t="s">
        <v>1880</v>
      </c>
      <c r="H106" s="2773">
        <f>C38</f>
        <v>3410</v>
      </c>
      <c r="I106" s="134"/>
    </row>
    <row r="107" spans="1:35" ht="18.75" customHeight="1">
      <c r="A107" s="134"/>
      <c r="B107" s="134"/>
      <c r="C107" s="134"/>
      <c r="D107" s="134"/>
      <c r="E107" s="3366" t="str">
        <f>IF(项目基本情况!E8="已注销","——","3.房地产抵押价值")</f>
        <v>3.房地产抵押价值</v>
      </c>
      <c r="F107" s="3334"/>
      <c r="G107" s="1964" t="s">
        <v>1876</v>
      </c>
      <c r="H107" s="2771">
        <f ca="1">IF(E107="——","——",H101-H103)</f>
        <v>15376</v>
      </c>
      <c r="I107" s="134"/>
    </row>
    <row r="108" spans="1:35" ht="18.75" customHeight="1">
      <c r="A108" s="134"/>
      <c r="B108" s="134"/>
      <c r="C108" s="134"/>
      <c r="D108" s="134"/>
      <c r="E108" s="3366"/>
      <c r="F108" s="3334"/>
      <c r="G108" s="1964" t="s">
        <v>1878</v>
      </c>
      <c r="H108" s="2731">
        <f ca="1">ROUND(H107*10000/'数据-汇总表'!E3,0)</f>
        <v>23540</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64" t="s">
        <v>1876</v>
      </c>
      <c r="H109" s="2774" t="str">
        <f>IF(E109="——","——",H101-H105-H106)</f>
        <v>——</v>
      </c>
      <c r="I109" s="134"/>
    </row>
    <row r="110" spans="1:35" ht="18.75" customHeight="1">
      <c r="A110" s="134"/>
      <c r="B110" s="134"/>
      <c r="C110" s="134"/>
      <c r="D110" s="134"/>
      <c r="E110" s="3366"/>
      <c r="F110" s="3334"/>
      <c r="G110" s="1964" t="s">
        <v>1878</v>
      </c>
      <c r="H110" s="2731"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v>
      </c>
      <c r="F111" s="3353"/>
      <c r="G111" s="1964" t="s">
        <v>1876</v>
      </c>
      <c r="H111" s="2771" t="str">
        <f>IF(E111="——","——",N59)</f>
        <v>——</v>
      </c>
      <c r="I111" s="134"/>
    </row>
    <row r="112" spans="1:35" ht="18.75" customHeight="1" thickBot="1">
      <c r="A112" s="134"/>
      <c r="B112" s="134"/>
      <c r="C112" s="134"/>
      <c r="D112" s="134"/>
      <c r="E112" s="3368"/>
      <c r="F112" s="3369"/>
      <c r="G112" s="1967" t="s">
        <v>1878</v>
      </c>
      <c r="H112" s="2775" t="str">
        <f>IF(E111="——","——",N61)</f>
        <v>——</v>
      </c>
      <c r="I112" s="134"/>
    </row>
    <row r="113" spans="1:27" ht="18.75" customHeight="1">
      <c r="A113" s="134"/>
      <c r="B113" s="134"/>
      <c r="C113" s="134"/>
      <c r="D113" s="134"/>
      <c r="E113" s="3376" t="s">
        <v>1884</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7" t="s">
        <v>1886</v>
      </c>
      <c r="B115" s="3388"/>
      <c r="C115" s="3388"/>
      <c r="D115" s="3388"/>
      <c r="E115" s="3388"/>
      <c r="F115" s="3388"/>
      <c r="G115" s="3388"/>
      <c r="H115" s="3388"/>
      <c r="I115" s="3389"/>
    </row>
    <row r="116" spans="1:27" ht="27" customHeight="1">
      <c r="A116" s="3341" t="s">
        <v>1887</v>
      </c>
      <c r="B116" s="3345" t="s">
        <v>1888</v>
      </c>
      <c r="C116" s="3345" t="s">
        <v>1889</v>
      </c>
      <c r="D116" s="3351" t="s">
        <v>1890</v>
      </c>
      <c r="E116" s="3352"/>
      <c r="F116" s="3383" t="s">
        <v>1891</v>
      </c>
      <c r="G116" s="3383"/>
      <c r="H116" s="3341" t="s">
        <v>1892</v>
      </c>
      <c r="I116" s="3341"/>
    </row>
    <row r="117" spans="1:27" ht="18.75" customHeight="1">
      <c r="A117" s="3341"/>
      <c r="B117" s="3346"/>
      <c r="C117" s="3346"/>
      <c r="D117" s="2503" t="s">
        <v>1893</v>
      </c>
      <c r="E117" s="2503" t="s">
        <v>1894</v>
      </c>
      <c r="F117" s="2503" t="s">
        <v>1893</v>
      </c>
      <c r="G117" s="2503" t="s">
        <v>1895</v>
      </c>
      <c r="H117" s="2503" t="s">
        <v>1893</v>
      </c>
      <c r="I117" s="2503" t="s">
        <v>1895</v>
      </c>
    </row>
    <row r="118" spans="1:27" ht="24.75" customHeight="1">
      <c r="A118" s="2776" t="str">
        <f>项目基本情况!S2</f>
        <v>北京市房地产</v>
      </c>
      <c r="B118" s="2503">
        <f>M18</f>
        <v>6531.86</v>
      </c>
      <c r="C118" s="2503">
        <f>M19</f>
        <v>0</v>
      </c>
      <c r="D118" s="2503">
        <f ca="1">ROUND(IF(D32="总价",C34,E118*B118/10000),0)</f>
        <v>16720</v>
      </c>
      <c r="E118" s="2503">
        <f ca="1">ROUND(IF(C33="自定义",IF(D32="楼面单价",C34,D118*10000/B118),I118-G118),0)</f>
        <v>25598</v>
      </c>
      <c r="F118" s="2503">
        <f ca="1">ROUND(IF(D32="总价",C35,G118*B118/10000),0)</f>
        <v>2066</v>
      </c>
      <c r="G118" s="2503">
        <f ca="1">ROUND(IF(D32="楼面单价",C35,F118*10000/B118),0)</f>
        <v>3163</v>
      </c>
      <c r="H118" s="2503">
        <f ca="1">ROUND(IF(D32="总价",C32,I118*B118/10000),0)</f>
        <v>18786</v>
      </c>
      <c r="I118" s="2503">
        <f ca="1">ROUND(IF(D32="楼面单价",C32,H118*10000/B118),0)</f>
        <v>28761</v>
      </c>
    </row>
    <row r="119" spans="1:27" ht="18.75" customHeight="1">
      <c r="A119" s="3341" t="s">
        <v>1896</v>
      </c>
      <c r="B119" s="3341"/>
      <c r="C119" s="3341"/>
      <c r="D119" s="3347" t="str">
        <f ca="1">NUMBERSTRING(INT(D118*10000),2)&amp;"元整"</f>
        <v>壹亿陆仟柒佰贰拾万元整</v>
      </c>
      <c r="E119" s="3348"/>
      <c r="F119" s="3347" t="str">
        <f ca="1">NUMBERSTRING(INT(F118*10000),2)&amp;"元整"</f>
        <v>贰仟零陆拾陆万元整</v>
      </c>
      <c r="G119" s="3348"/>
      <c r="H119" s="3347" t="str">
        <f ca="1">NUMBERSTRING(INT(H118*10000),2)&amp;"元整"</f>
        <v>壹亿捌仟柒佰捌拾陆万元整</v>
      </c>
      <c r="I119" s="3348"/>
    </row>
    <row r="120" spans="1:27" ht="18.75" customHeight="1">
      <c r="A120" s="3342" t="str">
        <f>IF(项目基本情况!B9="房地产市场价值","",MID(E103,3,LEN(E103)-2))</f>
        <v>估价师知悉的法定优先受偿款</v>
      </c>
      <c r="B120" s="3343"/>
      <c r="C120" s="3344"/>
      <c r="D120" s="3342">
        <f>H103</f>
        <v>3410</v>
      </c>
      <c r="E120" s="3343"/>
      <c r="F120" s="3343"/>
      <c r="G120" s="3343"/>
      <c r="H120" s="3343"/>
      <c r="I120" s="3344"/>
      <c r="J120" s="1889"/>
      <c r="K120" s="1889" t="str">
        <f>IF(D120=0,"故，本次评估不存在"&amp;A120,"故，本次评估"&amp;A120&amp;"为人民币"&amp;D120&amp;"万元整。")</f>
        <v>故，本次评估估价师知悉的法定优先受偿款为人民币3410万元整。</v>
      </c>
      <c r="L120" s="1889"/>
      <c r="M120" s="1889"/>
      <c r="N120" s="1889"/>
      <c r="O120" s="1889"/>
      <c r="P120" s="1889"/>
      <c r="Q120" s="1889"/>
      <c r="R120" s="1889"/>
      <c r="S120" s="1889"/>
    </row>
    <row r="121" spans="1:27" ht="18.75" customHeight="1">
      <c r="A121" s="3384" t="s">
        <v>1896</v>
      </c>
      <c r="B121" s="3385"/>
      <c r="C121" s="3386"/>
      <c r="D121" s="3347" t="str">
        <f>IF(D120=0,"零元整",NUMBERSTRING(INT(D120*10000),2)&amp;"元整")</f>
        <v>叁仟肆佰壹拾万元整</v>
      </c>
      <c r="E121" s="3349"/>
      <c r="F121" s="3349"/>
      <c r="G121" s="3349"/>
      <c r="H121" s="3349"/>
      <c r="I121" s="3348"/>
      <c r="AA121" s="734"/>
    </row>
    <row r="122" spans="1:27" ht="18.75" customHeight="1">
      <c r="A122" s="3353" t="str">
        <f>IF(项目基本情况!B9="房地产市场价值","",MID(E107,3,LEN(E107)-2))</f>
        <v>房地产抵押价值</v>
      </c>
      <c r="B122" s="3353"/>
      <c r="C122" s="3353"/>
      <c r="D122" s="3342">
        <f ca="1">H107</f>
        <v>15376</v>
      </c>
      <c r="E122" s="3343"/>
      <c r="F122" s="3343"/>
      <c r="G122" s="3343"/>
      <c r="H122" s="3343"/>
      <c r="I122" s="3344"/>
      <c r="AA122" s="734"/>
    </row>
    <row r="123" spans="1:27" ht="18.75" customHeight="1">
      <c r="A123" s="3341" t="s">
        <v>1896</v>
      </c>
      <c r="B123" s="3341"/>
      <c r="C123" s="3341"/>
      <c r="D123" s="3347" t="str">
        <f ca="1">NUMBERSTRING(INT(D122*10000),2)&amp;"元整"</f>
        <v>壹亿伍仟叁佰柒拾陆万元整</v>
      </c>
      <c r="E123" s="3349"/>
      <c r="F123" s="3349"/>
      <c r="G123" s="3349"/>
      <c r="H123" s="3349"/>
      <c r="I123" s="3348"/>
      <c r="AA123" s="734"/>
    </row>
    <row r="124" spans="1:27" ht="18.75" customHeight="1">
      <c r="A124" s="3353" t="str">
        <f>IF(项目基本情况!B9="房地产市场价值","",MID(E109,3,LEN(E109)-2))</f>
        <v/>
      </c>
      <c r="B124" s="3353"/>
      <c r="C124" s="3353"/>
      <c r="D124" s="3342" t="str">
        <f>H109</f>
        <v>——</v>
      </c>
      <c r="E124" s="3343"/>
      <c r="F124" s="3343"/>
      <c r="G124" s="3343"/>
      <c r="H124" s="3343"/>
      <c r="I124" s="3344"/>
      <c r="AA124" s="734"/>
    </row>
    <row r="125" spans="1:27" ht="18.75" customHeight="1">
      <c r="A125" s="3341" t="s">
        <v>1896</v>
      </c>
      <c r="B125" s="3341"/>
      <c r="C125" s="3341"/>
      <c r="D125" s="3347" t="e">
        <f>NUMBERSTRING(INT(D124*10000),2)&amp;"元整"</f>
        <v>#VALUE!</v>
      </c>
      <c r="E125" s="3349"/>
      <c r="F125" s="3349"/>
      <c r="G125" s="3349"/>
      <c r="H125" s="3349"/>
      <c r="I125" s="3348"/>
      <c r="AA125" s="734"/>
    </row>
    <row r="126" spans="1:27" ht="18.75" customHeight="1">
      <c r="A126" s="3353" t="str">
        <f>IF(项目基本情况!B9="房地产市场价值","",MID(E111,3,LEN(E111)-2))</f>
        <v/>
      </c>
      <c r="B126" s="3353"/>
      <c r="C126" s="3353"/>
      <c r="D126" s="3342" t="str">
        <f>H111</f>
        <v>——</v>
      </c>
      <c r="E126" s="3343"/>
      <c r="F126" s="3343"/>
      <c r="G126" s="3343"/>
      <c r="H126" s="3343"/>
      <c r="I126" s="3344"/>
      <c r="AA126" s="734"/>
    </row>
    <row r="127" spans="1:27" ht="18.75" customHeight="1">
      <c r="A127" s="3341" t="s">
        <v>1896</v>
      </c>
      <c r="B127" s="3341"/>
      <c r="C127" s="3341"/>
      <c r="D127" s="3347" t="e">
        <f>NUMBERSTRING(INT(D126*10000),2)&amp;"元整"</f>
        <v>#VALUE!</v>
      </c>
      <c r="E127" s="3349"/>
      <c r="F127" s="3349"/>
      <c r="G127" s="3349"/>
      <c r="H127" s="3349"/>
      <c r="I127" s="3348"/>
      <c r="AA127" s="734"/>
    </row>
    <row r="128" spans="1:27" ht="21.75" customHeight="1">
      <c r="A128" s="3350" t="s">
        <v>1897</v>
      </c>
      <c r="B128" s="3350"/>
      <c r="C128" s="3350"/>
      <c r="D128" s="3350"/>
      <c r="E128" s="3350"/>
      <c r="F128" s="3350"/>
      <c r="G128" s="3350"/>
      <c r="H128" s="3350"/>
      <c r="I128" s="3350"/>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70" zoomScaleNormal="70" zoomScaleSheetLayoutView="70" workbookViewId="0">
      <selection activeCell="E58" sqref="E5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21983</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33655</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13770</v>
      </c>
      <c r="D5" s="217" t="s">
        <v>1913</v>
      </c>
      <c r="E5" s="218" t="s">
        <v>1914</v>
      </c>
      <c r="F5" s="218" t="s">
        <v>1915</v>
      </c>
      <c r="G5" s="219"/>
    </row>
    <row r="6" spans="1:9" s="220" customFormat="1" ht="13.5" customHeight="1">
      <c r="A6" s="867" t="s">
        <v>1916</v>
      </c>
      <c r="B6" s="221" t="s">
        <v>1917</v>
      </c>
      <c r="C6" s="222">
        <f>[2]基准地价修正!$V$18</f>
        <v>13235</v>
      </c>
      <c r="D6" s="223"/>
      <c r="E6" s="224"/>
      <c r="F6" s="224"/>
      <c r="G6" s="225"/>
    </row>
    <row r="7" spans="1:9" s="220" customFormat="1" ht="13.5" customHeight="1">
      <c r="A7" s="867" t="s">
        <v>1918</v>
      </c>
      <c r="B7" s="221" t="s">
        <v>1919</v>
      </c>
      <c r="C7" s="226">
        <f>ROUND(C6*F7,0)</f>
        <v>404</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131</v>
      </c>
      <c r="D8" s="228"/>
      <c r="E8" s="226"/>
      <c r="F8" s="227"/>
      <c r="G8" s="1993" t="s">
        <v>3190</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3191</v>
      </c>
      <c r="H9" s="1252"/>
      <c r="I9" s="1995" t="s">
        <v>1923</v>
      </c>
    </row>
    <row r="10" spans="1:9" s="220" customFormat="1" ht="13.5" customHeight="1">
      <c r="A10" s="868" t="s">
        <v>620</v>
      </c>
      <c r="B10" s="230" t="s">
        <v>1924</v>
      </c>
      <c r="C10" s="231">
        <f ca="1">ROUND(D10*E10/10000,0)</f>
        <v>131</v>
      </c>
      <c r="D10" s="935">
        <f ca="1">IF(B1="",'数据-汇总表'!E6,IF(INDIRECT("'数据-取费表'!c"&amp;$G$1)="住宅",INDIRECT("'数据-取费表'!s"&amp;$G$1),INDIRECT("'数据-取费表'!k"&amp;$G$1)+INDIRECT("'数据-取费表'!s"&amp;$G$1)))</f>
        <v>6531.86</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6531.86</v>
      </c>
      <c r="E19" s="217">
        <f>'数据-取费表'!B31</f>
        <v>200</v>
      </c>
      <c r="F19" s="237"/>
      <c r="G19" s="1993" t="s">
        <v>3205</v>
      </c>
    </row>
    <row r="20" spans="1:7" s="220" customFormat="1" ht="13.5" customHeight="1">
      <c r="A20" s="261" t="s">
        <v>1937</v>
      </c>
      <c r="B20" s="216" t="s">
        <v>1938</v>
      </c>
      <c r="C20" s="238">
        <f ca="1">ROUND((C5+C19)*F20,0)</f>
        <v>275</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1178</v>
      </c>
      <c r="D22" s="241">
        <f ca="1">C26</f>
        <v>8.0000000000000004E-4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1167</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11</v>
      </c>
      <c r="D25" s="244"/>
      <c r="E25" s="247"/>
      <c r="F25" s="245"/>
      <c r="G25" s="248" t="s">
        <v>1954</v>
      </c>
    </row>
    <row r="26" spans="1:7" s="220" customFormat="1">
      <c r="A26" s="869" t="s">
        <v>614</v>
      </c>
      <c r="B26" s="221" t="s">
        <v>1955</v>
      </c>
      <c r="C26" s="244">
        <f ca="1">ROUND(IF('数据-取费表'!B22&lt;=1,F21*F22*'数据-取费表'!B23/2,F21*(POWER((1+F22),'数据-取费表'!B23/2)-1)),4)</f>
        <v>8.0000000000000004E-4</v>
      </c>
      <c r="D26" s="244"/>
      <c r="E26" s="247"/>
      <c r="F26" s="245"/>
      <c r="G26" s="249"/>
    </row>
    <row r="27" spans="1:7" s="220" customFormat="1" ht="24.75">
      <c r="A27" s="261" t="s">
        <v>1956</v>
      </c>
      <c r="B27" s="250" t="s">
        <v>1957</v>
      </c>
      <c r="C27" s="251">
        <f ca="1">C28</f>
        <v>2809</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ROUND((C5+C19+C20)*F27*'数据-取费表'!B21/'数据-取费表'!B20,0)</f>
        <v>2809</v>
      </c>
      <c r="D28" s="241"/>
      <c r="E28" s="242"/>
      <c r="F28" s="252"/>
      <c r="G28" s="253"/>
    </row>
    <row r="29" spans="1:7" s="220" customFormat="1" ht="13.5" customHeight="1">
      <c r="A29" s="869" t="s">
        <v>611</v>
      </c>
      <c r="B29" s="254" t="s">
        <v>1961</v>
      </c>
      <c r="C29" s="244">
        <f ca="1">ROUND(C21*F27*'数据-取费表'!B21/'数据-取费表'!B20,4)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19560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2383</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2155</v>
      </c>
      <c r="D34" s="223"/>
      <c r="E34" s="226"/>
      <c r="F34" s="263">
        <f ca="1">IF('数据-取费表'!B24=0,1,IF(B1="",'数据-取费表'!N16,INDIRECT("'数据-取费表'!n"&amp;$G$1)))</f>
        <v>1</v>
      </c>
      <c r="G34" s="225" t="s">
        <v>1970</v>
      </c>
    </row>
    <row r="35" spans="1:7" ht="13.5" customHeight="1">
      <c r="A35" s="869" t="s">
        <v>615</v>
      </c>
      <c r="B35" s="221" t="s">
        <v>1971</v>
      </c>
      <c r="C35" s="226">
        <f ca="1">ROUND(C34*F35,0)</f>
        <v>65</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131</v>
      </c>
      <c r="D37" s="223">
        <f ca="1">D19</f>
        <v>6531.86</v>
      </c>
      <c r="E37" s="255">
        <f>'数据-取费表'!B35</f>
        <v>200</v>
      </c>
      <c r="F37" s="265"/>
      <c r="G37" s="267" t="s">
        <v>1976</v>
      </c>
    </row>
    <row r="38" spans="1:7" ht="13.5" customHeight="1">
      <c r="A38" s="869" t="s">
        <v>618</v>
      </c>
      <c r="B38" s="221" t="s">
        <v>1977</v>
      </c>
      <c r="C38" s="226">
        <f ca="1">ROUND(C34*F38,0)</f>
        <v>32</v>
      </c>
      <c r="D38" s="226"/>
      <c r="E38" s="226"/>
      <c r="F38" s="265">
        <f>'数据-取费表'!B36</f>
        <v>1.4999999999999999E-2</v>
      </c>
      <c r="G38" s="225" t="s">
        <v>1972</v>
      </c>
    </row>
    <row r="39" spans="1:7" s="220" customFormat="1" ht="13.5" customHeight="1">
      <c r="A39" s="261" t="s">
        <v>1978</v>
      </c>
      <c r="B39" s="216" t="s">
        <v>1979</v>
      </c>
      <c r="C39" s="238">
        <f ca="1">ROUND(C33*F20,0)</f>
        <v>48</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101</v>
      </c>
      <c r="D41" s="241">
        <f ca="1">C44</f>
        <v>8.0000000000000004E-4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99</v>
      </c>
      <c r="D42" s="244"/>
      <c r="E42" s="244"/>
      <c r="F42" s="245"/>
      <c r="G42" s="3423" t="s">
        <v>1988</v>
      </c>
    </row>
    <row r="43" spans="1:7" ht="13.5" customHeight="1">
      <c r="A43" s="869" t="s">
        <v>611</v>
      </c>
      <c r="B43" s="221" t="s">
        <v>1989</v>
      </c>
      <c r="C43" s="244">
        <f ca="1">ROUND(IF('数据-取费表'!B22&lt;=1,C39*F22*'数据-取费表'!B21/2,C39*(POWER((1+F22),'数据-取费表'!B21/2)-1)),0)</f>
        <v>2</v>
      </c>
      <c r="D43" s="244"/>
      <c r="E43" s="244"/>
      <c r="F43" s="245"/>
      <c r="G43" s="3424"/>
    </row>
    <row r="44" spans="1:7" ht="13.5" customHeight="1">
      <c r="A44" s="869" t="s">
        <v>612</v>
      </c>
      <c r="B44" s="221" t="s">
        <v>1990</v>
      </c>
      <c r="C44" s="244">
        <f ca="1">ROUND(IF('数据-取费表'!B22&lt;=1,C40*F22*'数据-取费表'!B21/2,C40*(POWER((1+F22),'数据-取费表'!B21/2)-1)),4)</f>
        <v>8.0000000000000004E-4</v>
      </c>
      <c r="D44" s="244"/>
      <c r="E44" s="244"/>
      <c r="F44" s="245"/>
      <c r="G44" s="3425"/>
    </row>
    <row r="45" spans="1:7" s="220" customFormat="1" ht="13.5" customHeight="1">
      <c r="A45" s="261" t="s">
        <v>1991</v>
      </c>
      <c r="B45" s="250" t="s">
        <v>1957</v>
      </c>
      <c r="C45" s="251">
        <f ca="1">C46</f>
        <v>486</v>
      </c>
      <c r="D45" s="241">
        <f ca="1">C47</f>
        <v>4.0000000000000001E-3</v>
      </c>
      <c r="E45" s="242" t="s">
        <v>1983</v>
      </c>
      <c r="F45" s="2488">
        <f ca="1">F27</f>
        <v>0.2</v>
      </c>
      <c r="G45" s="253" t="s">
        <v>1992</v>
      </c>
    </row>
    <row r="46" spans="1:7" s="220" customFormat="1" ht="13.5" customHeight="1">
      <c r="A46" s="869" t="s">
        <v>610</v>
      </c>
      <c r="B46" s="254" t="s">
        <v>1993</v>
      </c>
      <c r="C46" s="255">
        <f ca="1">ROUND((C33+C39)*F27,0)</f>
        <v>486</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3274</v>
      </c>
      <c r="D49" s="238"/>
      <c r="E49" s="238"/>
      <c r="F49" s="270"/>
      <c r="G49" s="240" t="s">
        <v>1998</v>
      </c>
    </row>
    <row r="50" spans="1:7" s="264" customFormat="1" ht="24">
      <c r="A50" s="261" t="s">
        <v>1999</v>
      </c>
      <c r="B50" s="216" t="s">
        <v>2000</v>
      </c>
      <c r="C50" s="238"/>
      <c r="D50" s="238"/>
      <c r="E50" s="238"/>
      <c r="F50" s="270">
        <f>IF('数据-取费表'!B24=0,'数据-取费表'!N16,1)</f>
        <v>0.74</v>
      </c>
      <c r="G50" s="253" t="s">
        <v>2001</v>
      </c>
    </row>
    <row r="51" spans="1:7" ht="16.5" customHeight="1">
      <c r="A51" s="261" t="s">
        <v>2002</v>
      </c>
      <c r="B51" s="216" t="s">
        <v>2003</v>
      </c>
      <c r="C51" s="238">
        <f ca="1">ROUND(C49*F50,0)</f>
        <v>2423</v>
      </c>
      <c r="D51" s="238"/>
      <c r="E51" s="238"/>
      <c r="F51" s="270"/>
      <c r="G51" s="240" t="s">
        <v>2004</v>
      </c>
    </row>
    <row r="52" spans="1:7" s="214" customFormat="1" ht="16.5" thickBot="1">
      <c r="A52" s="271" t="s">
        <v>2005</v>
      </c>
      <c r="B52" s="272"/>
      <c r="C52" s="273">
        <f ca="1">C31+C51</f>
        <v>21983</v>
      </c>
      <c r="D52" s="272"/>
      <c r="E52" s="272"/>
      <c r="F52" s="272"/>
      <c r="G52" s="274"/>
    </row>
    <row r="55" spans="1:7" ht="15">
      <c r="B55" s="276" t="s">
        <v>2006</v>
      </c>
      <c r="C55" s="277"/>
    </row>
    <row r="56" spans="1:7">
      <c r="B56" s="279" t="s">
        <v>1237</v>
      </c>
      <c r="C56" s="281">
        <f ca="1">1-C57</f>
        <v>0.89</v>
      </c>
    </row>
    <row r="57" spans="1:7">
      <c r="B57" s="279" t="s">
        <v>1238</v>
      </c>
      <c r="C57" s="280">
        <f ca="1">ROUND(C51/C52,3)</f>
        <v>0.11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4" t="str">
        <f>项目基本情况!B1</f>
        <v>北京市房地产抵押价值预评估</v>
      </c>
      <c r="C37" s="3234"/>
      <c r="D37" s="3234"/>
      <c r="E37" s="3234"/>
      <c r="F37" s="3234"/>
      <c r="G37" s="3234"/>
      <c r="H37" s="3234"/>
      <c r="I37" s="32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2794</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4277</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1306372</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1306372</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1306372</v>
      </c>
      <c r="D10" s="935">
        <f ca="1">IF(B1="",'数据-汇总表'!E6,IF(INDIRECT("'数据-取费表'!c"&amp;$G$1)="住宅",INDIRECT("'数据-取费表'!s"&amp;$G$1),INDIRECT("'数据-取费表'!k"&amp;$G$1)+INDIRECT("'数据-取费表'!s"&amp;$G$1)))</f>
        <v>6531.86</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1306372</v>
      </c>
      <c r="D19" s="939">
        <f ca="1">D9+D10</f>
        <v>6531.86</v>
      </c>
      <c r="E19" s="217">
        <f>'数据-取费表'!B31</f>
        <v>200</v>
      </c>
      <c r="F19" s="237"/>
      <c r="G19" s="1993"/>
    </row>
    <row r="20" spans="1:7" s="220" customFormat="1" ht="13.5" customHeight="1">
      <c r="A20" s="261" t="s">
        <v>2018</v>
      </c>
      <c r="B20" s="216" t="s">
        <v>2019</v>
      </c>
      <c r="C20" s="238">
        <f ca="1">ROUND((C5+C19)*F20,0)</f>
        <v>52255</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223527</v>
      </c>
      <c r="D22" s="241">
        <f ca="1">C26</f>
        <v>8.0000000000000004E-4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110679</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110679</v>
      </c>
      <c r="D24" s="244"/>
      <c r="E24" s="244"/>
      <c r="F24" s="245"/>
      <c r="G24" s="246" t="s">
        <v>2030</v>
      </c>
    </row>
    <row r="25" spans="1:7" s="220" customFormat="1" ht="24">
      <c r="A25" s="869" t="s">
        <v>1920</v>
      </c>
      <c r="B25" s="221" t="s">
        <v>2031</v>
      </c>
      <c r="C25" s="1243">
        <f ca="1">ROUND(IF('数据-取费表'!B22&lt;=1,C20*F22*'数据-取费表'!B22/2,C20*(POWER((1+F22),'数据-取费表'!B22/2)-1)),0)</f>
        <v>2169</v>
      </c>
      <c r="D25" s="244"/>
      <c r="E25" s="247"/>
      <c r="F25" s="245"/>
      <c r="G25" s="248" t="s">
        <v>2032</v>
      </c>
    </row>
    <row r="26" spans="1:7" s="220" customFormat="1">
      <c r="A26" s="869" t="s">
        <v>614</v>
      </c>
      <c r="B26" s="221" t="s">
        <v>1955</v>
      </c>
      <c r="C26" s="244">
        <f ca="1">ROUND(IF('数据-取费表'!B22&lt;=1,F21*F22*'数据-取费表'!B22/2,F21*(POWER((1+F22),'数据-取费表'!B22/2)-1)),4)</f>
        <v>8.0000000000000004E-4</v>
      </c>
      <c r="D26" s="244"/>
      <c r="E26" s="247"/>
      <c r="F26" s="245"/>
      <c r="G26" s="249"/>
    </row>
    <row r="27" spans="1:7" s="220" customFormat="1" ht="24.75">
      <c r="A27" s="261" t="s">
        <v>1956</v>
      </c>
      <c r="B27" s="250" t="s">
        <v>1957</v>
      </c>
      <c r="C27" s="251">
        <f ca="1">C28</f>
        <v>533000</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ROUND((C5+C19+C20)*F27,0)</f>
        <v>533000</v>
      </c>
      <c r="D28" s="241"/>
      <c r="E28" s="242"/>
      <c r="F28" s="252"/>
      <c r="G28" s="253"/>
    </row>
    <row r="29" spans="1:7" s="220" customFormat="1" ht="13.5" customHeight="1">
      <c r="A29" s="869" t="s">
        <v>611</v>
      </c>
      <c r="B29" s="254" t="s">
        <v>1961</v>
      </c>
      <c r="C29" s="244">
        <f ca="1">ROUND(C21*F27,4)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3711385</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23831491</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21555138</v>
      </c>
      <c r="D34" s="223"/>
      <c r="E34" s="226"/>
      <c r="F34" s="263"/>
      <c r="G34" s="225"/>
    </row>
    <row r="35" spans="1:7" ht="13.5" customHeight="1">
      <c r="A35" s="869" t="s">
        <v>615</v>
      </c>
      <c r="B35" s="221" t="s">
        <v>1971</v>
      </c>
      <c r="C35" s="226">
        <f ca="1">ROUND(C34*F35,0)</f>
        <v>646654</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1306372</v>
      </c>
      <c r="D37" s="223">
        <f ca="1">D19</f>
        <v>6531.86</v>
      </c>
      <c r="E37" s="255">
        <f>'数据-取费表'!B35</f>
        <v>200</v>
      </c>
      <c r="F37" s="265"/>
      <c r="G37" s="267"/>
    </row>
    <row r="38" spans="1:7" ht="13.5" customHeight="1">
      <c r="A38" s="869" t="s">
        <v>618</v>
      </c>
      <c r="B38" s="221" t="s">
        <v>1977</v>
      </c>
      <c r="C38" s="226">
        <f ca="1">ROUND(C34*F38,0)</f>
        <v>323327</v>
      </c>
      <c r="D38" s="226"/>
      <c r="E38" s="226"/>
      <c r="F38" s="265">
        <f>'数据-取费表'!B36</f>
        <v>1.4999999999999999E-2</v>
      </c>
      <c r="G38" s="225" t="s">
        <v>1972</v>
      </c>
    </row>
    <row r="39" spans="1:7" s="220" customFormat="1" ht="13.5" customHeight="1">
      <c r="A39" s="261" t="s">
        <v>1978</v>
      </c>
      <c r="B39" s="216" t="s">
        <v>1979</v>
      </c>
      <c r="C39" s="238">
        <f ca="1">ROUND(C33*F20,0)</f>
        <v>476630</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1008787</v>
      </c>
      <c r="D41" s="241">
        <f ca="1">C44</f>
        <v>8.0000000000000004E-4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989007</v>
      </c>
      <c r="D42" s="244"/>
      <c r="E42" s="244"/>
      <c r="F42" s="245"/>
      <c r="G42" s="3423" t="s">
        <v>2035</v>
      </c>
    </row>
    <row r="43" spans="1:7" ht="13.5" customHeight="1">
      <c r="A43" s="869" t="s">
        <v>611</v>
      </c>
      <c r="B43" s="221" t="s">
        <v>1989</v>
      </c>
      <c r="C43" s="244">
        <f ca="1">ROUND(IF('数据-取费表'!B22&lt;=1,C39*F22*'数据-取费表'!B20/2,C39*(POWER((1+F22),'数据-取费表'!B20/2)-1)),0)</f>
        <v>19780</v>
      </c>
      <c r="D43" s="244"/>
      <c r="E43" s="244"/>
      <c r="F43" s="245"/>
      <c r="G43" s="3424"/>
    </row>
    <row r="44" spans="1:7" ht="13.5" customHeight="1">
      <c r="A44" s="869" t="s">
        <v>612</v>
      </c>
      <c r="B44" s="221" t="s">
        <v>1990</v>
      </c>
      <c r="C44" s="244">
        <f ca="1">ROUND(IF('数据-取费表'!B22&lt;=1,C40*F22*'数据-取费表'!B20/2,C40*(POWER((1+F22),'数据-取费表'!B20/2)-1)),4)</f>
        <v>8.0000000000000004E-4</v>
      </c>
      <c r="D44" s="244"/>
      <c r="E44" s="244"/>
      <c r="F44" s="245"/>
      <c r="G44" s="3425"/>
    </row>
    <row r="45" spans="1:7" s="220" customFormat="1" ht="13.5" customHeight="1">
      <c r="A45" s="261" t="s">
        <v>1991</v>
      </c>
      <c r="B45" s="250" t="s">
        <v>1957</v>
      </c>
      <c r="C45" s="251">
        <f ca="1">C46</f>
        <v>4861624</v>
      </c>
      <c r="D45" s="241">
        <f ca="1">C47</f>
        <v>4.0000000000000001E-3</v>
      </c>
      <c r="E45" s="242" t="s">
        <v>1983</v>
      </c>
      <c r="F45" s="2488">
        <f ca="1">F27</f>
        <v>0.2</v>
      </c>
      <c r="G45" s="253" t="s">
        <v>1992</v>
      </c>
    </row>
    <row r="46" spans="1:7" s="220" customFormat="1" ht="13.5" customHeight="1">
      <c r="A46" s="869" t="s">
        <v>610</v>
      </c>
      <c r="B46" s="254" t="s">
        <v>1993</v>
      </c>
      <c r="C46" s="255">
        <f ca="1">ROUND((C33+C39)*F27,0)</f>
        <v>4861624</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32735147</v>
      </c>
      <c r="D49" s="238"/>
      <c r="E49" s="238"/>
      <c r="F49" s="270"/>
      <c r="G49" s="240" t="s">
        <v>1998</v>
      </c>
    </row>
    <row r="50" spans="1:7" s="264" customFormat="1">
      <c r="A50" s="261" t="s">
        <v>1999</v>
      </c>
      <c r="B50" s="216" t="s">
        <v>2000</v>
      </c>
      <c r="C50" s="238"/>
      <c r="D50" s="238"/>
      <c r="E50" s="238"/>
      <c r="F50" s="270">
        <f>IF('数据-取费表'!B24=0,'数据-取费表'!N16,1)</f>
        <v>0.74</v>
      </c>
      <c r="G50" s="253"/>
    </row>
    <row r="51" spans="1:7" ht="16.5" customHeight="1">
      <c r="A51" s="261" t="s">
        <v>2002</v>
      </c>
      <c r="B51" s="216" t="s">
        <v>2037</v>
      </c>
      <c r="C51" s="238">
        <f ca="1">ROUND(C49*F50,0)</f>
        <v>24224009</v>
      </c>
      <c r="D51" s="238"/>
      <c r="E51" s="238"/>
      <c r="F51" s="270"/>
      <c r="G51" s="240" t="s">
        <v>2004</v>
      </c>
    </row>
    <row r="52" spans="1:7" s="214" customFormat="1" ht="16.5" thickBot="1">
      <c r="A52" s="271" t="s">
        <v>2005</v>
      </c>
      <c r="B52" s="272"/>
      <c r="C52" s="273">
        <f ca="1">C31+C51</f>
        <v>27935394</v>
      </c>
      <c r="D52" s="272"/>
      <c r="E52" s="272"/>
      <c r="F52" s="272"/>
      <c r="G52" s="274"/>
    </row>
    <row r="55" spans="1:7" ht="15">
      <c r="B55" s="276" t="s">
        <v>2006</v>
      </c>
      <c r="C55" s="277"/>
    </row>
    <row r="56" spans="1:7">
      <c r="B56" s="279" t="s">
        <v>1237</v>
      </c>
      <c r="C56" s="281">
        <f ca="1">1-C57</f>
        <v>0.13300000000000001</v>
      </c>
    </row>
    <row r="57" spans="1:7">
      <c r="B57" s="279" t="s">
        <v>1238</v>
      </c>
      <c r="C57" s="280">
        <f ca="1">ROUND(C51/C52,3)</f>
        <v>0.86699999999999999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7</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6531.86</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6531.86</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131</v>
      </c>
      <c r="D20" s="936">
        <f ca="1">IF(C1="",'数据-汇总表'!E6,IF(INDIRECT("'数据-取费表'!c"&amp;$K$1)="住宅",INDIRECT("'数据-取费表'!s"&amp;$K$1),INDIRECT("'数据-取费表'!k"&amp;$K$1)+INDIRECT("'数据-取费表'!s"&amp;$K$1)))</f>
        <v>6531.86</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1102</v>
      </c>
      <c r="D1" s="1497" t="s">
        <v>70</v>
      </c>
      <c r="E1" s="1498" t="s">
        <v>1111</v>
      </c>
      <c r="F1" s="1174">
        <f ca="1">J53</f>
        <v>40</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16654</v>
      </c>
      <c r="C2" s="1522" t="s">
        <v>1240</v>
      </c>
      <c r="D2" s="1522"/>
      <c r="E2" s="1523"/>
      <c r="F2" s="1524"/>
      <c r="G2" s="2885"/>
      <c r="H2" s="2874"/>
      <c r="I2" s="2874"/>
      <c r="J2" s="2874"/>
      <c r="K2" s="2875"/>
      <c r="L2" s="2874"/>
      <c r="M2" s="2874"/>
    </row>
    <row r="3" spans="1:37" ht="18" customHeight="1" thickBot="1">
      <c r="A3" s="1525" t="s">
        <v>1241</v>
      </c>
      <c r="B3" s="1526">
        <f ca="1">IF(ISERROR(B2*10000/F43),0,ROUND(B2*10000/F43,0))</f>
        <v>30764</v>
      </c>
      <c r="C3" s="1522" t="s">
        <v>1242</v>
      </c>
      <c r="D3" s="1522"/>
      <c r="E3" s="1523"/>
      <c r="F3" s="1524"/>
      <c r="G3" s="2885"/>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890</v>
      </c>
      <c r="D5" s="1499" t="s">
        <v>1126</v>
      </c>
      <c r="E5" s="1184"/>
      <c r="F5" s="1185"/>
      <c r="G5" s="1519"/>
      <c r="H5" s="305">
        <v>1</v>
      </c>
      <c r="I5" s="306" t="s">
        <v>1125</v>
      </c>
      <c r="J5" s="1183">
        <f ca="1">J6+J10+J12</f>
        <v>0</v>
      </c>
      <c r="K5" s="1499" t="s">
        <v>1126</v>
      </c>
      <c r="L5" s="1184"/>
      <c r="M5" s="1185"/>
    </row>
    <row r="6" spans="1:37" ht="18" customHeight="1">
      <c r="A6" s="1182" t="s">
        <v>822</v>
      </c>
      <c r="B6" s="3428" t="s">
        <v>1127</v>
      </c>
      <c r="C6" s="1187">
        <f ca="1">ROUND(F6*F8*F7*(1-F9)/10000,0)</f>
        <v>889</v>
      </c>
      <c r="D6" s="160" t="s">
        <v>2608</v>
      </c>
      <c r="E6" s="308" t="s">
        <v>1129</v>
      </c>
      <c r="F6" s="309">
        <f ca="1">INDIRECT("'数据-取费表'!u"&amp;$G$1)</f>
        <v>5</v>
      </c>
      <c r="G6" s="1519"/>
      <c r="H6" s="1182" t="s">
        <v>822</v>
      </c>
      <c r="I6" s="3428" t="s">
        <v>1127</v>
      </c>
      <c r="J6" s="307">
        <f ca="1">ROUND(M6*M8*M7*(1-M9)/10000,0)</f>
        <v>0</v>
      </c>
      <c r="K6" s="160" t="s">
        <v>2607</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5413.53</v>
      </c>
      <c r="G7" s="1519"/>
      <c r="H7" s="310"/>
      <c r="I7" s="3429"/>
      <c r="J7" s="312"/>
      <c r="K7" s="313"/>
      <c r="L7" s="308" t="s">
        <v>1130</v>
      </c>
      <c r="M7" s="309">
        <f ca="1">F7</f>
        <v>5413.53</v>
      </c>
    </row>
    <row r="8" spans="1:37" ht="18" customHeight="1">
      <c r="A8" s="310"/>
      <c r="B8" s="3429"/>
      <c r="C8" s="312"/>
      <c r="D8" s="313"/>
      <c r="E8" s="308" t="s">
        <v>1131</v>
      </c>
      <c r="F8" s="309">
        <f ca="1">INDIRECT("'数据-取费表'!ai"&amp;$G$1)</f>
        <v>365</v>
      </c>
      <c r="G8" s="1519"/>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3186</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2423</v>
      </c>
      <c r="D13" s="1194" t="s">
        <v>1139</v>
      </c>
      <c r="E13" s="1194" t="s">
        <v>1140</v>
      </c>
      <c r="F13" s="1195">
        <f ca="1">INDIRECT("'数据-取费表'!y"&amp;$G$1)</f>
        <v>0.74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2155</v>
      </c>
      <c r="D14" s="1480" t="s">
        <v>1142</v>
      </c>
      <c r="E14" s="1477"/>
      <c r="F14" s="325"/>
      <c r="G14" s="1519"/>
      <c r="H14" s="1094" t="s">
        <v>822</v>
      </c>
      <c r="I14" s="308" t="s">
        <v>1143</v>
      </c>
      <c r="J14" s="24">
        <f ca="1">C29</f>
        <v>3274</v>
      </c>
      <c r="K14" s="15"/>
      <c r="L14" s="897"/>
      <c r="M14" s="898"/>
    </row>
    <row r="15" spans="1:37" s="1532" customFormat="1" ht="18" customHeight="1" thickBot="1">
      <c r="A15" s="1094" t="s">
        <v>823</v>
      </c>
      <c r="B15" s="308" t="s">
        <v>1144</v>
      </c>
      <c r="C15" s="24">
        <f ca="1">ROUND(C14*F15,0)</f>
        <v>65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77</v>
      </c>
      <c r="K16" s="1200" t="s">
        <v>1149</v>
      </c>
      <c r="L16" s="1201"/>
      <c r="M16" s="1185"/>
    </row>
    <row r="17" spans="1:37" s="1532" customFormat="1" ht="18" customHeight="1">
      <c r="A17" s="1094" t="s">
        <v>1114</v>
      </c>
      <c r="B17" s="308" t="s">
        <v>1150</v>
      </c>
      <c r="C17" s="24">
        <f ca="1">ROUND(F17*(F43+INDIRECT("'数据-取费表'!S"&amp;$G$1))/10000,0)</f>
        <v>131</v>
      </c>
      <c r="D17" s="308" t="s">
        <v>1151</v>
      </c>
      <c r="E17" s="308" t="s">
        <v>1152</v>
      </c>
      <c r="F17" s="26">
        <f>'数据-取费表'!B35</f>
        <v>200</v>
      </c>
      <c r="G17" s="1531"/>
      <c r="H17" s="1094" t="s">
        <v>822</v>
      </c>
      <c r="I17" s="308" t="s">
        <v>1153</v>
      </c>
      <c r="J17" s="2485">
        <f ca="1">ROUND(IF(AND(项目基本情况!B11="自然人",项目基本情况!B10="北京市"),J6*M17/(1+'数据-取费表'!C42),J18+J19+J20),0)</f>
        <v>28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2383</v>
      </c>
      <c r="D19" s="136" t="s">
        <v>1160</v>
      </c>
      <c r="E19" s="1495"/>
      <c r="F19" s="26"/>
      <c r="G19" s="1519"/>
      <c r="H19" s="1094" t="s">
        <v>823</v>
      </c>
      <c r="I19" s="308" t="s">
        <v>1161</v>
      </c>
      <c r="J19" s="24">
        <f ca="1">IF(K19="按租金收入计税",ROUND(J6*M19/(1+'数据-取费表'!C42),2),ROUND(C29*M19*0.7,2))</f>
        <v>27.5</v>
      </c>
      <c r="K19" s="1505" t="s">
        <v>1162</v>
      </c>
      <c r="L19" s="308" t="s">
        <v>1146</v>
      </c>
      <c r="M19" s="328">
        <f>IF(K19="按租金收入计税",'数据-取费表'!B51,'数据-取费表'!B50)</f>
        <v>1.2E-2</v>
      </c>
    </row>
    <row r="20" spans="1:37" s="1532" customFormat="1" ht="18" customHeight="1">
      <c r="A20" s="1094" t="s">
        <v>826</v>
      </c>
      <c r="B20" s="308" t="s">
        <v>1163</v>
      </c>
      <c r="C20" s="24">
        <f ca="1">ROUND(C19*F20,0)</f>
        <v>48</v>
      </c>
      <c r="D20" s="329" t="s">
        <v>1164</v>
      </c>
      <c r="E20" s="308" t="s">
        <v>1146</v>
      </c>
      <c r="F20" s="328">
        <f>'数据-取费表'!B37</f>
        <v>0.02</v>
      </c>
      <c r="G20" s="1531"/>
      <c r="H20" s="1094" t="s">
        <v>1113</v>
      </c>
      <c r="I20" s="160" t="s">
        <v>1165</v>
      </c>
      <c r="J20" s="25">
        <f ca="1">ROUND(M20*M21/10000,2)</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49.1</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101</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-77</v>
      </c>
      <c r="K25" s="1208" t="s">
        <v>1188</v>
      </c>
      <c r="L25" s="1209"/>
      <c r="M25" s="1210"/>
    </row>
    <row r="26" spans="1:37">
      <c r="A26" s="1094" t="s">
        <v>821</v>
      </c>
      <c r="B26" s="308" t="s">
        <v>1189</v>
      </c>
      <c r="C26" s="24">
        <f ca="1">ROUND((C19+C20)*F26,0)</f>
        <v>486</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3274</v>
      </c>
      <c r="D29" s="1205"/>
      <c r="E29" s="1203"/>
      <c r="F29" s="1206"/>
      <c r="G29" s="1531"/>
      <c r="H29" s="340" t="s">
        <v>820</v>
      </c>
      <c r="I29" s="341" t="s">
        <v>1203</v>
      </c>
      <c r="J29" s="342">
        <f ca="1">ROUND(J26/(1+F40)^F41,0)</f>
        <v>0</v>
      </c>
      <c r="K29" s="343" t="s">
        <v>1204</v>
      </c>
      <c r="L29" s="344"/>
      <c r="M29" s="345">
        <f ca="1">INDIRECT("'数据-取费表'!k"&amp;$G$1)</f>
        <v>5413.53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215</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149</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47.41</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101.6</v>
      </c>
      <c r="D33" s="1505" t="s">
        <v>3189</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49.1</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3.6</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13.4</v>
      </c>
      <c r="D38" s="1205" t="s">
        <v>1183</v>
      </c>
      <c r="E38" s="1203" t="s">
        <v>1179</v>
      </c>
      <c r="F38" s="1199">
        <f ca="1">INDIRECT("'数据-取费表'!Am"&amp;$G$1)</f>
        <v>1.4999999999999999E-2</v>
      </c>
      <c r="G38" s="1519"/>
      <c r="H38" s="2879"/>
      <c r="I38" s="1533"/>
      <c r="J38" s="1534"/>
      <c r="K38" s="2883"/>
      <c r="L38" s="2879"/>
      <c r="M38" s="2879"/>
    </row>
    <row r="39" spans="1:18" ht="24.6" customHeight="1" thickTop="1">
      <c r="A39" s="1192" t="s">
        <v>818</v>
      </c>
      <c r="B39" s="1207" t="s">
        <v>1207</v>
      </c>
      <c r="C39" s="316">
        <f ca="1">C5-C30</f>
        <v>675</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16654</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40</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30764</v>
      </c>
      <c r="D43" s="343" t="s">
        <v>1212</v>
      </c>
      <c r="E43" s="344" t="s">
        <v>1213</v>
      </c>
      <c r="F43" s="345">
        <f ca="1">INDIRECT("'数据-取费表'!k"&amp;$G$1)</f>
        <v>5413.53</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-21917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40</v>
      </c>
      <c r="M47" s="1515" t="str">
        <f>IF(ISNUMBER(FIND("住宅",C1)),"住宅","非住宅")</f>
        <v>非住宅</v>
      </c>
      <c r="O47" s="1553" t="s">
        <v>827</v>
      </c>
      <c r="P47" s="1554" t="s">
        <v>1252</v>
      </c>
      <c r="Q47" s="1555">
        <f ca="1">C40+J29</f>
        <v>16654</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40</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2012</v>
      </c>
      <c r="K49" s="1558" t="s">
        <v>1259</v>
      </c>
      <c r="L49" s="1562"/>
      <c r="O49" s="1563" t="s">
        <v>829</v>
      </c>
      <c r="P49" s="1554" t="s">
        <v>1260</v>
      </c>
      <c r="Q49" s="1555">
        <f ca="1">C29</f>
        <v>3274</v>
      </c>
      <c r="R49" s="1555" t="s">
        <v>1253</v>
      </c>
    </row>
    <row r="50" spans="1:18" s="1519" customFormat="1" ht="13.5" thickBot="1">
      <c r="A50" s="1088"/>
      <c r="B50" s="1091"/>
      <c r="C50" s="1231"/>
      <c r="D50" s="1065"/>
      <c r="E50" s="1168" t="s">
        <v>1130</v>
      </c>
      <c r="F50" s="1169">
        <f ca="1">F7</f>
        <v>5413.53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9226</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40</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40</v>
      </c>
      <c r="K53" s="3426" t="s">
        <v>1272</v>
      </c>
      <c r="L53" s="3427"/>
      <c r="O53" s="1553" t="s">
        <v>833</v>
      </c>
      <c r="P53" s="1554" t="s">
        <v>1273</v>
      </c>
      <c r="Q53" s="1555">
        <f ca="1">Q47+Q48</f>
        <v>16654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3204</v>
      </c>
      <c r="O55" s="1546" t="s">
        <v>1246</v>
      </c>
      <c r="P55" s="1547" t="s">
        <v>1247</v>
      </c>
      <c r="Q55" s="1548" t="s">
        <v>1248</v>
      </c>
      <c r="R55" s="1548" t="s">
        <v>1249</v>
      </c>
    </row>
    <row r="56" spans="1:18" s="1519" customFormat="1" ht="25.5" thickTop="1" thickBot="1">
      <c r="A56" s="1069">
        <v>2</v>
      </c>
      <c r="B56" s="1070" t="s">
        <v>1138</v>
      </c>
      <c r="C56" s="238">
        <f ca="1">C13</f>
        <v>2423</v>
      </c>
      <c r="D56" s="1582"/>
      <c r="E56" s="1583"/>
      <c r="F56" s="1575"/>
      <c r="I56" s="1584" t="s">
        <v>1277</v>
      </c>
      <c r="J56" s="1585" t="s">
        <v>3179</v>
      </c>
      <c r="K56" s="1556" t="s">
        <v>1278</v>
      </c>
      <c r="L56" s="1559" t="str">
        <f ca="1">IF(L48&lt;J51,"——",L48-J53)</f>
        <v>——</v>
      </c>
      <c r="O56" s="1553" t="s">
        <v>827</v>
      </c>
      <c r="P56" s="1554" t="s">
        <v>1252</v>
      </c>
      <c r="Q56" s="1555">
        <f ca="1">C40+J29</f>
        <v>16654</v>
      </c>
      <c r="R56" s="1555" t="s">
        <v>1253</v>
      </c>
    </row>
    <row r="57" spans="1:18" s="1519" customFormat="1" ht="24.75" thickBot="1">
      <c r="A57" s="1586"/>
      <c r="B57" s="1062" t="s">
        <v>1202</v>
      </c>
      <c r="C57" s="244">
        <f ca="1">C29</f>
        <v>3274</v>
      </c>
      <c r="D57" s="1587"/>
      <c r="E57" s="1588"/>
      <c r="F57" s="1589"/>
      <c r="I57" s="1590" t="s">
        <v>1279</v>
      </c>
      <c r="J57" s="1591" t="str">
        <f ca="1">IF(OR(M47="住宅",J51&lt;L48,J56="是"),"——",J51-L48)</f>
        <v>——</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1148</v>
      </c>
      <c r="C58" s="322">
        <f ca="1">ROUND(C59+C64+C65+C66,0)</f>
        <v>328</v>
      </c>
      <c r="D58" s="1072" t="s">
        <v>1149</v>
      </c>
      <c r="E58" s="1073"/>
      <c r="F58" s="1074"/>
      <c r="I58" s="1590" t="s">
        <v>1283</v>
      </c>
      <c r="J58" s="1592" t="e">
        <f ca="1">IF(J55&lt;0.4,0.4,J55)</f>
        <v>#VALUE!</v>
      </c>
      <c r="K58" s="1569" t="s">
        <v>1284</v>
      </c>
      <c r="L58" s="1559" t="e">
        <f ca="1">ROUND(POWER(1+L52,L47-L48)*(POWER(1+L52,L48)-1)/(POWER(1+L52,L47)-1),4)</f>
        <v>#DIV/0!</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275</v>
      </c>
      <c r="D59" s="1075" t="s">
        <v>1154</v>
      </c>
      <c r="E59" s="1076" t="s">
        <v>1155</v>
      </c>
      <c r="F59" s="2484"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1288</v>
      </c>
      <c r="J60" s="1594" t="str">
        <f ca="1">IF(OR(M47="住宅",J51&lt;L48,J56="是"),"0",ROUND(J59/(1+J52)^J53,0))</f>
        <v>0</v>
      </c>
      <c r="K60" s="1595" t="s">
        <v>1289</v>
      </c>
      <c r="L60" s="1594">
        <f ca="1">IF(OR(M47="住宅",L48&lt;J51),0,ROUND(L57*(L58/L59-1),0))</f>
        <v>0</v>
      </c>
      <c r="O60" s="1563" t="s">
        <v>831</v>
      </c>
      <c r="P60" s="1554" t="s">
        <v>1290</v>
      </c>
      <c r="Q60" s="1555" t="e">
        <f ca="1">L58</f>
        <v>#DIV/0!</v>
      </c>
      <c r="R60" s="1555" t="s">
        <v>1291</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275.02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1219</v>
      </c>
      <c r="B62" s="1061" t="s">
        <v>1220</v>
      </c>
      <c r="C62" s="25">
        <f ca="1">IF(项目基本情况!B11="自然人","——",ROUND(F62*F63/10000,2))</f>
        <v>0</v>
      </c>
      <c r="D62" s="1077" t="s">
        <v>1221</v>
      </c>
      <c r="E62" s="1062" t="s">
        <v>1222</v>
      </c>
      <c r="F62" s="331">
        <f t="shared" si="0"/>
        <v>12</v>
      </c>
      <c r="I62" s="1597" t="s">
        <v>1293</v>
      </c>
      <c r="J62" s="1598" t="s">
        <v>1294</v>
      </c>
      <c r="K62" s="1598" t="s">
        <v>1295</v>
      </c>
      <c r="L62" s="1598" t="s">
        <v>1296</v>
      </c>
      <c r="M62" s="1599" t="s">
        <v>1297</v>
      </c>
      <c r="O62" s="1553" t="s">
        <v>833</v>
      </c>
      <c r="P62" s="1554" t="s">
        <v>1298</v>
      </c>
      <c r="Q62" s="1555">
        <f ca="1">Q56+Q57</f>
        <v>16654</v>
      </c>
      <c r="R62" s="1555" t="s">
        <v>834</v>
      </c>
    </row>
    <row r="63" spans="1:18" s="1519" customFormat="1" ht="13.5" thickBot="1">
      <c r="A63" s="332"/>
      <c r="B63" s="1068"/>
      <c r="C63" s="29"/>
      <c r="D63" s="1078"/>
      <c r="E63" s="1062" t="s">
        <v>1223</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ROUND(C57*F64,1)</f>
        <v>49.1</v>
      </c>
      <c r="D64" s="1076" t="s">
        <v>1226</v>
      </c>
      <c r="E64" s="1062" t="s">
        <v>1218</v>
      </c>
      <c r="F64" s="334">
        <f t="shared" ca="1" si="0"/>
        <v>1.4999999999999999E-2</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3.6</v>
      </c>
      <c r="D65" s="1076" t="s">
        <v>1178</v>
      </c>
      <c r="E65" s="1062" t="s">
        <v>1179</v>
      </c>
      <c r="F65" s="336">
        <f t="shared" ca="1" si="0"/>
        <v>1.5E-3</v>
      </c>
      <c r="I65" s="1597" t="s">
        <v>1302</v>
      </c>
      <c r="J65" s="1598">
        <v>40</v>
      </c>
      <c r="K65" s="1598">
        <v>30</v>
      </c>
      <c r="L65" s="1598">
        <v>50</v>
      </c>
      <c r="M65" s="1600">
        <v>0.02</v>
      </c>
      <c r="O65" s="1553" t="s">
        <v>827</v>
      </c>
      <c r="P65" s="1554" t="s">
        <v>1303</v>
      </c>
      <c r="Q65" s="1555">
        <f ca="1">C40+J29</f>
        <v>16654</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1281</v>
      </c>
      <c r="Q66" s="1555">
        <f ca="1">L60</f>
        <v>0</v>
      </c>
      <c r="R66" s="1555" t="s">
        <v>1304</v>
      </c>
    </row>
    <row r="67" spans="1:18" s="1519" customFormat="1" ht="16.5" thickBot="1">
      <c r="A67" s="1069" t="s">
        <v>818</v>
      </c>
      <c r="B67" s="1079" t="s">
        <v>1187</v>
      </c>
      <c r="C67" s="322">
        <f ca="1">C48-C58</f>
        <v>-328</v>
      </c>
      <c r="D67" s="1075" t="s">
        <v>1188</v>
      </c>
      <c r="E67" s="1080"/>
      <c r="F67" s="1081"/>
      <c r="O67" s="1563" t="s">
        <v>829</v>
      </c>
      <c r="P67" s="1554" t="s">
        <v>1285</v>
      </c>
      <c r="Q67" s="1601">
        <f ca="1">L51</f>
        <v>9226</v>
      </c>
      <c r="R67" s="1555" t="s">
        <v>1305</v>
      </c>
    </row>
    <row r="68" spans="1:18" s="1519" customFormat="1" ht="16.5" thickBot="1">
      <c r="A68" s="1059" t="s">
        <v>819</v>
      </c>
      <c r="B68" s="1060" t="s">
        <v>1209</v>
      </c>
      <c r="C68" s="307">
        <f ca="1">ROUND(C67*(1-((1+F70)/(1+F68))^F69)/(F68-F70),0)</f>
        <v>-5263</v>
      </c>
      <c r="D68" s="1077" t="s">
        <v>1193</v>
      </c>
      <c r="E68" s="1062" t="s">
        <v>1194</v>
      </c>
      <c r="F68" s="318">
        <f ca="1">F40</f>
        <v>5.5E-2</v>
      </c>
      <c r="O68" s="1563" t="s">
        <v>830</v>
      </c>
      <c r="P68" s="1602" t="s">
        <v>1306</v>
      </c>
      <c r="Q68" s="1555">
        <f ca="1">ROUND(Q69-Q70*Q71,0)</f>
        <v>505</v>
      </c>
      <c r="R68" s="1555" t="s">
        <v>838</v>
      </c>
    </row>
    <row r="69" spans="1:18" s="1519" customFormat="1" ht="13.5" thickBot="1">
      <c r="A69" s="1063"/>
      <c r="B69" s="1064"/>
      <c r="C69" s="312"/>
      <c r="D69" s="1082" t="s">
        <v>1197</v>
      </c>
      <c r="E69" s="1062" t="s">
        <v>1198</v>
      </c>
      <c r="F69" s="339">
        <f ca="1">F41</f>
        <v>40</v>
      </c>
      <c r="O69" s="1563" t="s">
        <v>835</v>
      </c>
      <c r="P69" s="1602" t="s">
        <v>1307</v>
      </c>
      <c r="Q69" s="1555">
        <f ca="1">C39</f>
        <v>675</v>
      </c>
      <c r="R69" s="1555" t="s">
        <v>1253</v>
      </c>
    </row>
    <row r="70" spans="1:18" s="1519" customFormat="1" ht="13.5" thickBot="1">
      <c r="A70" s="1066"/>
      <c r="B70" s="1067"/>
      <c r="C70" s="316"/>
      <c r="D70" s="1078"/>
      <c r="E70" s="1062" t="s">
        <v>1201</v>
      </c>
      <c r="F70" s="1166"/>
      <c r="O70" s="1563" t="s">
        <v>836</v>
      </c>
      <c r="P70" s="1602" t="s">
        <v>1308</v>
      </c>
      <c r="Q70" s="1555">
        <f ca="1">C13</f>
        <v>2423</v>
      </c>
      <c r="R70" s="1555" t="s">
        <v>1253</v>
      </c>
    </row>
    <row r="71" spans="1:18" s="1519" customFormat="1" ht="13.5" thickBot="1">
      <c r="A71" s="1083" t="s">
        <v>820</v>
      </c>
      <c r="B71" s="1084" t="s">
        <v>1211</v>
      </c>
      <c r="C71" s="342">
        <f ca="1">ROUND(C68*10000/F71,0)</f>
        <v>-9722</v>
      </c>
      <c r="D71" s="1085" t="s">
        <v>1212</v>
      </c>
      <c r="E71" s="1086" t="s">
        <v>1213</v>
      </c>
      <c r="F71" s="345">
        <f ca="1">F43</f>
        <v>5413.53</v>
      </c>
      <c r="O71" s="1563" t="s">
        <v>837</v>
      </c>
      <c r="P71" s="1602" t="s">
        <v>1309</v>
      </c>
      <c r="Q71" s="1566">
        <f ca="1">C76</f>
        <v>7.0000000000000007E-2</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1230</v>
      </c>
      <c r="C75" s="347">
        <f ca="1">ROUND(C13*C76,0)</f>
        <v>170</v>
      </c>
      <c r="D75" s="1519"/>
      <c r="E75" s="1519"/>
      <c r="F75" s="1519"/>
      <c r="K75" s="1537"/>
      <c r="L75" s="1519"/>
      <c r="O75" s="1553" t="s">
        <v>833</v>
      </c>
      <c r="P75" s="1554" t="s">
        <v>1273</v>
      </c>
      <c r="Q75" s="1555">
        <f ca="1">Q65+Q66</f>
        <v>16654</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0.748</v>
      </c>
    </row>
    <row r="80" spans="1:18">
      <c r="B80" s="346" t="s">
        <v>1235</v>
      </c>
      <c r="C80" s="280">
        <f ca="1">ROUND(C75/C39,3)</f>
        <v>0.252</v>
      </c>
    </row>
    <row r="81" spans="2:3">
      <c r="B81" s="276" t="s">
        <v>1236</v>
      </c>
      <c r="C81" s="244"/>
    </row>
    <row r="82" spans="2:3">
      <c r="B82" s="279" t="s">
        <v>1237</v>
      </c>
      <c r="C82" s="281">
        <f ca="1">1-C83</f>
        <v>0.85499999999999998</v>
      </c>
    </row>
    <row r="83" spans="2:3">
      <c r="B83" s="279" t="s">
        <v>1238</v>
      </c>
      <c r="C83" s="280">
        <f ca="1">ROUND(C13/C40,3)</f>
        <v>0.14499999999999999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5"/>
      <c r="H2" s="2874"/>
      <c r="I2" s="2874"/>
      <c r="J2" s="2874"/>
      <c r="K2" s="2875"/>
      <c r="L2" s="2874"/>
      <c r="M2" s="2874"/>
    </row>
    <row r="3" spans="1:37" ht="18" customHeight="1" thickBot="1">
      <c r="A3" s="1525" t="s">
        <v>1316</v>
      </c>
      <c r="B3" s="1526">
        <f ca="1">IF(ISERROR(D2/F43),0,ROUND(D2/F43,0))</f>
        <v>0</v>
      </c>
      <c r="C3" s="1522" t="s">
        <v>1317</v>
      </c>
      <c r="D3" s="1522"/>
      <c r="E3" s="1523"/>
      <c r="F3" s="1524"/>
      <c r="G3" s="2885"/>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28" t="s">
        <v>1127</v>
      </c>
      <c r="C6" s="1187">
        <f ca="1">ROUND(F6*F8*F7*(1-F9),0)</f>
        <v>0</v>
      </c>
      <c r="D6" s="160" t="s">
        <v>2605</v>
      </c>
      <c r="E6" s="308" t="s">
        <v>1129</v>
      </c>
      <c r="F6" s="309">
        <f ca="1">INDIRECT("'数据-取费表'!u"&amp;$G$1)</f>
        <v>0</v>
      </c>
      <c r="G6" s="1519"/>
      <c r="H6" s="1182" t="s">
        <v>822</v>
      </c>
      <c r="I6" s="3428" t="s">
        <v>1127</v>
      </c>
      <c r="J6" s="307">
        <f ca="1">ROUND(M6*M8*M7*(1-M9),0)</f>
        <v>0</v>
      </c>
      <c r="K6" s="1511" t="s">
        <v>2606</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0</v>
      </c>
      <c r="G7" s="1519"/>
      <c r="H7" s="310"/>
      <c r="I7" s="3429"/>
      <c r="J7" s="312"/>
      <c r="K7" s="313"/>
      <c r="L7" s="308" t="s">
        <v>1130</v>
      </c>
      <c r="M7" s="309">
        <f ca="1">F7</f>
        <v>0</v>
      </c>
    </row>
    <row r="8" spans="1:37" ht="18" customHeight="1">
      <c r="A8" s="310"/>
      <c r="B8" s="3429"/>
      <c r="C8" s="312"/>
      <c r="D8" s="313"/>
      <c r="E8" s="308" t="s">
        <v>1131</v>
      </c>
      <c r="F8" s="309">
        <f ca="1">INDIRECT("'数据-取费表'!ai"&amp;$G$1)</f>
        <v>0</v>
      </c>
      <c r="G8" s="1519"/>
      <c r="H8" s="310"/>
      <c r="I8" s="3429"/>
      <c r="J8" s="312"/>
      <c r="K8" s="313"/>
      <c r="L8" s="308" t="s">
        <v>1131</v>
      </c>
      <c r="M8" s="309">
        <f ca="1">INDIRECT("'数据-取费表'!ai"&amp;$G$1)</f>
        <v>0</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1136</v>
      </c>
      <c r="F11" s="320">
        <f ca="1">'数据-取费表'!B39</f>
        <v>1.4999999999999999E-2</v>
      </c>
      <c r="G11" s="1519"/>
      <c r="H11" s="1190"/>
      <c r="I11" s="1502" t="s">
        <v>1326</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6" t="s">
        <v>1272</v>
      </c>
      <c r="L53" s="3427"/>
      <c r="O53" s="1553" t="s">
        <v>833</v>
      </c>
      <c r="P53" s="1554" t="s">
        <v>1273</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1277</v>
      </c>
      <c r="J56" s="1585"/>
      <c r="K56" s="1556" t="s">
        <v>1278</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1148</v>
      </c>
      <c r="C58" s="322">
        <f ca="1">ROUND(C59+C64+C65+C66,0)</f>
        <v>0</v>
      </c>
      <c r="D58" s="1072" t="s">
        <v>1149</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1223</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1302</v>
      </c>
      <c r="J65" s="1598">
        <v>40</v>
      </c>
      <c r="K65" s="1598">
        <v>30</v>
      </c>
      <c r="L65" s="1598">
        <v>50</v>
      </c>
      <c r="M65" s="1600">
        <v>0.02</v>
      </c>
      <c r="O65" s="1553" t="s">
        <v>827</v>
      </c>
      <c r="P65" s="1554" t="s">
        <v>1303</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1281</v>
      </c>
      <c r="Q66" s="1555" t="e">
        <f ca="1">L60</f>
        <v>#DIV/0!</v>
      </c>
      <c r="R66" s="1555" t="s">
        <v>1304</v>
      </c>
    </row>
    <row r="67" spans="1:18" s="1519" customFormat="1" ht="16.5" thickBot="1">
      <c r="A67" s="1069" t="s">
        <v>818</v>
      </c>
      <c r="B67" s="1079" t="s">
        <v>1187</v>
      </c>
      <c r="C67" s="322">
        <f ca="1">C48-C58</f>
        <v>0</v>
      </c>
      <c r="D67" s="1075" t="s">
        <v>1188</v>
      </c>
      <c r="E67" s="1080"/>
      <c r="F67" s="1081"/>
      <c r="O67" s="1563" t="s">
        <v>829</v>
      </c>
      <c r="P67" s="1554" t="s">
        <v>1285</v>
      </c>
      <c r="Q67" s="1601">
        <f ca="1">L51</f>
        <v>0</v>
      </c>
      <c r="R67" s="1555" t="s">
        <v>1305</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1306</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1307</v>
      </c>
      <c r="Q69" s="1555">
        <f ca="1">C39</f>
        <v>0</v>
      </c>
      <c r="R69" s="1555" t="s">
        <v>1253</v>
      </c>
    </row>
    <row r="70" spans="1:18" s="1519" customFormat="1" ht="13.5" thickBot="1">
      <c r="A70" s="1066"/>
      <c r="B70" s="1067"/>
      <c r="C70" s="316"/>
      <c r="D70" s="1078"/>
      <c r="E70" s="1062" t="s">
        <v>1201</v>
      </c>
      <c r="F70" s="1166">
        <f ca="1">F42</f>
        <v>0</v>
      </c>
      <c r="O70" s="1563" t="s">
        <v>836</v>
      </c>
      <c r="P70" s="1602" t="s">
        <v>1308</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31" t="s">
        <v>2821</v>
      </c>
      <c r="K2" s="3432"/>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33" t="s">
        <v>2831</v>
      </c>
      <c r="K3" s="3434"/>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33" t="s">
        <v>2833</v>
      </c>
      <c r="K4" s="3434"/>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35" t="s">
        <v>2837</v>
      </c>
      <c r="B6" s="3436"/>
      <c r="C6" s="3437"/>
      <c r="D6" s="3051"/>
      <c r="E6" s="3052"/>
      <c r="F6" s="3053"/>
      <c r="G6" s="3054"/>
      <c r="H6" s="3029"/>
      <c r="I6" s="3030"/>
      <c r="J6" s="3438">
        <v>1</v>
      </c>
      <c r="K6" s="3439"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38"/>
      <c r="K7" s="3440"/>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42" t="s">
        <v>2851</v>
      </c>
      <c r="C8" s="3443"/>
      <c r="D8" s="3070" t="s">
        <v>2852</v>
      </c>
      <c r="E8" s="3071" t="s">
        <v>2853</v>
      </c>
      <c r="F8" s="3072" t="s">
        <v>2854</v>
      </c>
      <c r="G8" s="3073"/>
      <c r="H8" s="3029"/>
      <c r="I8" s="3030"/>
      <c r="J8" s="3438"/>
      <c r="K8" s="3440"/>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42" t="s">
        <v>2857</v>
      </c>
      <c r="C9" s="3443"/>
      <c r="D9" s="3070">
        <f>ROUND(D6*E9,0)</f>
        <v>0</v>
      </c>
      <c r="E9" s="3074"/>
      <c r="F9" s="3075" t="s">
        <v>2858</v>
      </c>
      <c r="G9" s="3054"/>
      <c r="H9" s="3029"/>
      <c r="I9" s="3030"/>
      <c r="J9" s="3438"/>
      <c r="K9" s="3440"/>
      <c r="L9" s="3064" t="s">
        <v>2859</v>
      </c>
      <c r="M9" s="3065"/>
      <c r="N9" s="3041"/>
      <c r="O9" s="3066"/>
      <c r="P9" s="3066"/>
      <c r="Q9" s="3067">
        <v>365</v>
      </c>
      <c r="R9" s="3068">
        <f t="shared" si="0"/>
        <v>0</v>
      </c>
      <c r="S9" s="3022"/>
      <c r="T9" s="3022"/>
      <c r="U9" s="3022"/>
      <c r="V9" s="3030"/>
    </row>
    <row r="10" spans="1:22" s="3034" customFormat="1" ht="13.15" customHeight="1">
      <c r="A10" s="3069">
        <v>2</v>
      </c>
      <c r="B10" s="3442" t="s">
        <v>2860</v>
      </c>
      <c r="C10" s="3443"/>
      <c r="D10" s="3070">
        <f>ROUND(D6*E10,0)</f>
        <v>0</v>
      </c>
      <c r="E10" s="3074"/>
      <c r="F10" s="3075" t="s">
        <v>2861</v>
      </c>
      <c r="G10" s="3054"/>
      <c r="H10" s="3029"/>
      <c r="I10" s="3030"/>
      <c r="J10" s="3438"/>
      <c r="K10" s="3440"/>
      <c r="L10" s="3064" t="s">
        <v>2862</v>
      </c>
      <c r="M10" s="3065"/>
      <c r="N10" s="3041"/>
      <c r="O10" s="3066"/>
      <c r="P10" s="3066"/>
      <c r="Q10" s="3067">
        <v>365</v>
      </c>
      <c r="R10" s="3068">
        <f t="shared" si="0"/>
        <v>0</v>
      </c>
      <c r="S10" s="3022"/>
      <c r="T10" s="3022"/>
      <c r="U10" s="3022"/>
      <c r="V10" s="3030"/>
    </row>
    <row r="11" spans="1:22" s="3034" customFormat="1" ht="13.15" customHeight="1">
      <c r="A11" s="3069">
        <v>3</v>
      </c>
      <c r="B11" s="3442" t="s">
        <v>2863</v>
      </c>
      <c r="C11" s="3443"/>
      <c r="D11" s="3070">
        <f>D12+D14+D15+D16</f>
        <v>0</v>
      </c>
      <c r="E11" s="3076" t="e">
        <f>D11/D6</f>
        <v>#DIV/0!</v>
      </c>
      <c r="F11" s="3072"/>
      <c r="G11" s="3073"/>
      <c r="H11" s="3029"/>
      <c r="I11" s="3030"/>
      <c r="J11" s="3438"/>
      <c r="K11" s="3440"/>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4" t="s">
        <v>2866</v>
      </c>
      <c r="C12" s="3445"/>
      <c r="D12" s="3078">
        <f>ROUND(D13*1.2%*(1-30%),0)</f>
        <v>0</v>
      </c>
      <c r="E12" s="3079">
        <v>1.2E-2</v>
      </c>
      <c r="F12" s="3072" t="s">
        <v>2867</v>
      </c>
      <c r="G12" s="3073"/>
      <c r="H12" s="3029"/>
      <c r="I12" s="3030"/>
      <c r="J12" s="3438"/>
      <c r="K12" s="3440"/>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38"/>
      <c r="K13" s="3440"/>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4" t="s">
        <v>2872</v>
      </c>
      <c r="C14" s="3445"/>
      <c r="D14" s="3078">
        <f>ROUND(E14*B5/10000,0)</f>
        <v>0</v>
      </c>
      <c r="E14" s="3067"/>
      <c r="F14" s="3072" t="s">
        <v>2873</v>
      </c>
      <c r="G14" s="3073"/>
      <c r="H14" s="3029"/>
      <c r="I14" s="3030"/>
      <c r="J14" s="3438"/>
      <c r="K14" s="3441"/>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44" t="s">
        <v>2876</v>
      </c>
      <c r="C15" s="3445"/>
      <c r="D15" s="3078">
        <f>ROUND(D6*E15,0)</f>
        <v>0</v>
      </c>
      <c r="E15" s="3079">
        <v>5.5E-2</v>
      </c>
      <c r="F15" s="3072" t="s">
        <v>2877</v>
      </c>
      <c r="G15" s="3054"/>
      <c r="H15" s="3029"/>
      <c r="I15" s="3030"/>
      <c r="J15" s="3438">
        <v>2</v>
      </c>
      <c r="K15" s="3439"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4" t="s">
        <v>2885</v>
      </c>
      <c r="C16" s="3445"/>
      <c r="D16" s="3089">
        <f>D6*E16</f>
        <v>0</v>
      </c>
      <c r="E16" s="3090"/>
      <c r="F16" s="3075" t="s">
        <v>2886</v>
      </c>
      <c r="G16" s="3054"/>
      <c r="H16" s="3029"/>
      <c r="I16" s="3030"/>
      <c r="J16" s="3438"/>
      <c r="K16" s="3440"/>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46" t="s">
        <v>2888</v>
      </c>
      <c r="C17" s="3447"/>
      <c r="D17" s="3092">
        <f>ROUND(D6*E17,0)</f>
        <v>0</v>
      </c>
      <c r="E17" s="3093"/>
      <c r="F17" s="3094" t="s">
        <v>2889</v>
      </c>
      <c r="G17" s="3054"/>
      <c r="H17" s="3029"/>
      <c r="I17" s="3030"/>
      <c r="J17" s="3438"/>
      <c r="K17" s="3440"/>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38"/>
      <c r="K18" s="3440"/>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38"/>
      <c r="K19" s="3441"/>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8">
        <v>3</v>
      </c>
      <c r="K20" s="3439"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38"/>
      <c r="K21" s="3440"/>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38"/>
      <c r="K22" s="3440"/>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38"/>
      <c r="K23" s="3440"/>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38"/>
      <c r="K24" s="3441"/>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48">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49"/>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31" t="s">
        <v>2821</v>
      </c>
      <c r="K32" s="3432"/>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33" t="s">
        <v>2831</v>
      </c>
      <c r="K33" s="3434"/>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33" t="s">
        <v>2833</v>
      </c>
      <c r="K34" s="3434"/>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38">
        <v>1</v>
      </c>
      <c r="K36" s="3439"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38"/>
      <c r="K37" s="3440"/>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8"/>
      <c r="K38" s="3440"/>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38"/>
      <c r="K39" s="3440"/>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38"/>
      <c r="K40" s="3441"/>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8">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49"/>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16654</v>
      </c>
      <c r="C2" s="2009" t="s">
        <v>2098</v>
      </c>
      <c r="D2" s="2010" t="s">
        <v>2099</v>
      </c>
      <c r="E2" s="2783">
        <f>SUM(E6:E13)</f>
        <v>6531.86</v>
      </c>
      <c r="F2" s="2886"/>
      <c r="G2" s="1625"/>
      <c r="H2" s="1625"/>
      <c r="I2" s="1625"/>
      <c r="J2" s="1625"/>
      <c r="K2" s="1625"/>
      <c r="L2" s="1625"/>
      <c r="M2" s="1625"/>
      <c r="N2" s="1625"/>
      <c r="O2" s="1625"/>
      <c r="P2" s="1625"/>
      <c r="Q2" s="1625"/>
      <c r="R2" s="1625"/>
      <c r="S2" s="1625"/>
    </row>
    <row r="3" spans="1:22" ht="15.75">
      <c r="A3" s="2007" t="s">
        <v>1119</v>
      </c>
      <c r="B3" s="2777">
        <f ca="1">ROUND(B2*10000/E2,0)</f>
        <v>25497</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450" t="s">
        <v>2101</v>
      </c>
      <c r="C5" s="3451"/>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v>
      </c>
      <c r="B6" s="2778">
        <f ca="1">IF(F6="是",'数据-取费表'!AO6,0)</f>
        <v>16654</v>
      </c>
      <c r="C6" s="2009" t="s">
        <v>2098</v>
      </c>
      <c r="D6" s="2888"/>
      <c r="E6" s="2782">
        <f>IF(OR(A6=0,F6="否"),0,'数据-取费表'!K6+'数据-取费表'!S6)</f>
        <v>6531.86</v>
      </c>
      <c r="F6" s="2013" t="s">
        <v>2104</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2098</v>
      </c>
      <c r="D7" s="2888"/>
      <c r="E7" s="2782">
        <f>IF(OR(A7=0,F7="否"),0,'数据-取费表'!K7+'数据-取费表'!S7)</f>
        <v>0</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72" sqref="Q7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6531.86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70" t="s">
        <v>2115</v>
      </c>
      <c r="D4" s="3471"/>
      <c r="E4" s="3472" t="s">
        <v>2116</v>
      </c>
      <c r="F4" s="3473"/>
      <c r="G4" s="3470" t="s">
        <v>2117</v>
      </c>
      <c r="H4" s="3471"/>
      <c r="I4" s="3470" t="s">
        <v>2118</v>
      </c>
      <c r="J4" s="3471"/>
      <c r="K4" s="2026" t="s">
        <v>2119</v>
      </c>
      <c r="L4" s="2894"/>
      <c r="M4" s="2895"/>
      <c r="N4" s="2895"/>
      <c r="O4" s="2895"/>
      <c r="P4" s="3474" t="s">
        <v>2120</v>
      </c>
      <c r="Q4" s="3475"/>
      <c r="R4" s="3457" t="s">
        <v>2116</v>
      </c>
      <c r="S4" s="3458"/>
      <c r="T4" s="3457" t="s">
        <v>2117</v>
      </c>
      <c r="U4" s="3458"/>
      <c r="V4" s="3482" t="s">
        <v>2118</v>
      </c>
      <c r="W4" s="3482"/>
      <c r="X4" s="1490"/>
      <c r="Y4" s="3457" t="s">
        <v>2120</v>
      </c>
      <c r="Z4" s="3458"/>
      <c r="AA4" s="3452" t="s">
        <v>2116</v>
      </c>
      <c r="AB4" s="3452" t="s">
        <v>2117</v>
      </c>
      <c r="AC4" s="3452" t="s">
        <v>2118</v>
      </c>
    </row>
    <row r="5" spans="1:29" ht="15">
      <c r="A5" s="364"/>
      <c r="B5" s="365"/>
      <c r="C5" s="3463" t="s">
        <v>2121</v>
      </c>
      <c r="D5" s="3464"/>
      <c r="E5" s="3461" t="s">
        <v>2122</v>
      </c>
      <c r="F5" s="3462"/>
      <c r="G5" s="3463" t="s">
        <v>2123</v>
      </c>
      <c r="H5" s="3464"/>
      <c r="I5" s="3463" t="s">
        <v>2124</v>
      </c>
      <c r="J5" s="3464"/>
      <c r="K5" s="2027"/>
      <c r="L5" s="2894"/>
      <c r="M5" s="2895"/>
      <c r="N5" s="2895"/>
      <c r="O5" s="2895"/>
      <c r="P5" s="3476"/>
      <c r="Q5" s="3477"/>
      <c r="R5" s="3459"/>
      <c r="S5" s="3460"/>
      <c r="T5" s="3459"/>
      <c r="U5" s="3460"/>
      <c r="V5" s="3482"/>
      <c r="W5" s="3482"/>
      <c r="X5" s="1490"/>
      <c r="Y5" s="3459"/>
      <c r="Z5" s="3460"/>
      <c r="AA5" s="3453"/>
      <c r="AB5" s="3453"/>
      <c r="AC5" s="3453"/>
    </row>
    <row r="6" spans="1:29" ht="15.75" thickBot="1">
      <c r="A6" s="366"/>
      <c r="B6" s="367"/>
      <c r="C6" s="3465" t="s">
        <v>2125</v>
      </c>
      <c r="D6" s="3466"/>
      <c r="E6" s="3467" t="s">
        <v>2125</v>
      </c>
      <c r="F6" s="3468"/>
      <c r="G6" s="3465" t="s">
        <v>2125</v>
      </c>
      <c r="H6" s="3466"/>
      <c r="I6" s="3465" t="s">
        <v>2125</v>
      </c>
      <c r="J6" s="3466"/>
      <c r="K6" s="2027" t="s">
        <v>2126</v>
      </c>
      <c r="L6" s="2894"/>
      <c r="M6" s="2895"/>
      <c r="N6" s="2895"/>
      <c r="O6" s="2895"/>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44869</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5" t="s">
        <v>2128</v>
      </c>
      <c r="Q7" s="3483"/>
      <c r="R7" s="710" t="s">
        <v>23</v>
      </c>
      <c r="S7" s="711">
        <f t="shared" ref="S7:S15" si="0">F7</f>
        <v>0</v>
      </c>
      <c r="T7" s="710" t="s">
        <v>23</v>
      </c>
      <c r="U7" s="711">
        <f t="shared" ref="U7:U15" si="1">H7</f>
        <v>0</v>
      </c>
      <c r="V7" s="710" t="s">
        <v>23</v>
      </c>
      <c r="W7" s="711">
        <f t="shared" ref="W7:W15" si="2">J7</f>
        <v>0</v>
      </c>
      <c r="X7" s="712"/>
      <c r="Y7" s="3455" t="s">
        <v>2128</v>
      </c>
      <c r="Z7" s="3456"/>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5" t="s">
        <v>2131</v>
      </c>
      <c r="Q8" s="3456"/>
      <c r="R8" s="710" t="s">
        <v>23</v>
      </c>
      <c r="S8" s="711">
        <f t="shared" si="0"/>
        <v>0</v>
      </c>
      <c r="T8" s="710" t="s">
        <v>23</v>
      </c>
      <c r="U8" s="711">
        <f t="shared" si="1"/>
        <v>0</v>
      </c>
      <c r="V8" s="710" t="s">
        <v>23</v>
      </c>
      <c r="W8" s="711">
        <f t="shared" si="2"/>
        <v>0</v>
      </c>
      <c r="X8" s="712"/>
      <c r="Y8" s="3455" t="s">
        <v>2131</v>
      </c>
      <c r="Z8" s="3456"/>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9"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9"/>
      <c r="Q11" s="1478"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9"/>
      <c r="Q12" s="1478">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9"/>
      <c r="Q13" s="1478">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9"/>
      <c r="Q14" s="1478">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6" t="s">
        <v>2139</v>
      </c>
      <c r="Q15" s="1487" t="str">
        <f t="shared" si="6"/>
        <v>居住社区成熟度</v>
      </c>
      <c r="R15" s="714" t="s">
        <v>21</v>
      </c>
      <c r="S15" s="715">
        <f t="shared" si="0"/>
        <v>100</v>
      </c>
      <c r="T15" s="714" t="s">
        <v>21</v>
      </c>
      <c r="U15" s="715">
        <f t="shared" si="1"/>
        <v>100</v>
      </c>
      <c r="V15" s="714" t="s">
        <v>21</v>
      </c>
      <c r="W15" s="715">
        <f t="shared" si="2"/>
        <v>100</v>
      </c>
      <c r="X15" s="1490"/>
      <c r="Y15" s="3489"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7"/>
      <c r="Q16" s="1487"/>
      <c r="R16" s="714"/>
      <c r="S16" s="715"/>
      <c r="T16" s="714"/>
      <c r="U16" s="715"/>
      <c r="V16" s="714"/>
      <c r="W16" s="715"/>
      <c r="X16" s="1490"/>
      <c r="Y16" s="3490"/>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7"/>
      <c r="Q17" s="1487" t="str">
        <f>B17</f>
        <v>交通便捷度</v>
      </c>
      <c r="R17" s="714" t="s">
        <v>21</v>
      </c>
      <c r="S17" s="715">
        <f>F17</f>
        <v>100</v>
      </c>
      <c r="T17" s="714" t="s">
        <v>21</v>
      </c>
      <c r="U17" s="715">
        <f>H17</f>
        <v>100</v>
      </c>
      <c r="V17" s="714" t="s">
        <v>21</v>
      </c>
      <c r="W17" s="715">
        <f>J17</f>
        <v>100</v>
      </c>
      <c r="X17" s="1490"/>
      <c r="Y17" s="349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7"/>
      <c r="Q18" s="1487"/>
      <c r="R18" s="714"/>
      <c r="S18" s="715"/>
      <c r="T18" s="714"/>
      <c r="U18" s="715"/>
      <c r="V18" s="714"/>
      <c r="W18" s="715"/>
      <c r="X18" s="1490"/>
      <c r="Y18" s="3490"/>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7"/>
      <c r="Q19" s="1487" t="str">
        <f>B19</f>
        <v>公共配套设施</v>
      </c>
      <c r="R19" s="714" t="s">
        <v>21</v>
      </c>
      <c r="S19" s="715">
        <f>F19</f>
        <v>100</v>
      </c>
      <c r="T19" s="714" t="s">
        <v>21</v>
      </c>
      <c r="U19" s="715">
        <f>H19</f>
        <v>100</v>
      </c>
      <c r="V19" s="714" t="s">
        <v>21</v>
      </c>
      <c r="W19" s="715">
        <f>J19</f>
        <v>100</v>
      </c>
      <c r="X19" s="1490"/>
      <c r="Y19" s="349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7"/>
      <c r="Q20" s="1487"/>
      <c r="R20" s="714"/>
      <c r="S20" s="715"/>
      <c r="T20" s="714"/>
      <c r="U20" s="715"/>
      <c r="V20" s="714"/>
      <c r="W20" s="715"/>
      <c r="X20" s="1490"/>
      <c r="Y20" s="3490"/>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7"/>
      <c r="Q22" s="1487"/>
      <c r="R22" s="714"/>
      <c r="S22" s="715"/>
      <c r="T22" s="714"/>
      <c r="U22" s="715"/>
      <c r="V22" s="714"/>
      <c r="W22" s="715"/>
      <c r="X22" s="1490"/>
      <c r="Y22" s="3490"/>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7"/>
      <c r="Q23" s="1487" t="str">
        <f>B23</f>
        <v>自然及人文环境</v>
      </c>
      <c r="R23" s="714" t="s">
        <v>21</v>
      </c>
      <c r="S23" s="715">
        <f>F23</f>
        <v>100</v>
      </c>
      <c r="T23" s="714" t="s">
        <v>21</v>
      </c>
      <c r="U23" s="715">
        <f>H23</f>
        <v>100</v>
      </c>
      <c r="V23" s="714" t="s">
        <v>21</v>
      </c>
      <c r="W23" s="715">
        <f>J23</f>
        <v>100</v>
      </c>
      <c r="X23" s="1490"/>
      <c r="Y23" s="349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7"/>
      <c r="Q24" s="1487"/>
      <c r="R24" s="714"/>
      <c r="S24" s="715"/>
      <c r="T24" s="714"/>
      <c r="U24" s="715"/>
      <c r="V24" s="714"/>
      <c r="W24" s="715"/>
      <c r="X24" s="1490"/>
      <c r="Y24" s="3490"/>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0"/>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7"/>
      <c r="Q26" s="1487" t="str">
        <f t="shared" si="11"/>
        <v>朝向</v>
      </c>
      <c r="R26" s="714" t="s">
        <v>21</v>
      </c>
      <c r="S26" s="715">
        <f t="shared" si="12"/>
        <v>100</v>
      </c>
      <c r="T26" s="714" t="s">
        <v>21</v>
      </c>
      <c r="U26" s="715">
        <f t="shared" si="13"/>
        <v>100</v>
      </c>
      <c r="V26" s="714" t="s">
        <v>21</v>
      </c>
      <c r="W26" s="715">
        <f t="shared" si="14"/>
        <v>100</v>
      </c>
      <c r="X26" s="1490"/>
      <c r="Y26" s="349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7"/>
      <c r="Q27" s="1478">
        <f t="shared" si="11"/>
        <v>111</v>
      </c>
      <c r="R27" s="710" t="s">
        <v>21</v>
      </c>
      <c r="S27" s="711">
        <f t="shared" si="12"/>
        <v>100</v>
      </c>
      <c r="T27" s="710" t="s">
        <v>21</v>
      </c>
      <c r="U27" s="711">
        <f t="shared" si="13"/>
        <v>100</v>
      </c>
      <c r="V27" s="710" t="s">
        <v>21</v>
      </c>
      <c r="W27" s="711">
        <f t="shared" si="14"/>
        <v>100</v>
      </c>
      <c r="X27" s="712"/>
      <c r="Y27" s="349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7"/>
      <c r="Q28" s="1487">
        <f t="shared" si="11"/>
        <v>111</v>
      </c>
      <c r="R28" s="714" t="s">
        <v>21</v>
      </c>
      <c r="S28" s="715">
        <f t="shared" si="12"/>
        <v>100</v>
      </c>
      <c r="T28" s="714" t="s">
        <v>21</v>
      </c>
      <c r="U28" s="715">
        <f t="shared" si="13"/>
        <v>100</v>
      </c>
      <c r="V28" s="714" t="s">
        <v>21</v>
      </c>
      <c r="W28" s="715">
        <f t="shared" si="14"/>
        <v>100</v>
      </c>
      <c r="X28" s="1490"/>
      <c r="Y28" s="349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7"/>
      <c r="Q29" s="1487">
        <f t="shared" si="11"/>
        <v>111</v>
      </c>
      <c r="R29" s="714" t="s">
        <v>21</v>
      </c>
      <c r="S29" s="715">
        <f t="shared" si="12"/>
        <v>100</v>
      </c>
      <c r="T29" s="714" t="s">
        <v>21</v>
      </c>
      <c r="U29" s="715">
        <f t="shared" si="13"/>
        <v>100</v>
      </c>
      <c r="V29" s="714" t="s">
        <v>21</v>
      </c>
      <c r="W29" s="715">
        <f t="shared" si="14"/>
        <v>100</v>
      </c>
      <c r="X29" s="1490"/>
      <c r="Y29" s="349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7"/>
      <c r="Q30" s="1487">
        <f t="shared" si="11"/>
        <v>111</v>
      </c>
      <c r="R30" s="714" t="s">
        <v>21</v>
      </c>
      <c r="S30" s="715">
        <f t="shared" si="12"/>
        <v>100</v>
      </c>
      <c r="T30" s="714" t="s">
        <v>21</v>
      </c>
      <c r="U30" s="715">
        <f t="shared" si="13"/>
        <v>100</v>
      </c>
      <c r="V30" s="714" t="s">
        <v>21</v>
      </c>
      <c r="W30" s="715">
        <f t="shared" si="14"/>
        <v>100</v>
      </c>
      <c r="X30" s="1490"/>
      <c r="Y30" s="349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7"/>
      <c r="Q31" s="1487">
        <f t="shared" si="11"/>
        <v>111</v>
      </c>
      <c r="R31" s="714" t="s">
        <v>21</v>
      </c>
      <c r="S31" s="715">
        <f t="shared" si="12"/>
        <v>100</v>
      </c>
      <c r="T31" s="714" t="s">
        <v>21</v>
      </c>
      <c r="U31" s="715">
        <f t="shared" si="13"/>
        <v>100</v>
      </c>
      <c r="V31" s="714" t="s">
        <v>21</v>
      </c>
      <c r="W31" s="715">
        <f t="shared" si="14"/>
        <v>100</v>
      </c>
      <c r="X31" s="1490"/>
      <c r="Y31" s="3490"/>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1" t="s">
        <v>2144</v>
      </c>
      <c r="Q32" s="1487" t="str">
        <f t="shared" si="11"/>
        <v>建筑类型</v>
      </c>
      <c r="R32" s="714" t="s">
        <v>21</v>
      </c>
      <c r="S32" s="715">
        <f t="shared" si="12"/>
        <v>100</v>
      </c>
      <c r="T32" s="714" t="s">
        <v>21</v>
      </c>
      <c r="U32" s="715">
        <f t="shared" si="13"/>
        <v>100</v>
      </c>
      <c r="V32" s="714" t="s">
        <v>21</v>
      </c>
      <c r="W32" s="715">
        <f t="shared" si="14"/>
        <v>100</v>
      </c>
      <c r="X32" s="1490"/>
      <c r="Y32" s="3494"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2"/>
      <c r="Q33" s="716" t="str">
        <f t="shared" si="11"/>
        <v>项目建筑规模</v>
      </c>
      <c r="R33" s="717" t="s">
        <v>21</v>
      </c>
      <c r="S33" s="718" t="e">
        <f t="shared" si="12"/>
        <v>#N/A</v>
      </c>
      <c r="T33" s="717" t="s">
        <v>21</v>
      </c>
      <c r="U33" s="718" t="e">
        <f t="shared" si="13"/>
        <v>#N/A</v>
      </c>
      <c r="V33" s="717" t="s">
        <v>21</v>
      </c>
      <c r="W33" s="718" t="e">
        <f t="shared" si="14"/>
        <v>#N/A</v>
      </c>
      <c r="X33" s="719"/>
      <c r="Y33" s="3494"/>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2"/>
      <c r="Q34" s="1487" t="str">
        <f t="shared" si="11"/>
        <v>建筑结构</v>
      </c>
      <c r="R34" s="714" t="s">
        <v>21</v>
      </c>
      <c r="S34" s="715">
        <f t="shared" si="12"/>
        <v>100</v>
      </c>
      <c r="T34" s="714" t="s">
        <v>21</v>
      </c>
      <c r="U34" s="715">
        <f t="shared" si="13"/>
        <v>100</v>
      </c>
      <c r="V34" s="714" t="s">
        <v>21</v>
      </c>
      <c r="W34" s="715">
        <f t="shared" si="14"/>
        <v>100</v>
      </c>
      <c r="X34" s="1490"/>
      <c r="Y34" s="3494"/>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2"/>
      <c r="Q35" s="1487" t="str">
        <f t="shared" si="11"/>
        <v>建筑品质</v>
      </c>
      <c r="R35" s="714" t="s">
        <v>21</v>
      </c>
      <c r="S35" s="715">
        <f t="shared" si="12"/>
        <v>100</v>
      </c>
      <c r="T35" s="714" t="s">
        <v>21</v>
      </c>
      <c r="U35" s="715">
        <f t="shared" si="13"/>
        <v>100</v>
      </c>
      <c r="V35" s="714" t="s">
        <v>21</v>
      </c>
      <c r="W35" s="715">
        <f t="shared" si="14"/>
        <v>100</v>
      </c>
      <c r="X35" s="1490"/>
      <c r="Y35" s="3494"/>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2"/>
      <c r="Q36" s="1487" t="str">
        <f t="shared" si="11"/>
        <v>公共部分装修</v>
      </c>
      <c r="R36" s="714" t="s">
        <v>21</v>
      </c>
      <c r="S36" s="715">
        <f t="shared" si="12"/>
        <v>100</v>
      </c>
      <c r="T36" s="714" t="s">
        <v>21</v>
      </c>
      <c r="U36" s="715">
        <f t="shared" si="13"/>
        <v>100</v>
      </c>
      <c r="V36" s="714" t="s">
        <v>21</v>
      </c>
      <c r="W36" s="715">
        <f t="shared" si="14"/>
        <v>100</v>
      </c>
      <c r="X36" s="1490"/>
      <c r="Y36" s="3494"/>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2"/>
      <c r="Q37" s="1478" t="str">
        <f t="shared" si="11"/>
        <v>成新度</v>
      </c>
      <c r="R37" s="710" t="s">
        <v>21</v>
      </c>
      <c r="S37" s="711" t="e">
        <f t="shared" si="12"/>
        <v>#N/A</v>
      </c>
      <c r="T37" s="710" t="s">
        <v>21</v>
      </c>
      <c r="U37" s="711" t="e">
        <f t="shared" si="13"/>
        <v>#N/A</v>
      </c>
      <c r="V37" s="710" t="s">
        <v>21</v>
      </c>
      <c r="W37" s="711" t="e">
        <f t="shared" si="14"/>
        <v>#N/A</v>
      </c>
      <c r="X37" s="712"/>
      <c r="Y37" s="3494"/>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2" t="s">
        <v>2144</v>
      </c>
      <c r="Q38" s="1487" t="str">
        <f t="shared" si="11"/>
        <v>物业管理</v>
      </c>
      <c r="R38" s="714" t="s">
        <v>21</v>
      </c>
      <c r="S38" s="715">
        <f t="shared" si="12"/>
        <v>100</v>
      </c>
      <c r="T38" s="714" t="s">
        <v>21</v>
      </c>
      <c r="U38" s="715">
        <f t="shared" si="13"/>
        <v>100</v>
      </c>
      <c r="V38" s="714" t="s">
        <v>21</v>
      </c>
      <c r="W38" s="715">
        <f t="shared" si="14"/>
        <v>100</v>
      </c>
      <c r="X38" s="1490"/>
      <c r="Y38" s="3494"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2"/>
      <c r="Q39" s="1487" t="str">
        <f t="shared" si="11"/>
        <v>市政基础设施</v>
      </c>
      <c r="R39" s="714" t="s">
        <v>21</v>
      </c>
      <c r="S39" s="715">
        <f t="shared" si="12"/>
        <v>100</v>
      </c>
      <c r="T39" s="714" t="s">
        <v>21</v>
      </c>
      <c r="U39" s="715">
        <f t="shared" si="13"/>
        <v>100</v>
      </c>
      <c r="V39" s="714" t="s">
        <v>21</v>
      </c>
      <c r="W39" s="715">
        <f t="shared" si="14"/>
        <v>100</v>
      </c>
      <c r="X39" s="1490"/>
      <c r="Y39" s="3494"/>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2"/>
      <c r="Q40" s="1487" t="str">
        <f t="shared" si="11"/>
        <v>房型</v>
      </c>
      <c r="R40" s="714" t="s">
        <v>21</v>
      </c>
      <c r="S40" s="715">
        <f t="shared" si="12"/>
        <v>100</v>
      </c>
      <c r="T40" s="714" t="s">
        <v>21</v>
      </c>
      <c r="U40" s="715">
        <f t="shared" si="13"/>
        <v>100</v>
      </c>
      <c r="V40" s="714" t="s">
        <v>21</v>
      </c>
      <c r="W40" s="715">
        <f t="shared" si="14"/>
        <v>100</v>
      </c>
      <c r="X40" s="1490"/>
      <c r="Y40" s="3494"/>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2"/>
      <c r="Q41" s="716" t="str">
        <f t="shared" si="11"/>
        <v>单套/主力户型建筑面积</v>
      </c>
      <c r="R41" s="717" t="s">
        <v>21</v>
      </c>
      <c r="S41" s="718">
        <f t="shared" si="12"/>
        <v>100</v>
      </c>
      <c r="T41" s="717" t="s">
        <v>21</v>
      </c>
      <c r="U41" s="718">
        <f t="shared" si="13"/>
        <v>100</v>
      </c>
      <c r="V41" s="717" t="s">
        <v>21</v>
      </c>
      <c r="W41" s="718">
        <f t="shared" si="14"/>
        <v>100</v>
      </c>
      <c r="X41" s="719"/>
      <c r="Y41" s="3494"/>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2"/>
      <c r="Q42" s="1487" t="str">
        <f t="shared" si="11"/>
        <v>内部装修</v>
      </c>
      <c r="R42" s="714" t="s">
        <v>21</v>
      </c>
      <c r="S42" s="715">
        <f t="shared" si="12"/>
        <v>100</v>
      </c>
      <c r="T42" s="714" t="s">
        <v>21</v>
      </c>
      <c r="U42" s="715">
        <f t="shared" si="13"/>
        <v>100</v>
      </c>
      <c r="V42" s="714" t="s">
        <v>21</v>
      </c>
      <c r="W42" s="715">
        <f t="shared" si="14"/>
        <v>100</v>
      </c>
      <c r="X42" s="1490"/>
      <c r="Y42" s="3494"/>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2"/>
      <c r="Q43" s="1487" t="str">
        <f t="shared" si="11"/>
        <v>内部装修维护情况</v>
      </c>
      <c r="R43" s="714" t="s">
        <v>21</v>
      </c>
      <c r="S43" s="715">
        <f t="shared" si="12"/>
        <v>100</v>
      </c>
      <c r="T43" s="714" t="s">
        <v>21</v>
      </c>
      <c r="U43" s="715">
        <f t="shared" si="13"/>
        <v>100</v>
      </c>
      <c r="V43" s="714" t="s">
        <v>21</v>
      </c>
      <c r="W43" s="715">
        <f t="shared" si="14"/>
        <v>100</v>
      </c>
      <c r="X43" s="1490"/>
      <c r="Y43" s="349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2"/>
      <c r="Q44" s="1478">
        <f t="shared" si="11"/>
        <v>111</v>
      </c>
      <c r="R44" s="710" t="s">
        <v>21</v>
      </c>
      <c r="S44" s="711">
        <f t="shared" si="12"/>
        <v>100</v>
      </c>
      <c r="T44" s="710" t="s">
        <v>21</v>
      </c>
      <c r="U44" s="711">
        <f t="shared" si="13"/>
        <v>100</v>
      </c>
      <c r="V44" s="710" t="s">
        <v>21</v>
      </c>
      <c r="W44" s="711">
        <f t="shared" si="14"/>
        <v>100</v>
      </c>
      <c r="X44" s="712"/>
      <c r="Y44" s="349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2"/>
      <c r="Q45" s="1487">
        <f t="shared" si="11"/>
        <v>111</v>
      </c>
      <c r="R45" s="714" t="s">
        <v>21</v>
      </c>
      <c r="S45" s="715">
        <f t="shared" si="12"/>
        <v>100</v>
      </c>
      <c r="T45" s="714" t="s">
        <v>21</v>
      </c>
      <c r="U45" s="715">
        <f t="shared" si="13"/>
        <v>100</v>
      </c>
      <c r="V45" s="714" t="s">
        <v>21</v>
      </c>
      <c r="W45" s="715">
        <f t="shared" si="14"/>
        <v>100</v>
      </c>
      <c r="X45" s="1490"/>
      <c r="Y45" s="349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3"/>
      <c r="Q46" s="1487">
        <f t="shared" si="11"/>
        <v>111</v>
      </c>
      <c r="R46" s="714" t="s">
        <v>20</v>
      </c>
      <c r="S46" s="715">
        <f t="shared" si="12"/>
        <v>100</v>
      </c>
      <c r="T46" s="714" t="s">
        <v>20</v>
      </c>
      <c r="U46" s="715">
        <f t="shared" si="13"/>
        <v>100</v>
      </c>
      <c r="V46" s="714" t="s">
        <v>20</v>
      </c>
      <c r="W46" s="715">
        <f t="shared" si="14"/>
        <v>100</v>
      </c>
      <c r="X46" s="1490"/>
      <c r="Y46" s="3495"/>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87" t="str">
        <f>A47</f>
        <v>成交单价（元/平方米）</v>
      </c>
      <c r="Q47" s="3487"/>
      <c r="R47" s="3488">
        <f>E47</f>
        <v>0</v>
      </c>
      <c r="S47" s="3488"/>
      <c r="T47" s="3488">
        <f>G47</f>
        <v>0</v>
      </c>
      <c r="U47" s="3488"/>
      <c r="V47" s="3488">
        <f>I47</f>
        <v>0</v>
      </c>
      <c r="W47" s="3488"/>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6531.86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57" t="s">
        <v>2226</v>
      </c>
      <c r="S4" s="3458"/>
      <c r="T4" s="3457" t="s">
        <v>2227</v>
      </c>
      <c r="U4" s="3458"/>
      <c r="V4" s="3482" t="s">
        <v>2228</v>
      </c>
      <c r="W4" s="3482"/>
      <c r="X4" s="1490"/>
      <c r="Y4" s="3457" t="s">
        <v>2230</v>
      </c>
      <c r="Z4" s="3458"/>
      <c r="AA4" s="3452" t="s">
        <v>2226</v>
      </c>
      <c r="AB4" s="3482" t="s">
        <v>2227</v>
      </c>
      <c r="AC4" s="3452" t="s">
        <v>2228</v>
      </c>
    </row>
    <row r="5" spans="1:29" ht="15">
      <c r="A5" s="364"/>
      <c r="B5" s="365"/>
      <c r="C5" s="3463" t="s">
        <v>2121</v>
      </c>
      <c r="D5" s="3464"/>
      <c r="E5" s="3461" t="s">
        <v>2122</v>
      </c>
      <c r="F5" s="3462"/>
      <c r="G5" s="3463" t="s">
        <v>2123</v>
      </c>
      <c r="H5" s="3464"/>
      <c r="I5" s="3463" t="s">
        <v>2124</v>
      </c>
      <c r="J5" s="3464"/>
      <c r="K5" s="567"/>
      <c r="L5" s="2894"/>
      <c r="M5" s="2895"/>
      <c r="N5" s="2895"/>
      <c r="O5" s="2895"/>
      <c r="P5" s="3476"/>
      <c r="Q5" s="3477"/>
      <c r="R5" s="3459"/>
      <c r="S5" s="3460"/>
      <c r="T5" s="3459"/>
      <c r="U5" s="3460"/>
      <c r="V5" s="3482"/>
      <c r="W5" s="3482"/>
      <c r="X5" s="1490"/>
      <c r="Y5" s="3459"/>
      <c r="Z5" s="3460"/>
      <c r="AA5" s="3453"/>
      <c r="AB5" s="3482"/>
      <c r="AC5" s="3453"/>
    </row>
    <row r="6" spans="1:29" ht="15.75" thickBot="1">
      <c r="A6" s="366"/>
      <c r="B6" s="367"/>
      <c r="C6" s="3465" t="s">
        <v>2125</v>
      </c>
      <c r="D6" s="3466"/>
      <c r="E6" s="3467" t="s">
        <v>2125</v>
      </c>
      <c r="F6" s="3468"/>
      <c r="G6" s="3465" t="s">
        <v>2125</v>
      </c>
      <c r="H6" s="3466"/>
      <c r="I6" s="3465" t="s">
        <v>2125</v>
      </c>
      <c r="J6" s="3466"/>
      <c r="K6" s="567" t="s">
        <v>2126</v>
      </c>
      <c r="L6" s="2894"/>
      <c r="M6" s="2895"/>
      <c r="N6" s="2895"/>
      <c r="O6" s="2895"/>
      <c r="P6" s="3478"/>
      <c r="Q6" s="3479"/>
      <c r="R6" s="3459"/>
      <c r="S6" s="3460"/>
      <c r="T6" s="3480"/>
      <c r="U6" s="3481"/>
      <c r="V6" s="3482"/>
      <c r="W6" s="3482"/>
      <c r="X6" s="1490"/>
      <c r="Y6" s="3480"/>
      <c r="Z6" s="3481"/>
      <c r="AA6" s="3454"/>
      <c r="AB6" s="3482"/>
      <c r="AC6" s="3454"/>
    </row>
    <row r="7" spans="1:29" s="113" customFormat="1" ht="15.75" thickBot="1">
      <c r="A7" s="368" t="s">
        <v>2127</v>
      </c>
      <c r="B7" s="369"/>
      <c r="C7" s="370">
        <f>'数据-取费表'!B2</f>
        <v>44869</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5"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5" t="s">
        <v>2131</v>
      </c>
      <c r="Q8" s="3456"/>
      <c r="R8" s="710" t="s">
        <v>17</v>
      </c>
      <c r="S8" s="711">
        <f t="shared" si="0"/>
        <v>0</v>
      </c>
      <c r="T8" s="710" t="s">
        <v>17</v>
      </c>
      <c r="U8" s="711">
        <f t="shared" si="1"/>
        <v>0</v>
      </c>
      <c r="V8" s="710" t="s">
        <v>17</v>
      </c>
      <c r="W8" s="711">
        <f t="shared" si="2"/>
        <v>0</v>
      </c>
      <c r="X8" s="712"/>
      <c r="Y8" s="3455" t="s">
        <v>2131</v>
      </c>
      <c r="Z8" s="3456"/>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9"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9"/>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9"/>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9"/>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9"/>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6" t="s">
        <v>2139</v>
      </c>
      <c r="Q15" s="1487" t="str">
        <f t="shared" si="6"/>
        <v>商业繁华度</v>
      </c>
      <c r="R15" s="714" t="s">
        <v>17</v>
      </c>
      <c r="S15" s="715">
        <f t="shared" si="0"/>
        <v>100</v>
      </c>
      <c r="T15" s="714" t="s">
        <v>17</v>
      </c>
      <c r="U15" s="715">
        <f t="shared" si="1"/>
        <v>100</v>
      </c>
      <c r="V15" s="714" t="s">
        <v>17</v>
      </c>
      <c r="W15" s="715">
        <f t="shared" si="2"/>
        <v>100</v>
      </c>
      <c r="X15" s="1490"/>
      <c r="Y15" s="3489"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7"/>
      <c r="Q16" s="1487"/>
      <c r="R16" s="714"/>
      <c r="S16" s="715"/>
      <c r="T16" s="714"/>
      <c r="U16" s="715"/>
      <c r="V16" s="714"/>
      <c r="W16" s="715"/>
      <c r="X16" s="1490"/>
      <c r="Y16" s="3490"/>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7"/>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7"/>
      <c r="Q18" s="1487"/>
      <c r="R18" s="714"/>
      <c r="S18" s="715"/>
      <c r="T18" s="714"/>
      <c r="U18" s="715"/>
      <c r="V18" s="714"/>
      <c r="W18" s="715"/>
      <c r="X18" s="1490"/>
      <c r="Y18" s="3490"/>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7"/>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7"/>
      <c r="Q20" s="1487"/>
      <c r="R20" s="714"/>
      <c r="S20" s="715"/>
      <c r="T20" s="714"/>
      <c r="U20" s="715"/>
      <c r="V20" s="714"/>
      <c r="W20" s="715"/>
      <c r="X20" s="1490"/>
      <c r="Y20" s="3490"/>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7"/>
      <c r="Q22" s="1487"/>
      <c r="R22" s="714"/>
      <c r="S22" s="715"/>
      <c r="T22" s="714"/>
      <c r="U22" s="715"/>
      <c r="V22" s="714"/>
      <c r="W22" s="715"/>
      <c r="X22" s="1490"/>
      <c r="Y22" s="3490"/>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7"/>
      <c r="Q23" s="1487" t="str">
        <f>B23</f>
        <v>自然及人文环境</v>
      </c>
      <c r="R23" s="714" t="s">
        <v>17</v>
      </c>
      <c r="S23" s="715">
        <f>F23</f>
        <v>100</v>
      </c>
      <c r="T23" s="714" t="s">
        <v>17</v>
      </c>
      <c r="U23" s="715">
        <f>H23</f>
        <v>100</v>
      </c>
      <c r="V23" s="714" t="s">
        <v>17</v>
      </c>
      <c r="W23" s="715">
        <f>J23</f>
        <v>100</v>
      </c>
      <c r="X23" s="1490"/>
      <c r="Y23" s="349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7"/>
      <c r="Q24" s="1487"/>
      <c r="R24" s="714"/>
      <c r="S24" s="715"/>
      <c r="T24" s="714"/>
      <c r="U24" s="715"/>
      <c r="V24" s="714"/>
      <c r="W24" s="715"/>
      <c r="X24" s="1490"/>
      <c r="Y24" s="3490"/>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7"/>
      <c r="Q25" s="1487" t="str">
        <f t="shared" ref="Q25:Q46" si="11">B25</f>
        <v>临街状况</v>
      </c>
      <c r="R25" s="714" t="s">
        <v>17</v>
      </c>
      <c r="S25" s="715">
        <f>F25</f>
        <v>100</v>
      </c>
      <c r="T25" s="714" t="s">
        <v>17</v>
      </c>
      <c r="U25" s="715">
        <f>H25</f>
        <v>100</v>
      </c>
      <c r="V25" s="714" t="s">
        <v>17</v>
      </c>
      <c r="W25" s="715">
        <f>J25</f>
        <v>100</v>
      </c>
      <c r="X25" s="1490"/>
      <c r="Y25" s="3490"/>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7"/>
      <c r="Q26" s="1487" t="str">
        <f t="shared" si="11"/>
        <v>平面位置/可视性</v>
      </c>
      <c r="R26" s="714" t="s">
        <v>17</v>
      </c>
      <c r="S26" s="715">
        <f>F26</f>
        <v>100</v>
      </c>
      <c r="T26" s="714" t="s">
        <v>17</v>
      </c>
      <c r="U26" s="715">
        <f>H26</f>
        <v>100</v>
      </c>
      <c r="V26" s="714" t="s">
        <v>17</v>
      </c>
      <c r="W26" s="715">
        <f>J26</f>
        <v>100</v>
      </c>
      <c r="X26" s="1490"/>
      <c r="Y26" s="3490"/>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7"/>
      <c r="Q27" s="1478" t="str">
        <f t="shared" si="11"/>
        <v>人流量</v>
      </c>
      <c r="R27" s="710" t="s">
        <v>17</v>
      </c>
      <c r="S27" s="711">
        <f>F27</f>
        <v>100</v>
      </c>
      <c r="T27" s="710" t="s">
        <v>17</v>
      </c>
      <c r="U27" s="711">
        <f>H27</f>
        <v>100</v>
      </c>
      <c r="V27" s="710" t="s">
        <v>17</v>
      </c>
      <c r="W27" s="711">
        <f>J27</f>
        <v>100</v>
      </c>
      <c r="X27" s="712"/>
      <c r="Y27" s="3490"/>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7"/>
      <c r="Q29" s="1487">
        <f t="shared" si="11"/>
        <v>111</v>
      </c>
      <c r="R29" s="714" t="s">
        <v>17</v>
      </c>
      <c r="S29" s="715">
        <f t="shared" si="12"/>
        <v>100</v>
      </c>
      <c r="T29" s="714" t="s">
        <v>17</v>
      </c>
      <c r="U29" s="715">
        <f t="shared" si="13"/>
        <v>100</v>
      </c>
      <c r="V29" s="714" t="s">
        <v>17</v>
      </c>
      <c r="W29" s="715">
        <f t="shared" si="14"/>
        <v>100</v>
      </c>
      <c r="X29" s="1490"/>
      <c r="Y29" s="349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7"/>
      <c r="Q30" s="1487">
        <f t="shared" si="11"/>
        <v>111</v>
      </c>
      <c r="R30" s="714" t="s">
        <v>17</v>
      </c>
      <c r="S30" s="715">
        <f t="shared" si="12"/>
        <v>100</v>
      </c>
      <c r="T30" s="714" t="s">
        <v>17</v>
      </c>
      <c r="U30" s="715">
        <f t="shared" si="13"/>
        <v>100</v>
      </c>
      <c r="V30" s="714" t="s">
        <v>17</v>
      </c>
      <c r="W30" s="715">
        <f t="shared" si="14"/>
        <v>100</v>
      </c>
      <c r="X30" s="1490"/>
      <c r="Y30" s="349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7"/>
      <c r="Q31" s="1487">
        <f t="shared" si="11"/>
        <v>111</v>
      </c>
      <c r="R31" s="714" t="s">
        <v>17</v>
      </c>
      <c r="S31" s="715">
        <f t="shared" si="12"/>
        <v>100</v>
      </c>
      <c r="T31" s="714" t="s">
        <v>17</v>
      </c>
      <c r="U31" s="715">
        <f t="shared" si="13"/>
        <v>100</v>
      </c>
      <c r="V31" s="714" t="s">
        <v>17</v>
      </c>
      <c r="W31" s="715">
        <f t="shared" si="14"/>
        <v>100</v>
      </c>
      <c r="X31" s="1490"/>
      <c r="Y31" s="3490"/>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1" t="s">
        <v>2144</v>
      </c>
      <c r="Q32" s="1487" t="str">
        <f t="shared" si="11"/>
        <v>商业类型</v>
      </c>
      <c r="R32" s="714" t="s">
        <v>17</v>
      </c>
      <c r="S32" s="715">
        <f t="shared" si="12"/>
        <v>100</v>
      </c>
      <c r="T32" s="714" t="s">
        <v>17</v>
      </c>
      <c r="U32" s="715">
        <f t="shared" si="13"/>
        <v>100</v>
      </c>
      <c r="V32" s="714" t="s">
        <v>17</v>
      </c>
      <c r="W32" s="715">
        <f t="shared" si="14"/>
        <v>100</v>
      </c>
      <c r="X32" s="1490"/>
      <c r="Y32" s="3494"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2"/>
      <c r="Q33" s="716" t="str">
        <f t="shared" si="11"/>
        <v>项目建筑规模</v>
      </c>
      <c r="R33" s="717" t="s">
        <v>17</v>
      </c>
      <c r="S33" s="718" t="e">
        <f t="shared" si="12"/>
        <v>#N/A</v>
      </c>
      <c r="T33" s="717" t="s">
        <v>17</v>
      </c>
      <c r="U33" s="718" t="e">
        <f t="shared" si="13"/>
        <v>#N/A</v>
      </c>
      <c r="V33" s="717" t="s">
        <v>17</v>
      </c>
      <c r="W33" s="718" t="e">
        <f t="shared" si="14"/>
        <v>#N/A</v>
      </c>
      <c r="X33" s="719"/>
      <c r="Y33" s="3494"/>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2"/>
      <c r="Q34" s="1487" t="str">
        <f t="shared" si="11"/>
        <v>建筑结构</v>
      </c>
      <c r="R34" s="714" t="s">
        <v>17</v>
      </c>
      <c r="S34" s="715">
        <f t="shared" si="12"/>
        <v>100</v>
      </c>
      <c r="T34" s="714" t="s">
        <v>17</v>
      </c>
      <c r="U34" s="715">
        <f t="shared" si="13"/>
        <v>100</v>
      </c>
      <c r="V34" s="714" t="s">
        <v>17</v>
      </c>
      <c r="W34" s="715">
        <f t="shared" si="14"/>
        <v>100</v>
      </c>
      <c r="X34" s="1490"/>
      <c r="Y34" s="3494"/>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2"/>
      <c r="Q35" s="1487" t="str">
        <f t="shared" si="11"/>
        <v>公共部分装修</v>
      </c>
      <c r="R35" s="714" t="s">
        <v>17</v>
      </c>
      <c r="S35" s="715">
        <f t="shared" si="12"/>
        <v>100</v>
      </c>
      <c r="T35" s="714" t="s">
        <v>17</v>
      </c>
      <c r="U35" s="715">
        <f t="shared" si="13"/>
        <v>100</v>
      </c>
      <c r="V35" s="714" t="s">
        <v>17</v>
      </c>
      <c r="W35" s="715">
        <f t="shared" si="14"/>
        <v>100</v>
      </c>
      <c r="X35" s="1490"/>
      <c r="Y35" s="3494"/>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2"/>
      <c r="Q36" s="1487" t="str">
        <f t="shared" si="11"/>
        <v>成新度</v>
      </c>
      <c r="R36" s="714" t="s">
        <v>17</v>
      </c>
      <c r="S36" s="715" t="e">
        <f t="shared" si="12"/>
        <v>#N/A</v>
      </c>
      <c r="T36" s="714" t="s">
        <v>17</v>
      </c>
      <c r="U36" s="715" t="e">
        <f t="shared" si="13"/>
        <v>#N/A</v>
      </c>
      <c r="V36" s="714" t="s">
        <v>17</v>
      </c>
      <c r="W36" s="715" t="e">
        <f t="shared" si="14"/>
        <v>#N/A</v>
      </c>
      <c r="X36" s="1490"/>
      <c r="Y36" s="3494"/>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2"/>
      <c r="Q37" s="1478" t="str">
        <f t="shared" si="11"/>
        <v>市政基础设施</v>
      </c>
      <c r="R37" s="710" t="s">
        <v>17</v>
      </c>
      <c r="S37" s="711">
        <f t="shared" si="12"/>
        <v>100</v>
      </c>
      <c r="T37" s="710" t="s">
        <v>17</v>
      </c>
      <c r="U37" s="711">
        <f t="shared" si="13"/>
        <v>100</v>
      </c>
      <c r="V37" s="710" t="s">
        <v>17</v>
      </c>
      <c r="W37" s="711">
        <f t="shared" si="14"/>
        <v>100</v>
      </c>
      <c r="X37" s="712"/>
      <c r="Y37" s="3494"/>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2" t="s">
        <v>2144</v>
      </c>
      <c r="Q38" s="1487" t="str">
        <f t="shared" si="11"/>
        <v>业态</v>
      </c>
      <c r="R38" s="714" t="s">
        <v>17</v>
      </c>
      <c r="S38" s="715">
        <f t="shared" si="12"/>
        <v>100</v>
      </c>
      <c r="T38" s="714" t="s">
        <v>17</v>
      </c>
      <c r="U38" s="715">
        <f t="shared" si="13"/>
        <v>100</v>
      </c>
      <c r="V38" s="714" t="s">
        <v>17</v>
      </c>
      <c r="W38" s="715">
        <f t="shared" si="14"/>
        <v>100</v>
      </c>
      <c r="X38" s="1490"/>
      <c r="Y38" s="3494"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2"/>
      <c r="Q39" s="1487" t="str">
        <f t="shared" si="11"/>
        <v>层高</v>
      </c>
      <c r="R39" s="714" t="s">
        <v>17</v>
      </c>
      <c r="S39" s="715">
        <f t="shared" si="12"/>
        <v>100</v>
      </c>
      <c r="T39" s="714" t="s">
        <v>17</v>
      </c>
      <c r="U39" s="715">
        <f t="shared" si="13"/>
        <v>100</v>
      </c>
      <c r="V39" s="714" t="s">
        <v>17</v>
      </c>
      <c r="W39" s="715">
        <f t="shared" si="14"/>
        <v>100</v>
      </c>
      <c r="X39" s="1490"/>
      <c r="Y39" s="3494"/>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2"/>
      <c r="Q40" s="1487" t="str">
        <f t="shared" si="11"/>
        <v>单套建筑面积</v>
      </c>
      <c r="R40" s="714" t="s">
        <v>17</v>
      </c>
      <c r="S40" s="715">
        <f t="shared" si="12"/>
        <v>100</v>
      </c>
      <c r="T40" s="714" t="s">
        <v>17</v>
      </c>
      <c r="U40" s="715">
        <f t="shared" si="13"/>
        <v>100</v>
      </c>
      <c r="V40" s="714" t="s">
        <v>17</v>
      </c>
      <c r="W40" s="715">
        <f t="shared" si="14"/>
        <v>100</v>
      </c>
      <c r="X40" s="1490"/>
      <c r="Y40" s="3494"/>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2"/>
      <c r="Q41" s="716" t="str">
        <f t="shared" si="11"/>
        <v>进深比</v>
      </c>
      <c r="R41" s="717" t="s">
        <v>17</v>
      </c>
      <c r="S41" s="718">
        <f t="shared" si="12"/>
        <v>100</v>
      </c>
      <c r="T41" s="717" t="s">
        <v>17</v>
      </c>
      <c r="U41" s="718">
        <f t="shared" si="13"/>
        <v>100</v>
      </c>
      <c r="V41" s="717" t="s">
        <v>17</v>
      </c>
      <c r="W41" s="718">
        <f t="shared" si="14"/>
        <v>100</v>
      </c>
      <c r="X41" s="719"/>
      <c r="Y41" s="3494"/>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2"/>
      <c r="Q42" s="1487" t="str">
        <f t="shared" si="11"/>
        <v>内部装修</v>
      </c>
      <c r="R42" s="714" t="s">
        <v>17</v>
      </c>
      <c r="S42" s="715">
        <f t="shared" si="12"/>
        <v>100</v>
      </c>
      <c r="T42" s="714" t="s">
        <v>17</v>
      </c>
      <c r="U42" s="715">
        <f t="shared" si="13"/>
        <v>100</v>
      </c>
      <c r="V42" s="714" t="s">
        <v>17</v>
      </c>
      <c r="W42" s="715">
        <f t="shared" si="14"/>
        <v>100</v>
      </c>
      <c r="X42" s="1490"/>
      <c r="Y42" s="3494"/>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2"/>
      <c r="Q43" s="1487" t="str">
        <f t="shared" si="11"/>
        <v>内部装修维护情况</v>
      </c>
      <c r="R43" s="714" t="s">
        <v>17</v>
      </c>
      <c r="S43" s="715">
        <f t="shared" si="12"/>
        <v>100</v>
      </c>
      <c r="T43" s="714" t="s">
        <v>17</v>
      </c>
      <c r="U43" s="715">
        <f t="shared" si="13"/>
        <v>100</v>
      </c>
      <c r="V43" s="714" t="s">
        <v>17</v>
      </c>
      <c r="W43" s="715">
        <f t="shared" si="14"/>
        <v>100</v>
      </c>
      <c r="X43" s="1490"/>
      <c r="Y43" s="349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2"/>
      <c r="Q44" s="1478">
        <f t="shared" si="11"/>
        <v>111</v>
      </c>
      <c r="R44" s="710" t="s">
        <v>17</v>
      </c>
      <c r="S44" s="711">
        <f t="shared" si="12"/>
        <v>100</v>
      </c>
      <c r="T44" s="710" t="s">
        <v>17</v>
      </c>
      <c r="U44" s="711">
        <f t="shared" si="13"/>
        <v>100</v>
      </c>
      <c r="V44" s="710" t="s">
        <v>17</v>
      </c>
      <c r="W44" s="711">
        <f t="shared" si="14"/>
        <v>100</v>
      </c>
      <c r="X44" s="712"/>
      <c r="Y44" s="349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2"/>
      <c r="Q45" s="1487">
        <f t="shared" si="11"/>
        <v>111</v>
      </c>
      <c r="R45" s="714" t="s">
        <v>17</v>
      </c>
      <c r="S45" s="715">
        <f t="shared" si="12"/>
        <v>100</v>
      </c>
      <c r="T45" s="714" t="s">
        <v>17</v>
      </c>
      <c r="U45" s="715">
        <f t="shared" si="13"/>
        <v>100</v>
      </c>
      <c r="V45" s="714" t="s">
        <v>17</v>
      </c>
      <c r="W45" s="715">
        <f t="shared" si="14"/>
        <v>100</v>
      </c>
      <c r="X45" s="1490"/>
      <c r="Y45" s="349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3"/>
      <c r="Q46" s="1487">
        <f t="shared" si="11"/>
        <v>111</v>
      </c>
      <c r="R46" s="714" t="s">
        <v>17</v>
      </c>
      <c r="S46" s="715">
        <f t="shared" si="12"/>
        <v>100</v>
      </c>
      <c r="T46" s="714" t="s">
        <v>17</v>
      </c>
      <c r="U46" s="715">
        <f t="shared" si="13"/>
        <v>100</v>
      </c>
      <c r="V46" s="714" t="s">
        <v>17</v>
      </c>
      <c r="W46" s="715">
        <f t="shared" si="14"/>
        <v>100</v>
      </c>
      <c r="X46" s="1490"/>
      <c r="Y46" s="3495"/>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87" t="str">
        <f>A47</f>
        <v>成交单价（元/平方米）</v>
      </c>
      <c r="Q47" s="3487"/>
      <c r="R47" s="3482">
        <f>E47</f>
        <v>0</v>
      </c>
      <c r="S47" s="3482"/>
      <c r="T47" s="3482">
        <f>G47</f>
        <v>0</v>
      </c>
      <c r="U47" s="3482"/>
      <c r="V47" s="3482">
        <f>I47</f>
        <v>0</v>
      </c>
      <c r="W47" s="3482"/>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6531.86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504" t="s">
        <v>2230</v>
      </c>
      <c r="Q4" s="3505"/>
      <c r="R4" s="3499" t="s">
        <v>2226</v>
      </c>
      <c r="S4" s="3500"/>
      <c r="T4" s="3499" t="s">
        <v>2227</v>
      </c>
      <c r="U4" s="3500"/>
      <c r="V4" s="3508" t="s">
        <v>2228</v>
      </c>
      <c r="W4" s="3508"/>
      <c r="X4" s="2095"/>
      <c r="Y4" s="3499" t="s">
        <v>2230</v>
      </c>
      <c r="Z4" s="3500"/>
      <c r="AA4" s="3498" t="s">
        <v>2226</v>
      </c>
      <c r="AB4" s="3498" t="s">
        <v>2227</v>
      </c>
      <c r="AC4" s="3501" t="s">
        <v>2228</v>
      </c>
    </row>
    <row r="5" spans="1:29" ht="15">
      <c r="A5" s="364"/>
      <c r="B5" s="365"/>
      <c r="C5" s="3463" t="s">
        <v>2121</v>
      </c>
      <c r="D5" s="3464"/>
      <c r="E5" s="3461" t="s">
        <v>2122</v>
      </c>
      <c r="F5" s="3462"/>
      <c r="G5" s="3463" t="s">
        <v>2123</v>
      </c>
      <c r="H5" s="3464"/>
      <c r="I5" s="3463" t="s">
        <v>2124</v>
      </c>
      <c r="J5" s="3464"/>
      <c r="K5" s="567"/>
      <c r="L5" s="2894"/>
      <c r="M5" s="2895"/>
      <c r="N5" s="2895"/>
      <c r="O5" s="2895"/>
      <c r="P5" s="3506"/>
      <c r="Q5" s="3477"/>
      <c r="R5" s="3459"/>
      <c r="S5" s="3460"/>
      <c r="T5" s="3459"/>
      <c r="U5" s="3460"/>
      <c r="V5" s="3482"/>
      <c r="W5" s="3482"/>
      <c r="X5" s="1490"/>
      <c r="Y5" s="3459"/>
      <c r="Z5" s="3460"/>
      <c r="AA5" s="3453"/>
      <c r="AB5" s="3453"/>
      <c r="AC5" s="3502"/>
    </row>
    <row r="6" spans="1:29" ht="15.75" thickBot="1">
      <c r="A6" s="366"/>
      <c r="B6" s="367"/>
      <c r="C6" s="3465" t="s">
        <v>2125</v>
      </c>
      <c r="D6" s="3466"/>
      <c r="E6" s="3467" t="s">
        <v>2125</v>
      </c>
      <c r="F6" s="3468"/>
      <c r="G6" s="3465" t="s">
        <v>2125</v>
      </c>
      <c r="H6" s="3466"/>
      <c r="I6" s="3465" t="s">
        <v>2125</v>
      </c>
      <c r="J6" s="3466"/>
      <c r="K6" s="567" t="s">
        <v>2126</v>
      </c>
      <c r="L6" s="2894"/>
      <c r="M6" s="2895"/>
      <c r="N6" s="2895"/>
      <c r="O6" s="2895"/>
      <c r="P6" s="3507"/>
      <c r="Q6" s="3479"/>
      <c r="R6" s="3459"/>
      <c r="S6" s="3460"/>
      <c r="T6" s="3480"/>
      <c r="U6" s="3481"/>
      <c r="V6" s="3482"/>
      <c r="W6" s="3482"/>
      <c r="X6" s="1490"/>
      <c r="Y6" s="3480"/>
      <c r="Z6" s="3481"/>
      <c r="AA6" s="3454"/>
      <c r="AB6" s="3454"/>
      <c r="AC6" s="3503"/>
    </row>
    <row r="7" spans="1:29" s="113" customFormat="1" ht="15.75" thickBot="1">
      <c r="A7" s="368" t="s">
        <v>2127</v>
      </c>
      <c r="B7" s="369"/>
      <c r="C7" s="370">
        <f>'数据-取费表'!B2</f>
        <v>44869</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9"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9" t="s">
        <v>2131</v>
      </c>
      <c r="Q8" s="3456"/>
      <c r="R8" s="710" t="s">
        <v>17</v>
      </c>
      <c r="S8" s="711">
        <f t="shared" si="0"/>
        <v>0</v>
      </c>
      <c r="T8" s="710" t="s">
        <v>17</v>
      </c>
      <c r="U8" s="711">
        <f t="shared" si="1"/>
        <v>0</v>
      </c>
      <c r="V8" s="710" t="s">
        <v>17</v>
      </c>
      <c r="W8" s="711">
        <f t="shared" si="2"/>
        <v>0</v>
      </c>
      <c r="X8" s="712"/>
      <c r="Y8" s="3455" t="s">
        <v>2131</v>
      </c>
      <c r="Z8" s="3456"/>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9"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9"/>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9"/>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9"/>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9"/>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6" t="s">
        <v>2139</v>
      </c>
      <c r="Q15" s="1487" t="str">
        <f t="shared" si="6"/>
        <v>办公集聚程度</v>
      </c>
      <c r="R15" s="714" t="s">
        <v>17</v>
      </c>
      <c r="S15" s="715">
        <f t="shared" si="0"/>
        <v>100</v>
      </c>
      <c r="T15" s="714" t="s">
        <v>17</v>
      </c>
      <c r="U15" s="715">
        <f t="shared" si="1"/>
        <v>100</v>
      </c>
      <c r="V15" s="714" t="s">
        <v>17</v>
      </c>
      <c r="W15" s="715">
        <f t="shared" si="2"/>
        <v>100</v>
      </c>
      <c r="X15" s="1490"/>
      <c r="Y15" s="3489"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7"/>
      <c r="Q16" s="1487"/>
      <c r="R16" s="714"/>
      <c r="S16" s="715"/>
      <c r="T16" s="714"/>
      <c r="U16" s="715"/>
      <c r="V16" s="714"/>
      <c r="W16" s="715"/>
      <c r="X16" s="1490"/>
      <c r="Y16" s="3490"/>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7"/>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7"/>
      <c r="Q18" s="1487"/>
      <c r="R18" s="714"/>
      <c r="S18" s="715"/>
      <c r="T18" s="714"/>
      <c r="U18" s="715"/>
      <c r="V18" s="714"/>
      <c r="W18" s="715"/>
      <c r="X18" s="1490"/>
      <c r="Y18" s="3490"/>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7"/>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7"/>
      <c r="Q20" s="1487"/>
      <c r="R20" s="714"/>
      <c r="S20" s="715"/>
      <c r="T20" s="714"/>
      <c r="U20" s="715"/>
      <c r="V20" s="714"/>
      <c r="W20" s="715"/>
      <c r="X20" s="1490"/>
      <c r="Y20" s="3490"/>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7"/>
      <c r="Q22" s="1487"/>
      <c r="R22" s="714"/>
      <c r="S22" s="715"/>
      <c r="T22" s="714"/>
      <c r="U22" s="715"/>
      <c r="V22" s="714"/>
      <c r="W22" s="715"/>
      <c r="X22" s="1490"/>
      <c r="Y22" s="3490"/>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7"/>
      <c r="Q23" s="1487" t="str">
        <f>B23</f>
        <v>环境质量</v>
      </c>
      <c r="R23" s="714" t="s">
        <v>17</v>
      </c>
      <c r="S23" s="715">
        <f>F23</f>
        <v>100</v>
      </c>
      <c r="T23" s="714" t="s">
        <v>17</v>
      </c>
      <c r="U23" s="715">
        <f>H23</f>
        <v>100</v>
      </c>
      <c r="V23" s="714" t="s">
        <v>17</v>
      </c>
      <c r="W23" s="715">
        <f>J23</f>
        <v>100</v>
      </c>
      <c r="X23" s="1490"/>
      <c r="Y23" s="349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7"/>
      <c r="Q24" s="1487"/>
      <c r="R24" s="714"/>
      <c r="S24" s="715"/>
      <c r="T24" s="714"/>
      <c r="U24" s="715"/>
      <c r="V24" s="714"/>
      <c r="W24" s="715"/>
      <c r="X24" s="1490"/>
      <c r="Y24" s="3490"/>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7"/>
      <c r="Q25" s="1487" t="str">
        <f>B25</f>
        <v>毗邻道路的类型与等级</v>
      </c>
      <c r="R25" s="714" t="s">
        <v>17</v>
      </c>
      <c r="S25" s="715">
        <f>F25</f>
        <v>100</v>
      </c>
      <c r="T25" s="714" t="s">
        <v>17</v>
      </c>
      <c r="U25" s="715">
        <f>H25</f>
        <v>100</v>
      </c>
      <c r="V25" s="714" t="s">
        <v>17</v>
      </c>
      <c r="W25" s="715">
        <f>J25</f>
        <v>100</v>
      </c>
      <c r="X25" s="1490"/>
      <c r="Y25" s="349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7"/>
      <c r="Q26" s="1487"/>
      <c r="R26" s="714"/>
      <c r="S26" s="715"/>
      <c r="T26" s="714"/>
      <c r="U26" s="715"/>
      <c r="V26" s="714"/>
      <c r="W26" s="715"/>
      <c r="X26" s="1490"/>
      <c r="Y26" s="3490"/>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7"/>
      <c r="Q27" s="1487" t="str">
        <f t="shared" ref="Q27:Q47" si="11">B27</f>
        <v>楼层</v>
      </c>
      <c r="R27" s="714" t="s">
        <v>17</v>
      </c>
      <c r="S27" s="715">
        <f>F27</f>
        <v>100</v>
      </c>
      <c r="T27" s="714" t="s">
        <v>17</v>
      </c>
      <c r="U27" s="715">
        <f>H27</f>
        <v>100</v>
      </c>
      <c r="V27" s="714" t="s">
        <v>17</v>
      </c>
      <c r="W27" s="715">
        <f>J27</f>
        <v>100</v>
      </c>
      <c r="X27" s="1490"/>
      <c r="Y27" s="3490"/>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7"/>
      <c r="Q28" s="1478" t="str">
        <f t="shared" si="11"/>
        <v>朝向</v>
      </c>
      <c r="R28" s="710" t="s">
        <v>17</v>
      </c>
      <c r="S28" s="711">
        <f>F28</f>
        <v>100</v>
      </c>
      <c r="T28" s="710" t="s">
        <v>17</v>
      </c>
      <c r="U28" s="711">
        <f>H28</f>
        <v>100</v>
      </c>
      <c r="V28" s="710" t="s">
        <v>17</v>
      </c>
      <c r="W28" s="711">
        <f>J28</f>
        <v>100</v>
      </c>
      <c r="X28" s="712"/>
      <c r="Y28" s="349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7"/>
      <c r="Q29" s="1487">
        <f t="shared" si="11"/>
        <v>111</v>
      </c>
      <c r="R29" s="714" t="s">
        <v>17</v>
      </c>
      <c r="S29" s="715">
        <f t="shared" ref="S29:S47" si="12">F29</f>
        <v>100</v>
      </c>
      <c r="T29" s="714" t="s">
        <v>17</v>
      </c>
      <c r="U29" s="715">
        <f t="shared" ref="U29:U47" si="13">H29</f>
        <v>100</v>
      </c>
      <c r="V29" s="714" t="s">
        <v>17</v>
      </c>
      <c r="W29" s="715">
        <f t="shared" ref="W29:W47" si="14">J29</f>
        <v>100</v>
      </c>
      <c r="X29" s="1490"/>
      <c r="Y29" s="349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7"/>
      <c r="Q30" s="1487">
        <f t="shared" si="11"/>
        <v>111</v>
      </c>
      <c r="R30" s="714" t="s">
        <v>17</v>
      </c>
      <c r="S30" s="715">
        <f t="shared" si="12"/>
        <v>100</v>
      </c>
      <c r="T30" s="714" t="s">
        <v>17</v>
      </c>
      <c r="U30" s="715">
        <f t="shared" si="13"/>
        <v>100</v>
      </c>
      <c r="V30" s="714" t="s">
        <v>17</v>
      </c>
      <c r="W30" s="715">
        <f t="shared" si="14"/>
        <v>100</v>
      </c>
      <c r="X30" s="1490"/>
      <c r="Y30" s="349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7"/>
      <c r="Q31" s="1487">
        <f t="shared" si="11"/>
        <v>111</v>
      </c>
      <c r="R31" s="714" t="s">
        <v>17</v>
      </c>
      <c r="S31" s="715">
        <f t="shared" si="12"/>
        <v>100</v>
      </c>
      <c r="T31" s="714" t="s">
        <v>17</v>
      </c>
      <c r="U31" s="715">
        <f t="shared" si="13"/>
        <v>100</v>
      </c>
      <c r="V31" s="714" t="s">
        <v>17</v>
      </c>
      <c r="W31" s="715">
        <f t="shared" si="14"/>
        <v>100</v>
      </c>
      <c r="X31" s="1490"/>
      <c r="Y31" s="349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7"/>
      <c r="Q32" s="1487">
        <f t="shared" si="11"/>
        <v>111</v>
      </c>
      <c r="R32" s="714" t="s">
        <v>17</v>
      </c>
      <c r="S32" s="715">
        <f t="shared" si="12"/>
        <v>100</v>
      </c>
      <c r="T32" s="714" t="s">
        <v>17</v>
      </c>
      <c r="U32" s="715">
        <f t="shared" si="13"/>
        <v>100</v>
      </c>
      <c r="V32" s="714" t="s">
        <v>17</v>
      </c>
      <c r="W32" s="715">
        <f t="shared" si="14"/>
        <v>100</v>
      </c>
      <c r="X32" s="1490"/>
      <c r="Y32" s="3490"/>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1" t="s">
        <v>2144</v>
      </c>
      <c r="Q33" s="1487" t="str">
        <f t="shared" si="11"/>
        <v>建筑类型</v>
      </c>
      <c r="R33" s="714" t="s">
        <v>17</v>
      </c>
      <c r="S33" s="715">
        <f t="shared" si="12"/>
        <v>100</v>
      </c>
      <c r="T33" s="714" t="s">
        <v>17</v>
      </c>
      <c r="U33" s="715">
        <f t="shared" si="13"/>
        <v>100</v>
      </c>
      <c r="V33" s="714" t="s">
        <v>17</v>
      </c>
      <c r="W33" s="715">
        <f t="shared" si="14"/>
        <v>100</v>
      </c>
      <c r="X33" s="1490"/>
      <c r="Y33" s="3494"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2"/>
      <c r="Q34" s="716" t="str">
        <f t="shared" si="11"/>
        <v>项目建筑规模</v>
      </c>
      <c r="R34" s="717" t="s">
        <v>17</v>
      </c>
      <c r="S34" s="718" t="e">
        <f t="shared" si="12"/>
        <v>#N/A</v>
      </c>
      <c r="T34" s="717" t="s">
        <v>17</v>
      </c>
      <c r="U34" s="718" t="e">
        <f t="shared" si="13"/>
        <v>#N/A</v>
      </c>
      <c r="V34" s="717" t="s">
        <v>17</v>
      </c>
      <c r="W34" s="718" t="e">
        <f t="shared" si="14"/>
        <v>#N/A</v>
      </c>
      <c r="X34" s="719"/>
      <c r="Y34" s="3494"/>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2"/>
      <c r="Q35" s="1487" t="str">
        <f t="shared" si="11"/>
        <v>建筑结构</v>
      </c>
      <c r="R35" s="714" t="s">
        <v>17</v>
      </c>
      <c r="S35" s="715">
        <f t="shared" si="12"/>
        <v>100</v>
      </c>
      <c r="T35" s="714" t="s">
        <v>17</v>
      </c>
      <c r="U35" s="715">
        <f t="shared" si="13"/>
        <v>100</v>
      </c>
      <c r="V35" s="714" t="s">
        <v>17</v>
      </c>
      <c r="W35" s="715">
        <f t="shared" si="14"/>
        <v>100</v>
      </c>
      <c r="X35" s="1490"/>
      <c r="Y35" s="3494"/>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2"/>
      <c r="Q36" s="1487" t="str">
        <f t="shared" si="11"/>
        <v>公共部分装修</v>
      </c>
      <c r="R36" s="714" t="s">
        <v>17</v>
      </c>
      <c r="S36" s="715">
        <f t="shared" si="12"/>
        <v>100</v>
      </c>
      <c r="T36" s="714" t="s">
        <v>17</v>
      </c>
      <c r="U36" s="715">
        <f t="shared" si="13"/>
        <v>100</v>
      </c>
      <c r="V36" s="714" t="s">
        <v>17</v>
      </c>
      <c r="W36" s="715">
        <f t="shared" si="14"/>
        <v>100</v>
      </c>
      <c r="X36" s="1490"/>
      <c r="Y36" s="3494"/>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2"/>
      <c r="Q37" s="1487" t="str">
        <f t="shared" si="11"/>
        <v>成新度</v>
      </c>
      <c r="R37" s="714" t="s">
        <v>17</v>
      </c>
      <c r="S37" s="715" t="e">
        <f t="shared" si="12"/>
        <v>#N/A</v>
      </c>
      <c r="T37" s="714" t="s">
        <v>17</v>
      </c>
      <c r="U37" s="715" t="e">
        <f t="shared" si="13"/>
        <v>#N/A</v>
      </c>
      <c r="V37" s="714" t="s">
        <v>17</v>
      </c>
      <c r="W37" s="715" t="e">
        <f t="shared" si="14"/>
        <v>#N/A</v>
      </c>
      <c r="X37" s="1490"/>
      <c r="Y37" s="3494"/>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2"/>
      <c r="Q38" s="1478" t="str">
        <f t="shared" si="11"/>
        <v>写字楼等级</v>
      </c>
      <c r="R38" s="710" t="s">
        <v>17</v>
      </c>
      <c r="S38" s="711">
        <f t="shared" si="12"/>
        <v>100</v>
      </c>
      <c r="T38" s="710" t="s">
        <v>17</v>
      </c>
      <c r="U38" s="711">
        <f t="shared" si="13"/>
        <v>100</v>
      </c>
      <c r="V38" s="710" t="s">
        <v>17</v>
      </c>
      <c r="W38" s="711">
        <f t="shared" si="14"/>
        <v>100</v>
      </c>
      <c r="X38" s="712"/>
      <c r="Y38" s="3494"/>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2" t="s">
        <v>2144</v>
      </c>
      <c r="Q39" s="1487" t="str">
        <f t="shared" si="11"/>
        <v>物业管理</v>
      </c>
      <c r="R39" s="714" t="s">
        <v>17</v>
      </c>
      <c r="S39" s="715">
        <f t="shared" si="12"/>
        <v>100</v>
      </c>
      <c r="T39" s="714" t="s">
        <v>17</v>
      </c>
      <c r="U39" s="715">
        <f t="shared" si="13"/>
        <v>100</v>
      </c>
      <c r="V39" s="714" t="s">
        <v>17</v>
      </c>
      <c r="W39" s="715">
        <f t="shared" si="14"/>
        <v>100</v>
      </c>
      <c r="X39" s="1490"/>
      <c r="Y39" s="3494"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2"/>
      <c r="Q40" s="1487" t="str">
        <f t="shared" si="11"/>
        <v>市政基础设施</v>
      </c>
      <c r="R40" s="714" t="s">
        <v>17</v>
      </c>
      <c r="S40" s="715">
        <f t="shared" si="12"/>
        <v>100</v>
      </c>
      <c r="T40" s="714" t="s">
        <v>17</v>
      </c>
      <c r="U40" s="715">
        <f t="shared" si="13"/>
        <v>100</v>
      </c>
      <c r="V40" s="714" t="s">
        <v>17</v>
      </c>
      <c r="W40" s="715">
        <f t="shared" si="14"/>
        <v>100</v>
      </c>
      <c r="X40" s="1490"/>
      <c r="Y40" s="3494"/>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2"/>
      <c r="Q41" s="1487" t="str">
        <f t="shared" si="11"/>
        <v>层高</v>
      </c>
      <c r="R41" s="714" t="s">
        <v>17</v>
      </c>
      <c r="S41" s="715">
        <f t="shared" si="12"/>
        <v>100</v>
      </c>
      <c r="T41" s="714" t="s">
        <v>17</v>
      </c>
      <c r="U41" s="715">
        <f t="shared" si="13"/>
        <v>100</v>
      </c>
      <c r="V41" s="714" t="s">
        <v>17</v>
      </c>
      <c r="W41" s="715">
        <f t="shared" si="14"/>
        <v>100</v>
      </c>
      <c r="X41" s="1490"/>
      <c r="Y41" s="3494"/>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2"/>
      <c r="Q42" s="716" t="str">
        <f t="shared" si="11"/>
        <v>单套建筑面积</v>
      </c>
      <c r="R42" s="717" t="s">
        <v>17</v>
      </c>
      <c r="S42" s="718">
        <f t="shared" si="12"/>
        <v>100</v>
      </c>
      <c r="T42" s="717" t="s">
        <v>17</v>
      </c>
      <c r="U42" s="718">
        <f t="shared" si="13"/>
        <v>100</v>
      </c>
      <c r="V42" s="717" t="s">
        <v>17</v>
      </c>
      <c r="W42" s="718">
        <f t="shared" si="14"/>
        <v>100</v>
      </c>
      <c r="X42" s="719"/>
      <c r="Y42" s="3494"/>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2"/>
      <c r="Q43" s="1487" t="str">
        <f t="shared" si="11"/>
        <v>内部装修</v>
      </c>
      <c r="R43" s="714" t="s">
        <v>17</v>
      </c>
      <c r="S43" s="715">
        <f t="shared" si="12"/>
        <v>100</v>
      </c>
      <c r="T43" s="714" t="s">
        <v>17</v>
      </c>
      <c r="U43" s="715">
        <f t="shared" si="13"/>
        <v>100</v>
      </c>
      <c r="V43" s="714" t="s">
        <v>17</v>
      </c>
      <c r="W43" s="715">
        <f t="shared" si="14"/>
        <v>100</v>
      </c>
      <c r="X43" s="1490"/>
      <c r="Y43" s="3494"/>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2"/>
      <c r="Q44" s="1487" t="str">
        <f t="shared" si="11"/>
        <v>内部装修维护情况</v>
      </c>
      <c r="R44" s="714" t="s">
        <v>17</v>
      </c>
      <c r="S44" s="715">
        <f t="shared" si="12"/>
        <v>100</v>
      </c>
      <c r="T44" s="714" t="s">
        <v>17</v>
      </c>
      <c r="U44" s="715">
        <f t="shared" si="13"/>
        <v>100</v>
      </c>
      <c r="V44" s="714" t="s">
        <v>17</v>
      </c>
      <c r="W44" s="715">
        <f t="shared" si="14"/>
        <v>100</v>
      </c>
      <c r="X44" s="1490"/>
      <c r="Y44" s="349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2"/>
      <c r="Q45" s="1478">
        <f t="shared" si="11"/>
        <v>111</v>
      </c>
      <c r="R45" s="710" t="s">
        <v>17</v>
      </c>
      <c r="S45" s="711">
        <f t="shared" si="12"/>
        <v>100</v>
      </c>
      <c r="T45" s="710" t="s">
        <v>17</v>
      </c>
      <c r="U45" s="711">
        <f t="shared" si="13"/>
        <v>100</v>
      </c>
      <c r="V45" s="710" t="s">
        <v>17</v>
      </c>
      <c r="W45" s="711">
        <f t="shared" si="14"/>
        <v>100</v>
      </c>
      <c r="X45" s="712"/>
      <c r="Y45" s="349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2"/>
      <c r="Q46" s="1487">
        <f t="shared" si="11"/>
        <v>111</v>
      </c>
      <c r="R46" s="714" t="s">
        <v>17</v>
      </c>
      <c r="S46" s="715">
        <f t="shared" si="12"/>
        <v>100</v>
      </c>
      <c r="T46" s="714" t="s">
        <v>17</v>
      </c>
      <c r="U46" s="715">
        <f t="shared" si="13"/>
        <v>100</v>
      </c>
      <c r="V46" s="714" t="s">
        <v>17</v>
      </c>
      <c r="W46" s="715">
        <f t="shared" si="14"/>
        <v>100</v>
      </c>
      <c r="X46" s="1490"/>
      <c r="Y46" s="349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3"/>
      <c r="Q47" s="1487">
        <f t="shared" si="11"/>
        <v>111</v>
      </c>
      <c r="R47" s="714" t="s">
        <v>17</v>
      </c>
      <c r="S47" s="715">
        <f t="shared" si="12"/>
        <v>100</v>
      </c>
      <c r="T47" s="714" t="s">
        <v>17</v>
      </c>
      <c r="U47" s="715">
        <f t="shared" si="13"/>
        <v>100</v>
      </c>
      <c r="V47" s="714" t="s">
        <v>17</v>
      </c>
      <c r="W47" s="715">
        <f t="shared" si="14"/>
        <v>100</v>
      </c>
      <c r="X47" s="1490"/>
      <c r="Y47" s="3495"/>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69" t="str">
        <f>A48</f>
        <v>成交单价（元/平方米）</v>
      </c>
      <c r="Q48" s="3487"/>
      <c r="R48" s="3488">
        <f>E48</f>
        <v>0</v>
      </c>
      <c r="S48" s="3488"/>
      <c r="T48" s="3488">
        <f>G48</f>
        <v>0</v>
      </c>
      <c r="U48" s="3488"/>
      <c r="V48" s="3488">
        <f>I48</f>
        <v>0</v>
      </c>
      <c r="W48" s="3488"/>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69" t="str">
        <f>A49</f>
        <v>比较价值（元/平方米）</v>
      </c>
      <c r="Q49" s="34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Q72" sqref="Q7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6531.86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1025"/>
      <c r="M4" s="1026"/>
      <c r="N4" s="1026"/>
      <c r="O4" s="1026"/>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29" ht="15">
      <c r="A5" s="364"/>
      <c r="B5" s="365"/>
      <c r="C5" s="3463" t="s">
        <v>2121</v>
      </c>
      <c r="D5" s="3464"/>
      <c r="E5" s="3461" t="s">
        <v>2122</v>
      </c>
      <c r="F5" s="3462"/>
      <c r="G5" s="3463" t="s">
        <v>2123</v>
      </c>
      <c r="H5" s="3464"/>
      <c r="I5" s="3463" t="s">
        <v>2124</v>
      </c>
      <c r="J5" s="3464"/>
      <c r="K5" s="567"/>
      <c r="L5" s="1025"/>
      <c r="M5" s="1026"/>
      <c r="N5" s="1026"/>
      <c r="O5" s="1026"/>
      <c r="P5" s="3476"/>
      <c r="Q5" s="3477"/>
      <c r="R5" s="3459"/>
      <c r="S5" s="3460"/>
      <c r="T5" s="3459"/>
      <c r="U5" s="3460"/>
      <c r="V5" s="3482"/>
      <c r="W5" s="3482"/>
      <c r="X5" s="1490"/>
      <c r="Y5" s="3459"/>
      <c r="Z5" s="3460"/>
      <c r="AA5" s="3453"/>
      <c r="AB5" s="3453"/>
      <c r="AC5" s="3453"/>
    </row>
    <row r="6" spans="1:29" ht="15.75" thickBot="1">
      <c r="A6" s="366"/>
      <c r="B6" s="367"/>
      <c r="C6" s="3465" t="s">
        <v>2125</v>
      </c>
      <c r="D6" s="3466"/>
      <c r="E6" s="3467" t="s">
        <v>2125</v>
      </c>
      <c r="F6" s="3468"/>
      <c r="G6" s="3465" t="s">
        <v>2125</v>
      </c>
      <c r="H6" s="3466"/>
      <c r="I6" s="3465" t="s">
        <v>2125</v>
      </c>
      <c r="J6" s="3466"/>
      <c r="K6" s="567" t="s">
        <v>2126</v>
      </c>
      <c r="L6" s="1025"/>
      <c r="M6" s="1026"/>
      <c r="N6" s="1026"/>
      <c r="O6" s="1026"/>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44869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5"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5" t="s">
        <v>2131</v>
      </c>
      <c r="Q8" s="3456"/>
      <c r="R8" s="710" t="s">
        <v>17</v>
      </c>
      <c r="S8" s="711">
        <f t="shared" si="0"/>
        <v>0</v>
      </c>
      <c r="T8" s="710" t="s">
        <v>17</v>
      </c>
      <c r="U8" s="711">
        <f t="shared" si="1"/>
        <v>0</v>
      </c>
      <c r="V8" s="710" t="s">
        <v>17</v>
      </c>
      <c r="W8" s="711">
        <f t="shared" si="2"/>
        <v>0</v>
      </c>
      <c r="X8" s="712"/>
      <c r="Y8" s="3455" t="s">
        <v>2131</v>
      </c>
      <c r="Z8" s="3456"/>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7"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9" t="s">
        <v>2139</v>
      </c>
      <c r="Q15" s="1487" t="str">
        <f t="shared" si="6"/>
        <v>产业集聚程度</v>
      </c>
      <c r="R15" s="714" t="s">
        <v>17</v>
      </c>
      <c r="S15" s="715">
        <f t="shared" si="0"/>
        <v>100</v>
      </c>
      <c r="T15" s="714" t="s">
        <v>17</v>
      </c>
      <c r="U15" s="715">
        <f t="shared" si="1"/>
        <v>100</v>
      </c>
      <c r="V15" s="714" t="s">
        <v>17</v>
      </c>
      <c r="W15" s="715">
        <f t="shared" si="2"/>
        <v>100</v>
      </c>
      <c r="X15" s="1490"/>
      <c r="Y15" s="3489"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0"/>
      <c r="Q16" s="1487"/>
      <c r="R16" s="714"/>
      <c r="S16" s="715"/>
      <c r="T16" s="714"/>
      <c r="U16" s="715"/>
      <c r="V16" s="714"/>
      <c r="W16" s="715"/>
      <c r="X16" s="1490"/>
      <c r="Y16" s="3490"/>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0"/>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0"/>
      <c r="Q18" s="1487"/>
      <c r="R18" s="714"/>
      <c r="S18" s="715"/>
      <c r="T18" s="714"/>
      <c r="U18" s="715"/>
      <c r="V18" s="714"/>
      <c r="W18" s="715"/>
      <c r="X18" s="1490"/>
      <c r="Y18" s="3490"/>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0"/>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0"/>
      <c r="Q20" s="1487"/>
      <c r="R20" s="714"/>
      <c r="S20" s="715"/>
      <c r="T20" s="714"/>
      <c r="U20" s="715"/>
      <c r="V20" s="714"/>
      <c r="W20" s="715"/>
      <c r="X20" s="1490"/>
      <c r="Y20" s="3490"/>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0"/>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0"/>
      <c r="Q22" s="1487"/>
      <c r="R22" s="714"/>
      <c r="S22" s="715"/>
      <c r="T22" s="714"/>
      <c r="U22" s="715"/>
      <c r="V22" s="714"/>
      <c r="W22" s="715"/>
      <c r="X22" s="1490"/>
      <c r="Y22" s="3490"/>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0"/>
      <c r="Q23" s="1487" t="str">
        <f>B23</f>
        <v>环境质量</v>
      </c>
      <c r="R23" s="714" t="s">
        <v>17</v>
      </c>
      <c r="S23" s="715">
        <f>F23</f>
        <v>100</v>
      </c>
      <c r="T23" s="714" t="s">
        <v>17</v>
      </c>
      <c r="U23" s="715">
        <f>H23</f>
        <v>100</v>
      </c>
      <c r="V23" s="714" t="s">
        <v>17</v>
      </c>
      <c r="W23" s="715">
        <f>J23</f>
        <v>100</v>
      </c>
      <c r="X23" s="1490"/>
      <c r="Y23" s="349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0"/>
      <c r="Q24" s="1487"/>
      <c r="R24" s="714"/>
      <c r="S24" s="715"/>
      <c r="T24" s="714"/>
      <c r="U24" s="715"/>
      <c r="V24" s="714"/>
      <c r="W24" s="715"/>
      <c r="X24" s="1490"/>
      <c r="Y24" s="349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0"/>
      <c r="Q25" s="1487">
        <f>B25</f>
        <v>111</v>
      </c>
      <c r="R25" s="714" t="s">
        <v>17</v>
      </c>
      <c r="S25" s="715">
        <f>F25</f>
        <v>100</v>
      </c>
      <c r="T25" s="714" t="s">
        <v>17</v>
      </c>
      <c r="U25" s="715">
        <f>H25</f>
        <v>100</v>
      </c>
      <c r="V25" s="714" t="s">
        <v>17</v>
      </c>
      <c r="W25" s="715">
        <f>J25</f>
        <v>100</v>
      </c>
      <c r="X25" s="1490"/>
      <c r="Y25" s="349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0"/>
      <c r="Q26" s="1487">
        <f t="shared" ref="Q26:Q40" si="11">B26</f>
        <v>111</v>
      </c>
      <c r="R26" s="714" t="s">
        <v>17</v>
      </c>
      <c r="S26" s="715">
        <f>F26</f>
        <v>100</v>
      </c>
      <c r="T26" s="714" t="s">
        <v>17</v>
      </c>
      <c r="U26" s="715">
        <f>H26</f>
        <v>100</v>
      </c>
      <c r="V26" s="714" t="s">
        <v>17</v>
      </c>
      <c r="W26" s="715">
        <f>J26</f>
        <v>100</v>
      </c>
      <c r="X26" s="1490"/>
      <c r="Y26" s="349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0"/>
      <c r="Q27" s="1478">
        <f t="shared" si="11"/>
        <v>111</v>
      </c>
      <c r="R27" s="710" t="s">
        <v>17</v>
      </c>
      <c r="S27" s="711">
        <f>F27</f>
        <v>100</v>
      </c>
      <c r="T27" s="710" t="s">
        <v>17</v>
      </c>
      <c r="U27" s="711">
        <f>H27</f>
        <v>100</v>
      </c>
      <c r="V27" s="710" t="s">
        <v>17</v>
      </c>
      <c r="W27" s="711">
        <f>J27</f>
        <v>100</v>
      </c>
      <c r="X27" s="712"/>
      <c r="Y27" s="349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0"/>
      <c r="Q28" s="1487">
        <f t="shared" si="11"/>
        <v>111</v>
      </c>
      <c r="R28" s="714" t="s">
        <v>17</v>
      </c>
      <c r="S28" s="715">
        <f t="shared" ref="S28:S40" si="12">F28</f>
        <v>100</v>
      </c>
      <c r="T28" s="714" t="s">
        <v>17</v>
      </c>
      <c r="U28" s="715">
        <f t="shared" ref="U28:U40" si="13">H28</f>
        <v>100</v>
      </c>
      <c r="V28" s="714" t="s">
        <v>17</v>
      </c>
      <c r="W28" s="715">
        <f t="shared" ref="W28:W40" si="14">J28</f>
        <v>100</v>
      </c>
      <c r="X28" s="1490"/>
      <c r="Y28" s="3490"/>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3" t="s">
        <v>2144</v>
      </c>
      <c r="Q29" s="1487" t="str">
        <f t="shared" si="11"/>
        <v>建筑类型</v>
      </c>
      <c r="R29" s="714" t="s">
        <v>17</v>
      </c>
      <c r="S29" s="715">
        <f t="shared" si="12"/>
        <v>100</v>
      </c>
      <c r="T29" s="714" t="s">
        <v>17</v>
      </c>
      <c r="U29" s="715">
        <f t="shared" si="13"/>
        <v>100</v>
      </c>
      <c r="V29" s="714" t="s">
        <v>17</v>
      </c>
      <c r="W29" s="715">
        <f t="shared" si="14"/>
        <v>100</v>
      </c>
      <c r="X29" s="1490"/>
      <c r="Y29" s="3494"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4"/>
      <c r="Q30" s="716" t="str">
        <f t="shared" si="11"/>
        <v>项目建筑规模</v>
      </c>
      <c r="R30" s="717" t="s">
        <v>17</v>
      </c>
      <c r="S30" s="718" t="e">
        <f t="shared" si="12"/>
        <v>#N/A</v>
      </c>
      <c r="T30" s="717" t="s">
        <v>17</v>
      </c>
      <c r="U30" s="718" t="e">
        <f t="shared" si="13"/>
        <v>#N/A</v>
      </c>
      <c r="V30" s="717" t="s">
        <v>17</v>
      </c>
      <c r="W30" s="718" t="e">
        <f t="shared" si="14"/>
        <v>#N/A</v>
      </c>
      <c r="X30" s="719"/>
      <c r="Y30" s="3494"/>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4"/>
      <c r="Q31" s="1487" t="str">
        <f t="shared" si="11"/>
        <v>建筑结构</v>
      </c>
      <c r="R31" s="714" t="s">
        <v>17</v>
      </c>
      <c r="S31" s="715">
        <f t="shared" si="12"/>
        <v>100</v>
      </c>
      <c r="T31" s="714" t="s">
        <v>17</v>
      </c>
      <c r="U31" s="715">
        <f t="shared" si="13"/>
        <v>100</v>
      </c>
      <c r="V31" s="714" t="s">
        <v>17</v>
      </c>
      <c r="W31" s="715">
        <f t="shared" si="14"/>
        <v>100</v>
      </c>
      <c r="X31" s="1490"/>
      <c r="Y31" s="3494"/>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4"/>
      <c r="Q32" s="1487" t="str">
        <f t="shared" si="11"/>
        <v>公共部分装修</v>
      </c>
      <c r="R32" s="714" t="s">
        <v>17</v>
      </c>
      <c r="S32" s="715">
        <f t="shared" si="12"/>
        <v>100</v>
      </c>
      <c r="T32" s="714" t="s">
        <v>17</v>
      </c>
      <c r="U32" s="715">
        <f t="shared" si="13"/>
        <v>100</v>
      </c>
      <c r="V32" s="714" t="s">
        <v>17</v>
      </c>
      <c r="W32" s="715">
        <f t="shared" si="14"/>
        <v>100</v>
      </c>
      <c r="X32" s="1490"/>
      <c r="Y32" s="3494"/>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4"/>
      <c r="Q33" s="1487" t="str">
        <f t="shared" si="11"/>
        <v>成新度</v>
      </c>
      <c r="R33" s="714" t="s">
        <v>17</v>
      </c>
      <c r="S33" s="715" t="e">
        <f t="shared" si="12"/>
        <v>#N/A</v>
      </c>
      <c r="T33" s="714" t="s">
        <v>17</v>
      </c>
      <c r="U33" s="715" t="e">
        <f t="shared" si="13"/>
        <v>#N/A</v>
      </c>
      <c r="V33" s="714" t="s">
        <v>17</v>
      </c>
      <c r="W33" s="715" t="e">
        <f t="shared" si="14"/>
        <v>#N/A</v>
      </c>
      <c r="X33" s="1490"/>
      <c r="Y33" s="3494"/>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4"/>
      <c r="Q34" s="1478" t="str">
        <f t="shared" si="11"/>
        <v>物业管理</v>
      </c>
      <c r="R34" s="710" t="s">
        <v>17</v>
      </c>
      <c r="S34" s="711">
        <f t="shared" si="12"/>
        <v>100</v>
      </c>
      <c r="T34" s="710" t="s">
        <v>17</v>
      </c>
      <c r="U34" s="711">
        <f t="shared" si="13"/>
        <v>100</v>
      </c>
      <c r="V34" s="710" t="s">
        <v>17</v>
      </c>
      <c r="W34" s="711">
        <f t="shared" si="14"/>
        <v>100</v>
      </c>
      <c r="X34" s="712"/>
      <c r="Y34" s="3494"/>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4" t="s">
        <v>2144</v>
      </c>
      <c r="Q35" s="1487" t="str">
        <f t="shared" si="11"/>
        <v>市政基础设施</v>
      </c>
      <c r="R35" s="714" t="s">
        <v>17</v>
      </c>
      <c r="S35" s="715">
        <f t="shared" si="12"/>
        <v>100</v>
      </c>
      <c r="T35" s="714" t="s">
        <v>17</v>
      </c>
      <c r="U35" s="715">
        <f t="shared" si="13"/>
        <v>100</v>
      </c>
      <c r="V35" s="714" t="s">
        <v>17</v>
      </c>
      <c r="W35" s="715">
        <f t="shared" si="14"/>
        <v>100</v>
      </c>
      <c r="X35" s="1490"/>
      <c r="Y35" s="3494"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4"/>
      <c r="Q36" s="1487" t="str">
        <f t="shared" si="11"/>
        <v>内部装修</v>
      </c>
      <c r="R36" s="714" t="s">
        <v>17</v>
      </c>
      <c r="S36" s="715">
        <f t="shared" si="12"/>
        <v>100</v>
      </c>
      <c r="T36" s="714" t="s">
        <v>17</v>
      </c>
      <c r="U36" s="715">
        <f t="shared" si="13"/>
        <v>100</v>
      </c>
      <c r="V36" s="714" t="s">
        <v>17</v>
      </c>
      <c r="W36" s="715">
        <f t="shared" si="14"/>
        <v>100</v>
      </c>
      <c r="X36" s="1490"/>
      <c r="Y36" s="3494"/>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4"/>
      <c r="Q37" s="1487" t="str">
        <f t="shared" si="11"/>
        <v>内部装修状况</v>
      </c>
      <c r="R37" s="714" t="s">
        <v>17</v>
      </c>
      <c r="S37" s="715">
        <f t="shared" si="12"/>
        <v>100</v>
      </c>
      <c r="T37" s="714" t="s">
        <v>17</v>
      </c>
      <c r="U37" s="715">
        <f t="shared" si="13"/>
        <v>100</v>
      </c>
      <c r="V37" s="714" t="s">
        <v>17</v>
      </c>
      <c r="W37" s="715">
        <f t="shared" si="14"/>
        <v>100</v>
      </c>
      <c r="X37" s="1490"/>
      <c r="Y37" s="349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4"/>
      <c r="Q38" s="716">
        <f t="shared" si="11"/>
        <v>111</v>
      </c>
      <c r="R38" s="717" t="s">
        <v>17</v>
      </c>
      <c r="S38" s="718">
        <f t="shared" si="12"/>
        <v>100</v>
      </c>
      <c r="T38" s="717" t="s">
        <v>17</v>
      </c>
      <c r="U38" s="718">
        <f t="shared" si="13"/>
        <v>100</v>
      </c>
      <c r="V38" s="717" t="s">
        <v>17</v>
      </c>
      <c r="W38" s="718">
        <f t="shared" si="14"/>
        <v>100</v>
      </c>
      <c r="X38" s="719"/>
      <c r="Y38" s="349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4"/>
      <c r="Q39" s="1487">
        <f t="shared" si="11"/>
        <v>111</v>
      </c>
      <c r="R39" s="714" t="s">
        <v>17</v>
      </c>
      <c r="S39" s="715">
        <f t="shared" si="12"/>
        <v>100</v>
      </c>
      <c r="T39" s="714" t="s">
        <v>17</v>
      </c>
      <c r="U39" s="715">
        <f t="shared" si="13"/>
        <v>100</v>
      </c>
      <c r="V39" s="714" t="s">
        <v>17</v>
      </c>
      <c r="W39" s="715">
        <f t="shared" si="14"/>
        <v>100</v>
      </c>
      <c r="X39" s="1490"/>
      <c r="Y39" s="349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5"/>
      <c r="Q40" s="1487">
        <f t="shared" si="11"/>
        <v>111</v>
      </c>
      <c r="R40" s="714" t="s">
        <v>17</v>
      </c>
      <c r="S40" s="715">
        <f t="shared" si="12"/>
        <v>100</v>
      </c>
      <c r="T40" s="714" t="s">
        <v>17</v>
      </c>
      <c r="U40" s="715">
        <f t="shared" si="13"/>
        <v>100</v>
      </c>
      <c r="V40" s="714" t="s">
        <v>17</v>
      </c>
      <c r="W40" s="715">
        <f t="shared" si="14"/>
        <v>100</v>
      </c>
      <c r="X40" s="1490"/>
      <c r="Y40" s="3495"/>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87" t="str">
        <f>A41</f>
        <v>成交单价（元/平方米）</v>
      </c>
      <c r="Q41" s="3487"/>
      <c r="R41" s="3488">
        <f>E41</f>
        <v>0</v>
      </c>
      <c r="S41" s="3488"/>
      <c r="T41" s="3488">
        <f>G41</f>
        <v>0</v>
      </c>
      <c r="U41" s="3488"/>
      <c r="V41" s="3488">
        <f>I41</f>
        <v>0</v>
      </c>
      <c r="W41" s="3488"/>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估价对象为北京市房地产，为所有。根据《国有土地使用证》[]，估价对象（分摊）出让国有建设用地使用权面积为0平方米，建筑面积为6531.86平方米。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估价对象为北京市房地产,属开发建设的，该项目尚在开发建设中。根据《国有土地使用证》[]，估价对象（分摊）出让国有建设用地使用权面积为0平方米，规划建筑面积为6531.86平方米。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2022年11月4日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29" ht="15">
      <c r="A5" s="364"/>
      <c r="B5" s="365"/>
      <c r="C5" s="3463" t="s">
        <v>2121</v>
      </c>
      <c r="D5" s="3464"/>
      <c r="E5" s="3461" t="s">
        <v>2122</v>
      </c>
      <c r="F5" s="3462"/>
      <c r="G5" s="3463" t="s">
        <v>2123</v>
      </c>
      <c r="H5" s="3464"/>
      <c r="I5" s="3463" t="s">
        <v>2124</v>
      </c>
      <c r="J5" s="3464"/>
      <c r="K5" s="567"/>
      <c r="L5" s="2894"/>
      <c r="M5" s="2895"/>
      <c r="N5" s="2895"/>
      <c r="O5" s="2895"/>
      <c r="P5" s="3476"/>
      <c r="Q5" s="3477"/>
      <c r="R5" s="3459"/>
      <c r="S5" s="3460"/>
      <c r="T5" s="3459"/>
      <c r="U5" s="3460"/>
      <c r="V5" s="3482"/>
      <c r="W5" s="3482"/>
      <c r="X5" s="1490"/>
      <c r="Y5" s="3459"/>
      <c r="Z5" s="3460"/>
      <c r="AA5" s="3453"/>
      <c r="AB5" s="3453"/>
      <c r="AC5" s="3453"/>
    </row>
    <row r="6" spans="1:29" ht="15.75" thickBot="1">
      <c r="A6" s="366"/>
      <c r="B6" s="367"/>
      <c r="C6" s="3465" t="s">
        <v>2125</v>
      </c>
      <c r="D6" s="3466"/>
      <c r="E6" s="3467" t="s">
        <v>2125</v>
      </c>
      <c r="F6" s="3468"/>
      <c r="G6" s="3465" t="s">
        <v>2125</v>
      </c>
      <c r="H6" s="3466"/>
      <c r="I6" s="3465" t="s">
        <v>2125</v>
      </c>
      <c r="J6" s="3466"/>
      <c r="K6" s="567" t="s">
        <v>2126</v>
      </c>
      <c r="L6" s="2894"/>
      <c r="M6" s="2895"/>
      <c r="N6" s="2895"/>
      <c r="O6" s="2895"/>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44869</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5" t="s">
        <v>2128</v>
      </c>
      <c r="Q7" s="3483"/>
      <c r="R7" s="710" t="s">
        <v>17</v>
      </c>
      <c r="S7" s="711">
        <f t="shared" ref="S7:S14" si="0">F7</f>
        <v>0</v>
      </c>
      <c r="T7" s="710" t="s">
        <v>17</v>
      </c>
      <c r="U7" s="711">
        <f t="shared" ref="U7:U14" si="1">H7</f>
        <v>0</v>
      </c>
      <c r="V7" s="710" t="s">
        <v>17</v>
      </c>
      <c r="W7" s="711">
        <f t="shared" ref="W7:W14" si="2">J7</f>
        <v>0</v>
      </c>
      <c r="X7" s="712"/>
      <c r="Y7" s="3455" t="s">
        <v>2128</v>
      </c>
      <c r="Z7" s="3456"/>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5" t="s">
        <v>2131</v>
      </c>
      <c r="Q8" s="3456"/>
      <c r="R8" s="710" t="s">
        <v>17</v>
      </c>
      <c r="S8" s="711">
        <f t="shared" si="0"/>
        <v>0</v>
      </c>
      <c r="T8" s="710" t="s">
        <v>17</v>
      </c>
      <c r="U8" s="711">
        <f t="shared" si="1"/>
        <v>0</v>
      </c>
      <c r="V8" s="710" t="s">
        <v>17</v>
      </c>
      <c r="W8" s="711">
        <f t="shared" si="2"/>
        <v>0</v>
      </c>
      <c r="X8" s="712"/>
      <c r="Y8" s="3455" t="s">
        <v>2131</v>
      </c>
      <c r="Z8" s="3456"/>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7" t="s">
        <v>2134</v>
      </c>
      <c r="Q9" s="1478" t="str">
        <f t="shared" ref="Q9:Q14" si="6">B9</f>
        <v>用途</v>
      </c>
      <c r="R9" s="710" t="s">
        <v>17</v>
      </c>
      <c r="S9" s="711">
        <f t="shared" si="0"/>
        <v>100</v>
      </c>
      <c r="T9" s="710" t="s">
        <v>17</v>
      </c>
      <c r="U9" s="711">
        <f t="shared" si="1"/>
        <v>100</v>
      </c>
      <c r="V9" s="710" t="s">
        <v>17</v>
      </c>
      <c r="W9" s="711">
        <f t="shared" si="2"/>
        <v>100</v>
      </c>
      <c r="X9" s="712"/>
      <c r="Y9" s="3399"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7"/>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9" t="s">
        <v>2139</v>
      </c>
      <c r="Q14" s="1487" t="str">
        <f t="shared" si="6"/>
        <v>交通便捷度</v>
      </c>
      <c r="R14" s="714" t="s">
        <v>17</v>
      </c>
      <c r="S14" s="715">
        <f t="shared" si="0"/>
        <v>100</v>
      </c>
      <c r="T14" s="714" t="s">
        <v>17</v>
      </c>
      <c r="U14" s="715">
        <f t="shared" si="1"/>
        <v>100</v>
      </c>
      <c r="V14" s="714" t="s">
        <v>17</v>
      </c>
      <c r="W14" s="715">
        <f t="shared" si="2"/>
        <v>100</v>
      </c>
      <c r="X14" s="1490"/>
      <c r="Y14" s="3489"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0"/>
      <c r="Q15" s="1487"/>
      <c r="R15" s="714"/>
      <c r="S15" s="715"/>
      <c r="T15" s="714"/>
      <c r="U15" s="715"/>
      <c r="V15" s="714"/>
      <c r="W15" s="715"/>
      <c r="X15" s="1490"/>
      <c r="Y15" s="3490"/>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0"/>
      <c r="Q16" s="1487" t="str">
        <f>B16</f>
        <v>公共配套设施</v>
      </c>
      <c r="R16" s="714" t="s">
        <v>17</v>
      </c>
      <c r="S16" s="715">
        <f>F16</f>
        <v>100</v>
      </c>
      <c r="T16" s="714" t="s">
        <v>17</v>
      </c>
      <c r="U16" s="715">
        <f>H16</f>
        <v>100</v>
      </c>
      <c r="V16" s="714" t="s">
        <v>17</v>
      </c>
      <c r="W16" s="715">
        <f>J16</f>
        <v>100</v>
      </c>
      <c r="X16" s="1490"/>
      <c r="Y16" s="349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0"/>
      <c r="Q17" s="1487"/>
      <c r="R17" s="714"/>
      <c r="S17" s="715"/>
      <c r="T17" s="714"/>
      <c r="U17" s="715"/>
      <c r="V17" s="714"/>
      <c r="W17" s="715"/>
      <c r="X17" s="1490"/>
      <c r="Y17" s="3490"/>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0"/>
      <c r="Q18" s="1487" t="str">
        <f>B18</f>
        <v>基础设施水平</v>
      </c>
      <c r="R18" s="714" t="s">
        <v>17</v>
      </c>
      <c r="S18" s="715">
        <f>F18</f>
        <v>100</v>
      </c>
      <c r="T18" s="714" t="s">
        <v>17</v>
      </c>
      <c r="U18" s="715">
        <f>H18</f>
        <v>100</v>
      </c>
      <c r="V18" s="714" t="s">
        <v>17</v>
      </c>
      <c r="W18" s="715">
        <f>J18</f>
        <v>100</v>
      </c>
      <c r="X18" s="1490"/>
      <c r="Y18" s="349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0"/>
      <c r="Q19" s="1487"/>
      <c r="R19" s="714"/>
      <c r="S19" s="715"/>
      <c r="T19" s="714"/>
      <c r="U19" s="715"/>
      <c r="V19" s="714"/>
      <c r="W19" s="715"/>
      <c r="X19" s="1490"/>
      <c r="Y19" s="3490"/>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0"/>
      <c r="Q20" s="1487" t="str">
        <f>B20</f>
        <v>自然及人文环境</v>
      </c>
      <c r="R20" s="714" t="s">
        <v>17</v>
      </c>
      <c r="S20" s="715">
        <f>F20</f>
        <v>100</v>
      </c>
      <c r="T20" s="714" t="s">
        <v>17</v>
      </c>
      <c r="U20" s="715">
        <f>H20</f>
        <v>100</v>
      </c>
      <c r="V20" s="714" t="s">
        <v>17</v>
      </c>
      <c r="W20" s="715">
        <f>J20</f>
        <v>100</v>
      </c>
      <c r="X20" s="1490"/>
      <c r="Y20" s="349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0"/>
      <c r="Q21" s="1487"/>
      <c r="R21" s="714"/>
      <c r="S21" s="715"/>
      <c r="T21" s="714"/>
      <c r="U21" s="715"/>
      <c r="V21" s="714"/>
      <c r="W21" s="715"/>
      <c r="X21" s="1490"/>
      <c r="Y21" s="3490"/>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0"/>
      <c r="Q22" s="1487" t="str">
        <f>B22</f>
        <v>楼层</v>
      </c>
      <c r="R22" s="714" t="s">
        <v>17</v>
      </c>
      <c r="S22" s="715">
        <f>F22</f>
        <v>100</v>
      </c>
      <c r="T22" s="714" t="s">
        <v>17</v>
      </c>
      <c r="U22" s="715">
        <f>H22</f>
        <v>100</v>
      </c>
      <c r="V22" s="714" t="s">
        <v>17</v>
      </c>
      <c r="W22" s="715">
        <f>J22</f>
        <v>100</v>
      </c>
      <c r="X22" s="1490"/>
      <c r="Y22" s="349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0"/>
      <c r="Q23" s="1487">
        <f>B23</f>
        <v>111</v>
      </c>
      <c r="R23" s="714" t="s">
        <v>17</v>
      </c>
      <c r="S23" s="715">
        <f>F23</f>
        <v>100</v>
      </c>
      <c r="T23" s="714" t="s">
        <v>17</v>
      </c>
      <c r="U23" s="715">
        <f>H23</f>
        <v>100</v>
      </c>
      <c r="V23" s="714" t="s">
        <v>17</v>
      </c>
      <c r="W23" s="715">
        <f>J23</f>
        <v>100</v>
      </c>
      <c r="X23" s="1490"/>
      <c r="Y23" s="349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0"/>
      <c r="Q24" s="1487">
        <f t="shared" ref="Q24:Q36" si="11">B24</f>
        <v>111</v>
      </c>
      <c r="R24" s="714" t="s">
        <v>17</v>
      </c>
      <c r="S24" s="715">
        <f>F24</f>
        <v>100</v>
      </c>
      <c r="T24" s="714" t="s">
        <v>17</v>
      </c>
      <c r="U24" s="715">
        <f>H24</f>
        <v>100</v>
      </c>
      <c r="V24" s="714" t="s">
        <v>17</v>
      </c>
      <c r="W24" s="715">
        <f>J24</f>
        <v>100</v>
      </c>
      <c r="X24" s="1490"/>
      <c r="Y24" s="349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0"/>
      <c r="Q25" s="1478">
        <f t="shared" si="11"/>
        <v>111</v>
      </c>
      <c r="R25" s="710" t="s">
        <v>17</v>
      </c>
      <c r="S25" s="711">
        <f>F25</f>
        <v>100</v>
      </c>
      <c r="T25" s="710" t="s">
        <v>17</v>
      </c>
      <c r="U25" s="711">
        <f>H25</f>
        <v>100</v>
      </c>
      <c r="V25" s="710" t="s">
        <v>17</v>
      </c>
      <c r="W25" s="711">
        <f>J25</f>
        <v>100</v>
      </c>
      <c r="X25" s="712"/>
      <c r="Y25" s="3490"/>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3"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4"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4"/>
      <c r="Q27" s="716" t="str">
        <f t="shared" si="11"/>
        <v>项目停车位配比</v>
      </c>
      <c r="R27" s="717" t="s">
        <v>17</v>
      </c>
      <c r="S27" s="718">
        <f t="shared" si="12"/>
        <v>100</v>
      </c>
      <c r="T27" s="717" t="s">
        <v>17</v>
      </c>
      <c r="U27" s="718">
        <f t="shared" si="13"/>
        <v>100</v>
      </c>
      <c r="V27" s="717" t="s">
        <v>17</v>
      </c>
      <c r="W27" s="718">
        <f t="shared" si="14"/>
        <v>100</v>
      </c>
      <c r="X27" s="719"/>
      <c r="Y27" s="3494"/>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4"/>
      <c r="Q28" s="1487" t="str">
        <f t="shared" si="11"/>
        <v>公共部分装修</v>
      </c>
      <c r="R28" s="714" t="s">
        <v>17</v>
      </c>
      <c r="S28" s="715">
        <f t="shared" si="12"/>
        <v>100</v>
      </c>
      <c r="T28" s="714" t="s">
        <v>17</v>
      </c>
      <c r="U28" s="715">
        <f t="shared" si="13"/>
        <v>100</v>
      </c>
      <c r="V28" s="714" t="s">
        <v>17</v>
      </c>
      <c r="W28" s="715">
        <f t="shared" si="14"/>
        <v>100</v>
      </c>
      <c r="X28" s="1490"/>
      <c r="Y28" s="3494"/>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4"/>
      <c r="Q29" s="1487" t="str">
        <f t="shared" si="11"/>
        <v>成新率</v>
      </c>
      <c r="R29" s="714" t="s">
        <v>17</v>
      </c>
      <c r="S29" s="715" t="e">
        <f t="shared" si="12"/>
        <v>#N/A</v>
      </c>
      <c r="T29" s="714" t="s">
        <v>17</v>
      </c>
      <c r="U29" s="715" t="e">
        <f t="shared" si="13"/>
        <v>#N/A</v>
      </c>
      <c r="V29" s="714" t="s">
        <v>17</v>
      </c>
      <c r="W29" s="715" t="e">
        <f t="shared" si="14"/>
        <v>#N/A</v>
      </c>
      <c r="X29" s="1490"/>
      <c r="Y29" s="3494"/>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4"/>
      <c r="Q30" s="1487" t="str">
        <f t="shared" si="11"/>
        <v>物业等级</v>
      </c>
      <c r="R30" s="714" t="s">
        <v>17</v>
      </c>
      <c r="S30" s="715">
        <f t="shared" si="12"/>
        <v>100</v>
      </c>
      <c r="T30" s="714" t="s">
        <v>17</v>
      </c>
      <c r="U30" s="715">
        <f t="shared" si="13"/>
        <v>100</v>
      </c>
      <c r="V30" s="714" t="s">
        <v>17</v>
      </c>
      <c r="W30" s="715">
        <f t="shared" si="14"/>
        <v>100</v>
      </c>
      <c r="X30" s="1490"/>
      <c r="Y30" s="3494"/>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4"/>
      <c r="Q31" s="1478" t="str">
        <f t="shared" si="11"/>
        <v>停车位面积</v>
      </c>
      <c r="R31" s="710" t="s">
        <v>17</v>
      </c>
      <c r="S31" s="711" t="e">
        <f t="shared" si="12"/>
        <v>#N/A</v>
      </c>
      <c r="T31" s="710" t="s">
        <v>17</v>
      </c>
      <c r="U31" s="711" t="e">
        <f t="shared" si="13"/>
        <v>#N/A</v>
      </c>
      <c r="V31" s="710" t="s">
        <v>17</v>
      </c>
      <c r="W31" s="711" t="e">
        <f t="shared" si="14"/>
        <v>#N/A</v>
      </c>
      <c r="X31" s="712"/>
      <c r="Y31" s="3494"/>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4" t="s">
        <v>2144</v>
      </c>
      <c r="Q32" s="1487" t="str">
        <f t="shared" si="11"/>
        <v>车位类型</v>
      </c>
      <c r="R32" s="714" t="s">
        <v>17</v>
      </c>
      <c r="S32" s="715">
        <f t="shared" si="12"/>
        <v>100</v>
      </c>
      <c r="T32" s="714" t="s">
        <v>17</v>
      </c>
      <c r="U32" s="715">
        <f t="shared" si="13"/>
        <v>100</v>
      </c>
      <c r="V32" s="714" t="s">
        <v>17</v>
      </c>
      <c r="W32" s="715">
        <f t="shared" si="14"/>
        <v>100</v>
      </c>
      <c r="X32" s="1490"/>
      <c r="Y32" s="3494"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4"/>
      <c r="Q33" s="1487" t="str">
        <f t="shared" si="11"/>
        <v>是否直接入户</v>
      </c>
      <c r="R33" s="714" t="s">
        <v>17</v>
      </c>
      <c r="S33" s="715">
        <f t="shared" si="12"/>
        <v>100</v>
      </c>
      <c r="T33" s="714" t="s">
        <v>17</v>
      </c>
      <c r="U33" s="715">
        <f t="shared" si="13"/>
        <v>100</v>
      </c>
      <c r="V33" s="714" t="s">
        <v>17</v>
      </c>
      <c r="W33" s="715">
        <f t="shared" si="14"/>
        <v>100</v>
      </c>
      <c r="X33" s="1490"/>
      <c r="Y33" s="349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4"/>
      <c r="Q34" s="1487">
        <f t="shared" si="11"/>
        <v>111</v>
      </c>
      <c r="R34" s="714" t="s">
        <v>17</v>
      </c>
      <c r="S34" s="715">
        <f t="shared" si="12"/>
        <v>100</v>
      </c>
      <c r="T34" s="714" t="s">
        <v>17</v>
      </c>
      <c r="U34" s="715">
        <f t="shared" si="13"/>
        <v>100</v>
      </c>
      <c r="V34" s="714" t="s">
        <v>17</v>
      </c>
      <c r="W34" s="715">
        <f t="shared" si="14"/>
        <v>100</v>
      </c>
      <c r="X34" s="1490"/>
      <c r="Y34" s="349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4"/>
      <c r="Q35" s="716">
        <f t="shared" si="11"/>
        <v>111</v>
      </c>
      <c r="R35" s="717" t="s">
        <v>17</v>
      </c>
      <c r="S35" s="718">
        <f t="shared" si="12"/>
        <v>100</v>
      </c>
      <c r="T35" s="717" t="s">
        <v>17</v>
      </c>
      <c r="U35" s="718">
        <f t="shared" si="13"/>
        <v>100</v>
      </c>
      <c r="V35" s="717" t="s">
        <v>17</v>
      </c>
      <c r="W35" s="718">
        <f t="shared" si="14"/>
        <v>100</v>
      </c>
      <c r="X35" s="719"/>
      <c r="Y35" s="349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4"/>
      <c r="Q36" s="1487">
        <f t="shared" si="11"/>
        <v>111</v>
      </c>
      <c r="R36" s="714" t="s">
        <v>17</v>
      </c>
      <c r="S36" s="715">
        <f t="shared" si="12"/>
        <v>100</v>
      </c>
      <c r="T36" s="714" t="s">
        <v>17</v>
      </c>
      <c r="U36" s="715">
        <f t="shared" si="13"/>
        <v>100</v>
      </c>
      <c r="V36" s="714" t="s">
        <v>17</v>
      </c>
      <c r="W36" s="715">
        <f t="shared" si="14"/>
        <v>100</v>
      </c>
      <c r="X36" s="1490"/>
      <c r="Y36" s="3494"/>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87" t="str">
        <f>A37</f>
        <v>成交单价</v>
      </c>
      <c r="Q37" s="3487"/>
      <c r="R37" s="3488">
        <f>E37</f>
        <v>0</v>
      </c>
      <c r="S37" s="3488"/>
      <c r="T37" s="3488">
        <f>G37</f>
        <v>0</v>
      </c>
      <c r="U37" s="3488"/>
      <c r="V37" s="3488">
        <f>I37</f>
        <v>0</v>
      </c>
      <c r="W37" s="3488"/>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84" t="str">
        <f>A39</f>
        <v>估价对象XX用房的比较价值（楼面单价，元/平方米）</v>
      </c>
      <c r="Q39" s="3485"/>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29" ht="15">
      <c r="A5" s="364"/>
      <c r="B5" s="365"/>
      <c r="C5" s="3463" t="s">
        <v>2121</v>
      </c>
      <c r="D5" s="3464"/>
      <c r="E5" s="3461" t="s">
        <v>2122</v>
      </c>
      <c r="F5" s="3462"/>
      <c r="G5" s="3463" t="s">
        <v>2123</v>
      </c>
      <c r="H5" s="3464"/>
      <c r="I5" s="3463" t="s">
        <v>2124</v>
      </c>
      <c r="J5" s="3464"/>
      <c r="K5" s="567"/>
      <c r="L5" s="2894"/>
      <c r="M5" s="2895"/>
      <c r="N5" s="2895"/>
      <c r="O5" s="2895"/>
      <c r="P5" s="3476"/>
      <c r="Q5" s="3477"/>
      <c r="R5" s="3459"/>
      <c r="S5" s="3460"/>
      <c r="T5" s="3459"/>
      <c r="U5" s="3460"/>
      <c r="V5" s="3482"/>
      <c r="W5" s="3482"/>
      <c r="X5" s="1490"/>
      <c r="Y5" s="3459"/>
      <c r="Z5" s="3460"/>
      <c r="AA5" s="3453"/>
      <c r="AB5" s="3453"/>
      <c r="AC5" s="3453"/>
    </row>
    <row r="6" spans="1:29" ht="15.75" thickBot="1">
      <c r="A6" s="366"/>
      <c r="B6" s="367"/>
      <c r="C6" s="3465" t="s">
        <v>2125</v>
      </c>
      <c r="D6" s="3466"/>
      <c r="E6" s="3467" t="s">
        <v>2125</v>
      </c>
      <c r="F6" s="3468"/>
      <c r="G6" s="3465" t="s">
        <v>2125</v>
      </c>
      <c r="H6" s="3466"/>
      <c r="I6" s="3465" t="s">
        <v>2125</v>
      </c>
      <c r="J6" s="3466"/>
      <c r="K6" s="567" t="s">
        <v>2126</v>
      </c>
      <c r="L6" s="2894"/>
      <c r="M6" s="2895"/>
      <c r="N6" s="2895"/>
      <c r="O6" s="2895"/>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44869</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5" t="s">
        <v>2128</v>
      </c>
      <c r="Q7" s="3483"/>
      <c r="R7" s="710" t="s">
        <v>17</v>
      </c>
      <c r="S7" s="711">
        <f t="shared" ref="S7:S14" si="0">F7</f>
        <v>0</v>
      </c>
      <c r="T7" s="710" t="s">
        <v>17</v>
      </c>
      <c r="U7" s="711">
        <f t="shared" ref="U7:U14" si="1">H7</f>
        <v>0</v>
      </c>
      <c r="V7" s="710" t="s">
        <v>17</v>
      </c>
      <c r="W7" s="711">
        <f t="shared" ref="W7:W14" si="2">J7</f>
        <v>0</v>
      </c>
      <c r="X7" s="712"/>
      <c r="Y7" s="3455" t="s">
        <v>2128</v>
      </c>
      <c r="Z7" s="3456"/>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5" t="s">
        <v>2131</v>
      </c>
      <c r="Q8" s="3456"/>
      <c r="R8" s="710" t="s">
        <v>17</v>
      </c>
      <c r="S8" s="711">
        <f t="shared" si="0"/>
        <v>0</v>
      </c>
      <c r="T8" s="710" t="s">
        <v>17</v>
      </c>
      <c r="U8" s="711">
        <f t="shared" si="1"/>
        <v>0</v>
      </c>
      <c r="V8" s="710" t="s">
        <v>17</v>
      </c>
      <c r="W8" s="711">
        <f t="shared" si="2"/>
        <v>0</v>
      </c>
      <c r="X8" s="712"/>
      <c r="Y8" s="3455" t="s">
        <v>2131</v>
      </c>
      <c r="Z8" s="3456"/>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7" t="s">
        <v>2134</v>
      </c>
      <c r="Q9" s="1478" t="str">
        <f t="shared" ref="Q9:Q14" si="6">B9</f>
        <v>用途</v>
      </c>
      <c r="R9" s="710" t="s">
        <v>17</v>
      </c>
      <c r="S9" s="711">
        <f t="shared" si="0"/>
        <v>100</v>
      </c>
      <c r="T9" s="710" t="s">
        <v>17</v>
      </c>
      <c r="U9" s="711">
        <f t="shared" si="1"/>
        <v>100</v>
      </c>
      <c r="V9" s="710" t="s">
        <v>17</v>
      </c>
      <c r="W9" s="711">
        <f t="shared" si="2"/>
        <v>100</v>
      </c>
      <c r="X9" s="712"/>
      <c r="Y9" s="3399"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7"/>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9" t="s">
        <v>2139</v>
      </c>
      <c r="Q14" s="1487" t="str">
        <f t="shared" si="6"/>
        <v>交通便捷度</v>
      </c>
      <c r="R14" s="714" t="s">
        <v>17</v>
      </c>
      <c r="S14" s="715">
        <f t="shared" si="0"/>
        <v>100</v>
      </c>
      <c r="T14" s="714" t="s">
        <v>17</v>
      </c>
      <c r="U14" s="715">
        <f t="shared" si="1"/>
        <v>100</v>
      </c>
      <c r="V14" s="714" t="s">
        <v>17</v>
      </c>
      <c r="W14" s="715">
        <f t="shared" si="2"/>
        <v>100</v>
      </c>
      <c r="X14" s="1490"/>
      <c r="Y14" s="3489"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0"/>
      <c r="Q15" s="1487"/>
      <c r="R15" s="714"/>
      <c r="S15" s="715"/>
      <c r="T15" s="714"/>
      <c r="U15" s="715"/>
      <c r="V15" s="714"/>
      <c r="W15" s="715"/>
      <c r="X15" s="1490"/>
      <c r="Y15" s="3490"/>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0"/>
      <c r="Q16" s="1487" t="str">
        <f>B16</f>
        <v>公共配套设施</v>
      </c>
      <c r="R16" s="714" t="s">
        <v>17</v>
      </c>
      <c r="S16" s="715">
        <f>F16</f>
        <v>100</v>
      </c>
      <c r="T16" s="714" t="s">
        <v>17</v>
      </c>
      <c r="U16" s="715">
        <f>H16</f>
        <v>100</v>
      </c>
      <c r="V16" s="714" t="s">
        <v>17</v>
      </c>
      <c r="W16" s="715">
        <f>J16</f>
        <v>100</v>
      </c>
      <c r="X16" s="1490"/>
      <c r="Y16" s="349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0"/>
      <c r="Q17" s="1487"/>
      <c r="R17" s="714"/>
      <c r="S17" s="715"/>
      <c r="T17" s="714"/>
      <c r="U17" s="715"/>
      <c r="V17" s="714"/>
      <c r="W17" s="715"/>
      <c r="X17" s="1490"/>
      <c r="Y17" s="3490"/>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0"/>
      <c r="Q18" s="1487" t="str">
        <f>B18</f>
        <v>基础设施水平</v>
      </c>
      <c r="R18" s="714" t="s">
        <v>17</v>
      </c>
      <c r="S18" s="715">
        <f>F18</f>
        <v>100</v>
      </c>
      <c r="T18" s="714" t="s">
        <v>17</v>
      </c>
      <c r="U18" s="715">
        <f>H18</f>
        <v>100</v>
      </c>
      <c r="V18" s="714" t="s">
        <v>17</v>
      </c>
      <c r="W18" s="715">
        <f>J18</f>
        <v>100</v>
      </c>
      <c r="X18" s="1490"/>
      <c r="Y18" s="349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0"/>
      <c r="Q19" s="1487"/>
      <c r="R19" s="714"/>
      <c r="S19" s="715"/>
      <c r="T19" s="714"/>
      <c r="U19" s="715"/>
      <c r="V19" s="714"/>
      <c r="W19" s="715"/>
      <c r="X19" s="1490"/>
      <c r="Y19" s="3490"/>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0"/>
      <c r="Q20" s="1487" t="str">
        <f>B20</f>
        <v>自然及人文环境</v>
      </c>
      <c r="R20" s="714" t="s">
        <v>17</v>
      </c>
      <c r="S20" s="715">
        <f>F20</f>
        <v>100</v>
      </c>
      <c r="T20" s="714" t="s">
        <v>17</v>
      </c>
      <c r="U20" s="715">
        <f>H20</f>
        <v>100</v>
      </c>
      <c r="V20" s="714" t="s">
        <v>17</v>
      </c>
      <c r="W20" s="715">
        <f>J20</f>
        <v>100</v>
      </c>
      <c r="X20" s="1490"/>
      <c r="Y20" s="349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0"/>
      <c r="Q21" s="1487"/>
      <c r="R21" s="714"/>
      <c r="S21" s="715"/>
      <c r="T21" s="714"/>
      <c r="U21" s="715"/>
      <c r="V21" s="714"/>
      <c r="W21" s="715"/>
      <c r="X21" s="1490"/>
      <c r="Y21" s="3490"/>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0"/>
      <c r="Q22" s="1487" t="str">
        <f>B22</f>
        <v>楼层</v>
      </c>
      <c r="R22" s="714" t="s">
        <v>17</v>
      </c>
      <c r="S22" s="715">
        <f>F22</f>
        <v>100</v>
      </c>
      <c r="T22" s="714" t="s">
        <v>17</v>
      </c>
      <c r="U22" s="715">
        <f>H22</f>
        <v>100</v>
      </c>
      <c r="V22" s="714" t="s">
        <v>17</v>
      </c>
      <c r="W22" s="715">
        <f>J22</f>
        <v>100</v>
      </c>
      <c r="X22" s="1490"/>
      <c r="Y22" s="349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0"/>
      <c r="Q23" s="1487">
        <f>B23</f>
        <v>111</v>
      </c>
      <c r="R23" s="714" t="s">
        <v>17</v>
      </c>
      <c r="S23" s="715">
        <f>F23</f>
        <v>100</v>
      </c>
      <c r="T23" s="714" t="s">
        <v>17</v>
      </c>
      <c r="U23" s="715">
        <f>H23</f>
        <v>100</v>
      </c>
      <c r="V23" s="714" t="s">
        <v>17</v>
      </c>
      <c r="W23" s="715">
        <f>J23</f>
        <v>100</v>
      </c>
      <c r="X23" s="1490"/>
      <c r="Y23" s="349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0"/>
      <c r="Q24" s="1487">
        <f t="shared" ref="Q24:Q34" si="11">B24</f>
        <v>111</v>
      </c>
      <c r="R24" s="714" t="s">
        <v>17</v>
      </c>
      <c r="S24" s="715">
        <f>F24</f>
        <v>100</v>
      </c>
      <c r="T24" s="714" t="s">
        <v>17</v>
      </c>
      <c r="U24" s="715">
        <f>H24</f>
        <v>100</v>
      </c>
      <c r="V24" s="714" t="s">
        <v>17</v>
      </c>
      <c r="W24" s="715">
        <f>J24</f>
        <v>100</v>
      </c>
      <c r="X24" s="1490"/>
      <c r="Y24" s="349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0"/>
      <c r="Q25" s="1478">
        <f t="shared" si="11"/>
        <v>111</v>
      </c>
      <c r="R25" s="710" t="s">
        <v>17</v>
      </c>
      <c r="S25" s="711">
        <f>F25</f>
        <v>100</v>
      </c>
      <c r="T25" s="710" t="s">
        <v>17</v>
      </c>
      <c r="U25" s="711">
        <f>H25</f>
        <v>100</v>
      </c>
      <c r="V25" s="710" t="s">
        <v>17</v>
      </c>
      <c r="W25" s="711">
        <f>J25</f>
        <v>100</v>
      </c>
      <c r="X25" s="712"/>
      <c r="Y25" s="3490"/>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3"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4"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4"/>
      <c r="Q27" s="716" t="str">
        <f t="shared" si="11"/>
        <v>成新率</v>
      </c>
      <c r="R27" s="717" t="s">
        <v>17</v>
      </c>
      <c r="S27" s="718" t="e">
        <f t="shared" si="12"/>
        <v>#N/A</v>
      </c>
      <c r="T27" s="717" t="s">
        <v>17</v>
      </c>
      <c r="U27" s="718" t="e">
        <f t="shared" si="13"/>
        <v>#N/A</v>
      </c>
      <c r="V27" s="717" t="s">
        <v>17</v>
      </c>
      <c r="W27" s="718" t="e">
        <f t="shared" si="14"/>
        <v>#N/A</v>
      </c>
      <c r="X27" s="719"/>
      <c r="Y27" s="3494"/>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4"/>
      <c r="Q28" s="1487" t="str">
        <f t="shared" si="11"/>
        <v>物业等级</v>
      </c>
      <c r="R28" s="714" t="s">
        <v>17</v>
      </c>
      <c r="S28" s="715">
        <f t="shared" si="12"/>
        <v>100</v>
      </c>
      <c r="T28" s="714" t="s">
        <v>17</v>
      </c>
      <c r="U28" s="715">
        <f t="shared" si="13"/>
        <v>100</v>
      </c>
      <c r="V28" s="714" t="s">
        <v>17</v>
      </c>
      <c r="W28" s="715">
        <f t="shared" si="14"/>
        <v>100</v>
      </c>
      <c r="X28" s="1490"/>
      <c r="Y28" s="3494"/>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4"/>
      <c r="Q29" s="1487" t="str">
        <f t="shared" si="11"/>
        <v>有无电梯</v>
      </c>
      <c r="R29" s="714" t="s">
        <v>17</v>
      </c>
      <c r="S29" s="715">
        <f t="shared" si="12"/>
        <v>100</v>
      </c>
      <c r="T29" s="714" t="s">
        <v>17</v>
      </c>
      <c r="U29" s="715">
        <f t="shared" si="13"/>
        <v>100</v>
      </c>
      <c r="V29" s="714" t="s">
        <v>17</v>
      </c>
      <c r="W29" s="715">
        <f t="shared" si="14"/>
        <v>100</v>
      </c>
      <c r="X29" s="1490"/>
      <c r="Y29" s="3494"/>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4"/>
      <c r="Q30" s="1487" t="str">
        <f t="shared" si="11"/>
        <v>建筑面积</v>
      </c>
      <c r="R30" s="714" t="s">
        <v>17</v>
      </c>
      <c r="S30" s="715" t="e">
        <f t="shared" si="12"/>
        <v>#N/A</v>
      </c>
      <c r="T30" s="714" t="s">
        <v>17</v>
      </c>
      <c r="U30" s="715" t="e">
        <f t="shared" si="13"/>
        <v>#N/A</v>
      </c>
      <c r="V30" s="714" t="s">
        <v>17</v>
      </c>
      <c r="W30" s="715" t="e">
        <f t="shared" si="14"/>
        <v>#N/A</v>
      </c>
      <c r="X30" s="1490"/>
      <c r="Y30" s="3494"/>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4"/>
      <c r="Q31" s="1478" t="str">
        <f t="shared" si="11"/>
        <v>是否封闭</v>
      </c>
      <c r="R31" s="710" t="s">
        <v>17</v>
      </c>
      <c r="S31" s="711">
        <f t="shared" si="12"/>
        <v>100</v>
      </c>
      <c r="T31" s="710" t="s">
        <v>17</v>
      </c>
      <c r="U31" s="711">
        <f t="shared" si="13"/>
        <v>100</v>
      </c>
      <c r="V31" s="710" t="s">
        <v>17</v>
      </c>
      <c r="W31" s="711">
        <f t="shared" si="14"/>
        <v>100</v>
      </c>
      <c r="X31" s="712"/>
      <c r="Y31" s="349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4" t="s">
        <v>2144</v>
      </c>
      <c r="Q32" s="1487">
        <f t="shared" si="11"/>
        <v>111</v>
      </c>
      <c r="R32" s="714" t="s">
        <v>17</v>
      </c>
      <c r="S32" s="715">
        <f t="shared" si="12"/>
        <v>100</v>
      </c>
      <c r="T32" s="714" t="s">
        <v>17</v>
      </c>
      <c r="U32" s="715">
        <f t="shared" si="13"/>
        <v>100</v>
      </c>
      <c r="V32" s="714" t="s">
        <v>17</v>
      </c>
      <c r="W32" s="715">
        <f t="shared" si="14"/>
        <v>100</v>
      </c>
      <c r="X32" s="1490"/>
      <c r="Y32" s="3494"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4"/>
      <c r="Q33" s="1487">
        <f t="shared" si="11"/>
        <v>111</v>
      </c>
      <c r="R33" s="714" t="s">
        <v>17</v>
      </c>
      <c r="S33" s="715">
        <f t="shared" si="12"/>
        <v>100</v>
      </c>
      <c r="T33" s="714" t="s">
        <v>17</v>
      </c>
      <c r="U33" s="715">
        <f t="shared" si="13"/>
        <v>100</v>
      </c>
      <c r="V33" s="714" t="s">
        <v>17</v>
      </c>
      <c r="W33" s="715">
        <f t="shared" si="14"/>
        <v>100</v>
      </c>
      <c r="X33" s="1490"/>
      <c r="Y33" s="349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4"/>
      <c r="Q34" s="1487">
        <f t="shared" si="11"/>
        <v>111</v>
      </c>
      <c r="R34" s="714" t="s">
        <v>17</v>
      </c>
      <c r="S34" s="715">
        <f t="shared" si="12"/>
        <v>100</v>
      </c>
      <c r="T34" s="714" t="s">
        <v>17</v>
      </c>
      <c r="U34" s="715">
        <f t="shared" si="13"/>
        <v>100</v>
      </c>
      <c r="V34" s="714" t="s">
        <v>17</v>
      </c>
      <c r="W34" s="715">
        <f t="shared" si="14"/>
        <v>100</v>
      </c>
      <c r="X34" s="1490"/>
      <c r="Y34" s="3494"/>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87" t="str">
        <f>A35</f>
        <v>成交单价（元/平方米）</v>
      </c>
      <c r="Q35" s="3487"/>
      <c r="R35" s="3488">
        <f>E35</f>
        <v>0</v>
      </c>
      <c r="S35" s="3488"/>
      <c r="T35" s="3488">
        <f>G35</f>
        <v>0</v>
      </c>
      <c r="U35" s="3488"/>
      <c r="V35" s="3488">
        <f>I35</f>
        <v>0</v>
      </c>
      <c r="W35" s="3488"/>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84" t="str">
        <f>A37</f>
        <v>估价对象XX用房的比较价值（楼面单价，元/平方米）</v>
      </c>
      <c r="Q37" s="3485"/>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30" ht="15">
      <c r="A5" s="364"/>
      <c r="B5" s="365"/>
      <c r="C5" s="3463" t="s">
        <v>2121</v>
      </c>
      <c r="D5" s="3464"/>
      <c r="E5" s="3461" t="s">
        <v>2122</v>
      </c>
      <c r="F5" s="3462"/>
      <c r="G5" s="3463" t="s">
        <v>2123</v>
      </c>
      <c r="H5" s="3464"/>
      <c r="I5" s="3463" t="s">
        <v>2124</v>
      </c>
      <c r="J5" s="3464"/>
      <c r="K5" s="567"/>
      <c r="L5" s="2894"/>
      <c r="M5" s="2895"/>
      <c r="N5" s="2895"/>
      <c r="O5" s="2895"/>
      <c r="P5" s="3476"/>
      <c r="Q5" s="3477"/>
      <c r="R5" s="3459"/>
      <c r="S5" s="3460"/>
      <c r="T5" s="3459"/>
      <c r="U5" s="3460"/>
      <c r="V5" s="3482"/>
      <c r="W5" s="3482"/>
      <c r="X5" s="1490"/>
      <c r="Y5" s="3459"/>
      <c r="Z5" s="3460"/>
      <c r="AA5" s="3453"/>
      <c r="AB5" s="3453"/>
      <c r="AC5" s="3453"/>
    </row>
    <row r="6" spans="1:30" ht="15.75" thickBot="1">
      <c r="A6" s="366"/>
      <c r="B6" s="367"/>
      <c r="C6" s="3465" t="s">
        <v>2125</v>
      </c>
      <c r="D6" s="3466"/>
      <c r="E6" s="3467" t="s">
        <v>2125</v>
      </c>
      <c r="F6" s="3468"/>
      <c r="G6" s="3465" t="s">
        <v>2125</v>
      </c>
      <c r="H6" s="3466"/>
      <c r="I6" s="3465" t="s">
        <v>2125</v>
      </c>
      <c r="J6" s="3466"/>
      <c r="K6" s="567" t="s">
        <v>2126</v>
      </c>
      <c r="L6" s="2894"/>
      <c r="M6" s="2895"/>
      <c r="N6" s="2895"/>
      <c r="O6" s="2895"/>
      <c r="P6" s="3478"/>
      <c r="Q6" s="3479"/>
      <c r="R6" s="3459"/>
      <c r="S6" s="3460"/>
      <c r="T6" s="3480"/>
      <c r="U6" s="3481"/>
      <c r="V6" s="3482"/>
      <c r="W6" s="3482"/>
      <c r="X6" s="1490"/>
      <c r="Y6" s="3480"/>
      <c r="Z6" s="3481"/>
      <c r="AA6" s="3454"/>
      <c r="AB6" s="3454"/>
      <c r="AC6" s="3454"/>
    </row>
    <row r="7" spans="1:30" s="113" customFormat="1" ht="15.75" thickBot="1">
      <c r="A7" s="368" t="s">
        <v>2127</v>
      </c>
      <c r="B7" s="369"/>
      <c r="C7" s="370">
        <f>'数据-取费表'!B2</f>
        <v>44869</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5"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5" t="s">
        <v>2131</v>
      </c>
      <c r="Q8" s="3456"/>
      <c r="R8" s="710" t="s">
        <v>17</v>
      </c>
      <c r="S8" s="711">
        <f t="shared" si="0"/>
        <v>0</v>
      </c>
      <c r="T8" s="710" t="s">
        <v>17</v>
      </c>
      <c r="U8" s="711">
        <f t="shared" si="1"/>
        <v>0</v>
      </c>
      <c r="V8" s="710" t="s">
        <v>17</v>
      </c>
      <c r="W8" s="711">
        <f t="shared" si="2"/>
        <v>0</v>
      </c>
      <c r="X8" s="712"/>
      <c r="Y8" s="3455" t="s">
        <v>2131</v>
      </c>
      <c r="Z8" s="3456"/>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7"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100</v>
      </c>
      <c r="G10" s="422"/>
      <c r="H10" s="132">
        <f>ROUND(100/'数据-取费表'!G16,0)</f>
        <v>100</v>
      </c>
      <c r="I10" s="422"/>
      <c r="J10" s="132">
        <f>ROUND(100/'数据-取费表'!G16,0)</f>
        <v>100</v>
      </c>
      <c r="K10" s="628"/>
      <c r="L10" s="2898"/>
      <c r="M10" s="2899"/>
      <c r="N10" s="2899"/>
      <c r="O10" s="2952"/>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7"/>
      <c r="Q12" s="1478" t="str">
        <f t="shared" si="6"/>
        <v>配建</v>
      </c>
      <c r="R12" s="710" t="s">
        <v>17</v>
      </c>
      <c r="S12" s="711">
        <f t="shared" si="0"/>
        <v>100</v>
      </c>
      <c r="T12" s="710" t="s">
        <v>17</v>
      </c>
      <c r="U12" s="711">
        <f t="shared" si="1"/>
        <v>100</v>
      </c>
      <c r="V12" s="710" t="s">
        <v>17</v>
      </c>
      <c r="W12" s="711">
        <f t="shared" si="2"/>
        <v>100</v>
      </c>
      <c r="X12" s="712"/>
      <c r="Y12" s="339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9" t="s">
        <v>2139</v>
      </c>
      <c r="Q15" s="1487" t="str">
        <f t="shared" si="6"/>
        <v>居住社区成熟度</v>
      </c>
      <c r="R15" s="714" t="s">
        <v>17</v>
      </c>
      <c r="S15" s="715">
        <f t="shared" si="0"/>
        <v>100</v>
      </c>
      <c r="T15" s="714" t="s">
        <v>17</v>
      </c>
      <c r="U15" s="715">
        <f t="shared" si="1"/>
        <v>100</v>
      </c>
      <c r="V15" s="714" t="s">
        <v>17</v>
      </c>
      <c r="W15" s="715">
        <f t="shared" si="2"/>
        <v>100</v>
      </c>
      <c r="X15" s="1490"/>
      <c r="Y15" s="3489"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0"/>
      <c r="Q16" s="1487"/>
      <c r="R16" s="714"/>
      <c r="S16" s="715"/>
      <c r="T16" s="714"/>
      <c r="U16" s="715"/>
      <c r="V16" s="714"/>
      <c r="W16" s="715"/>
      <c r="X16" s="1490"/>
      <c r="Y16" s="3490"/>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0"/>
      <c r="Q17" s="1487" t="str">
        <f>B17</f>
        <v>商业繁华度</v>
      </c>
      <c r="R17" s="714" t="s">
        <v>17</v>
      </c>
      <c r="S17" s="715">
        <f>F17</f>
        <v>100</v>
      </c>
      <c r="T17" s="714" t="s">
        <v>17</v>
      </c>
      <c r="U17" s="715">
        <f>H17</f>
        <v>100</v>
      </c>
      <c r="V17" s="714" t="s">
        <v>17</v>
      </c>
      <c r="W17" s="715">
        <f>J17</f>
        <v>100</v>
      </c>
      <c r="X17" s="1490"/>
      <c r="Y17" s="349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0"/>
      <c r="Q18" s="1487"/>
      <c r="R18" s="714"/>
      <c r="S18" s="715"/>
      <c r="T18" s="714"/>
      <c r="U18" s="715"/>
      <c r="V18" s="714"/>
      <c r="W18" s="715"/>
      <c r="X18" s="1490"/>
      <c r="Y18" s="3490"/>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0"/>
      <c r="Q19" s="1487" t="str">
        <f>B19</f>
        <v>办公集聚程度</v>
      </c>
      <c r="R19" s="714" t="s">
        <v>17</v>
      </c>
      <c r="S19" s="715">
        <f>F19</f>
        <v>100</v>
      </c>
      <c r="T19" s="714" t="s">
        <v>17</v>
      </c>
      <c r="U19" s="715">
        <f>H19</f>
        <v>100</v>
      </c>
      <c r="V19" s="714" t="s">
        <v>17</v>
      </c>
      <c r="W19" s="715">
        <f>J19</f>
        <v>100</v>
      </c>
      <c r="X19" s="1490"/>
      <c r="Y19" s="349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0"/>
      <c r="Q20" s="1487"/>
      <c r="R20" s="714"/>
      <c r="S20" s="715"/>
      <c r="T20" s="714"/>
      <c r="U20" s="715"/>
      <c r="V20" s="714"/>
      <c r="W20" s="715"/>
      <c r="X20" s="1490"/>
      <c r="Y20" s="3490"/>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0"/>
      <c r="Q21" s="1487" t="str">
        <f>B21</f>
        <v>交通便捷度</v>
      </c>
      <c r="R21" s="714" t="s">
        <v>17</v>
      </c>
      <c r="S21" s="715">
        <f>F21</f>
        <v>100</v>
      </c>
      <c r="T21" s="714" t="s">
        <v>17</v>
      </c>
      <c r="U21" s="715">
        <f>H21</f>
        <v>100</v>
      </c>
      <c r="V21" s="714" t="s">
        <v>17</v>
      </c>
      <c r="W21" s="715">
        <f>J21</f>
        <v>100</v>
      </c>
      <c r="X21" s="1490"/>
      <c r="Y21" s="349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0"/>
      <c r="Q22" s="1487"/>
      <c r="R22" s="714"/>
      <c r="S22" s="715"/>
      <c r="T22" s="714"/>
      <c r="U22" s="715"/>
      <c r="V22" s="714"/>
      <c r="W22" s="715"/>
      <c r="X22" s="1490"/>
      <c r="Y22" s="3490"/>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0"/>
      <c r="Q23" s="1487" t="str">
        <f t="shared" ref="Q23:Q37" si="8">B23</f>
        <v>区域土地利用方向</v>
      </c>
      <c r="R23" s="714" t="s">
        <v>17</v>
      </c>
      <c r="S23" s="715">
        <f>F23</f>
        <v>100</v>
      </c>
      <c r="T23" s="714" t="s">
        <v>17</v>
      </c>
      <c r="U23" s="715">
        <f>H23</f>
        <v>100</v>
      </c>
      <c r="V23" s="714" t="s">
        <v>17</v>
      </c>
      <c r="W23" s="715">
        <f>J23</f>
        <v>100</v>
      </c>
      <c r="X23" s="1490"/>
      <c r="Y23" s="349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0"/>
      <c r="Q24" s="1487"/>
      <c r="R24" s="714"/>
      <c r="S24" s="715"/>
      <c r="T24" s="714"/>
      <c r="U24" s="715"/>
      <c r="V24" s="714"/>
      <c r="W24" s="715"/>
      <c r="X24" s="1490"/>
      <c r="Y24" s="3490"/>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0"/>
      <c r="Q25" s="1487" t="str">
        <f t="shared" si="8"/>
        <v>自然及人文环境状况</v>
      </c>
      <c r="R25" s="714" t="s">
        <v>17</v>
      </c>
      <c r="S25" s="715">
        <f>F25</f>
        <v>100</v>
      </c>
      <c r="T25" s="714" t="s">
        <v>17</v>
      </c>
      <c r="U25" s="715">
        <f>H25</f>
        <v>100</v>
      </c>
      <c r="V25" s="714" t="s">
        <v>17</v>
      </c>
      <c r="W25" s="715">
        <f>J25</f>
        <v>100</v>
      </c>
      <c r="X25" s="1490"/>
      <c r="Y25" s="349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0"/>
      <c r="Q26" s="1487"/>
      <c r="R26" s="714"/>
      <c r="S26" s="715"/>
      <c r="T26" s="714"/>
      <c r="U26" s="715"/>
      <c r="V26" s="714"/>
      <c r="W26" s="715"/>
      <c r="X26" s="1490"/>
      <c r="Y26" s="3490"/>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0"/>
      <c r="Q27" s="1478" t="str">
        <f t="shared" si="8"/>
        <v>公共配套设施</v>
      </c>
      <c r="R27" s="710" t="s">
        <v>17</v>
      </c>
      <c r="S27" s="711">
        <f>F27</f>
        <v>100</v>
      </c>
      <c r="T27" s="710" t="s">
        <v>17</v>
      </c>
      <c r="U27" s="711">
        <f>H27</f>
        <v>100</v>
      </c>
      <c r="V27" s="710" t="s">
        <v>17</v>
      </c>
      <c r="W27" s="711">
        <f>J27</f>
        <v>100</v>
      </c>
      <c r="X27" s="712"/>
      <c r="Y27" s="349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0"/>
      <c r="Q28" s="1478"/>
      <c r="R28" s="710"/>
      <c r="S28" s="711"/>
      <c r="T28" s="710"/>
      <c r="U28" s="711"/>
      <c r="V28" s="710"/>
      <c r="W28" s="711"/>
      <c r="X28" s="712"/>
      <c r="Y28" s="3490"/>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0"/>
      <c r="Q29" s="1478" t="str">
        <f t="shared" ref="Q29" si="9">B29</f>
        <v>基础设施水平</v>
      </c>
      <c r="R29" s="710" t="s">
        <v>17</v>
      </c>
      <c r="S29" s="711">
        <f>F29</f>
        <v>100</v>
      </c>
      <c r="T29" s="710" t="s">
        <v>17</v>
      </c>
      <c r="U29" s="711">
        <f>H29</f>
        <v>100</v>
      </c>
      <c r="V29" s="710" t="s">
        <v>17</v>
      </c>
      <c r="W29" s="711">
        <f>J29</f>
        <v>100</v>
      </c>
      <c r="X29" s="712"/>
      <c r="Y29" s="349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0"/>
      <c r="Q30" s="1478"/>
      <c r="R30" s="710"/>
      <c r="S30" s="711"/>
      <c r="T30" s="710"/>
      <c r="U30" s="711"/>
      <c r="V30" s="710"/>
      <c r="W30" s="711"/>
      <c r="X30" s="712"/>
      <c r="Y30" s="3490"/>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0"/>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0"/>
      <c r="Q32" s="1487" t="str">
        <f t="shared" si="8"/>
        <v>毗邻道路的类型与等级</v>
      </c>
      <c r="R32" s="714" t="s">
        <v>17</v>
      </c>
      <c r="S32" s="715">
        <f t="shared" si="10"/>
        <v>100</v>
      </c>
      <c r="T32" s="714" t="s">
        <v>17</v>
      </c>
      <c r="U32" s="715">
        <f t="shared" si="11"/>
        <v>100</v>
      </c>
      <c r="V32" s="714" t="s">
        <v>17</v>
      </c>
      <c r="W32" s="715">
        <f t="shared" si="12"/>
        <v>100</v>
      </c>
      <c r="X32" s="1490"/>
      <c r="Y32" s="349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0"/>
      <c r="Q33" s="1487"/>
      <c r="R33" s="714"/>
      <c r="S33" s="715"/>
      <c r="T33" s="714"/>
      <c r="U33" s="715"/>
      <c r="V33" s="714"/>
      <c r="W33" s="715"/>
      <c r="X33" s="1490"/>
      <c r="Y33" s="3490"/>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0"/>
      <c r="Q34" s="1487" t="str">
        <f t="shared" si="8"/>
        <v>土地级别</v>
      </c>
      <c r="R34" s="714" t="s">
        <v>17</v>
      </c>
      <c r="S34" s="715">
        <f t="shared" si="10"/>
        <v>100</v>
      </c>
      <c r="T34" s="714" t="s">
        <v>17</v>
      </c>
      <c r="U34" s="715">
        <f t="shared" si="11"/>
        <v>100</v>
      </c>
      <c r="V34" s="714" t="s">
        <v>17</v>
      </c>
      <c r="W34" s="715">
        <f t="shared" si="12"/>
        <v>100</v>
      </c>
      <c r="X34" s="1490"/>
      <c r="Y34" s="349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0"/>
      <c r="Q35" s="1487">
        <f t="shared" si="8"/>
        <v>111</v>
      </c>
      <c r="R35" s="714" t="s">
        <v>17</v>
      </c>
      <c r="S35" s="715">
        <f t="shared" si="10"/>
        <v>100</v>
      </c>
      <c r="T35" s="714" t="s">
        <v>17</v>
      </c>
      <c r="U35" s="715">
        <f t="shared" si="11"/>
        <v>100</v>
      </c>
      <c r="V35" s="714" t="s">
        <v>17</v>
      </c>
      <c r="W35" s="715">
        <f t="shared" si="12"/>
        <v>100</v>
      </c>
      <c r="X35" s="1490"/>
      <c r="Y35" s="349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3" t="s">
        <v>2144</v>
      </c>
      <c r="Q36" s="1487">
        <f t="shared" si="8"/>
        <v>111</v>
      </c>
      <c r="R36" s="714" t="s">
        <v>17</v>
      </c>
      <c r="S36" s="715">
        <f t="shared" si="10"/>
        <v>100</v>
      </c>
      <c r="T36" s="714" t="s">
        <v>17</v>
      </c>
      <c r="U36" s="715">
        <f t="shared" si="11"/>
        <v>100</v>
      </c>
      <c r="V36" s="714" t="s">
        <v>17</v>
      </c>
      <c r="W36" s="715">
        <f t="shared" si="12"/>
        <v>100</v>
      </c>
      <c r="X36" s="1490"/>
      <c r="Y36" s="3494"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4"/>
      <c r="Q37" s="1487">
        <f t="shared" si="8"/>
        <v>111</v>
      </c>
      <c r="R37" s="717" t="s">
        <v>17</v>
      </c>
      <c r="S37" s="718">
        <f t="shared" si="10"/>
        <v>100</v>
      </c>
      <c r="T37" s="717" t="s">
        <v>17</v>
      </c>
      <c r="U37" s="718">
        <f t="shared" si="11"/>
        <v>100</v>
      </c>
      <c r="V37" s="717" t="s">
        <v>17</v>
      </c>
      <c r="W37" s="718">
        <f t="shared" si="12"/>
        <v>100</v>
      </c>
      <c r="X37" s="719"/>
      <c r="Y37" s="3494"/>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4"/>
      <c r="Q38" s="1487" t="str">
        <f>B38</f>
        <v>宗地面积</v>
      </c>
      <c r="R38" s="714" t="s">
        <v>17</v>
      </c>
      <c r="S38" s="715" t="e">
        <f t="shared" si="10"/>
        <v>#N/A</v>
      </c>
      <c r="T38" s="714" t="s">
        <v>17</v>
      </c>
      <c r="U38" s="715" t="e">
        <f t="shared" si="11"/>
        <v>#N/A</v>
      </c>
      <c r="V38" s="714" t="s">
        <v>17</v>
      </c>
      <c r="W38" s="715" t="e">
        <f t="shared" si="12"/>
        <v>#N/A</v>
      </c>
      <c r="X38" s="1490"/>
      <c r="Y38" s="3494"/>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4"/>
      <c r="Q39" s="1487" t="str">
        <f t="shared" ref="Q39:Q45" si="14">B39</f>
        <v>宗地形状</v>
      </c>
      <c r="R39" s="714" t="s">
        <v>17</v>
      </c>
      <c r="S39" s="715">
        <f t="shared" si="10"/>
        <v>100</v>
      </c>
      <c r="T39" s="714" t="s">
        <v>17</v>
      </c>
      <c r="U39" s="715">
        <f t="shared" si="11"/>
        <v>100</v>
      </c>
      <c r="V39" s="714" t="s">
        <v>17</v>
      </c>
      <c r="W39" s="715">
        <f t="shared" si="12"/>
        <v>100</v>
      </c>
      <c r="X39" s="1490"/>
      <c r="Y39" s="3494"/>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4"/>
      <c r="Q40" s="1487" t="str">
        <f t="shared" si="14"/>
        <v>临街宽度及深度</v>
      </c>
      <c r="R40" s="714" t="s">
        <v>17</v>
      </c>
      <c r="S40" s="715">
        <f t="shared" si="10"/>
        <v>100</v>
      </c>
      <c r="T40" s="714" t="s">
        <v>17</v>
      </c>
      <c r="U40" s="715">
        <f t="shared" si="11"/>
        <v>100</v>
      </c>
      <c r="V40" s="714" t="s">
        <v>17</v>
      </c>
      <c r="W40" s="715">
        <f t="shared" si="12"/>
        <v>100</v>
      </c>
      <c r="X40" s="1490"/>
      <c r="Y40" s="3494"/>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4"/>
      <c r="Q41" s="1487" t="str">
        <f t="shared" si="14"/>
        <v>宗地开发程度</v>
      </c>
      <c r="R41" s="710" t="s">
        <v>17</v>
      </c>
      <c r="S41" s="711">
        <f t="shared" si="10"/>
        <v>100</v>
      </c>
      <c r="T41" s="710" t="s">
        <v>17</v>
      </c>
      <c r="U41" s="711">
        <f t="shared" si="11"/>
        <v>100</v>
      </c>
      <c r="V41" s="710" t="s">
        <v>17</v>
      </c>
      <c r="W41" s="711">
        <f t="shared" si="12"/>
        <v>100</v>
      </c>
      <c r="X41" s="712"/>
      <c r="Y41" s="3494"/>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4" t="s">
        <v>2144</v>
      </c>
      <c r="Q42" s="1487" t="str">
        <f t="shared" si="14"/>
        <v>工程地质条件</v>
      </c>
      <c r="R42" s="714" t="s">
        <v>17</v>
      </c>
      <c r="S42" s="715">
        <f t="shared" si="10"/>
        <v>100</v>
      </c>
      <c r="T42" s="714" t="s">
        <v>17</v>
      </c>
      <c r="U42" s="715">
        <f t="shared" si="11"/>
        <v>100</v>
      </c>
      <c r="V42" s="714" t="s">
        <v>17</v>
      </c>
      <c r="W42" s="715">
        <f t="shared" si="12"/>
        <v>100</v>
      </c>
      <c r="X42" s="1490"/>
      <c r="Y42" s="3494"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4"/>
      <c r="Q43" s="1487">
        <f t="shared" si="14"/>
        <v>111</v>
      </c>
      <c r="R43" s="714" t="s">
        <v>17</v>
      </c>
      <c r="S43" s="715">
        <f t="shared" si="10"/>
        <v>100</v>
      </c>
      <c r="T43" s="714" t="s">
        <v>17</v>
      </c>
      <c r="U43" s="715">
        <f t="shared" si="11"/>
        <v>100</v>
      </c>
      <c r="V43" s="714" t="s">
        <v>17</v>
      </c>
      <c r="W43" s="715">
        <f t="shared" si="12"/>
        <v>100</v>
      </c>
      <c r="X43" s="1490"/>
      <c r="Y43" s="349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4"/>
      <c r="Q44" s="1487">
        <f t="shared" si="14"/>
        <v>111</v>
      </c>
      <c r="R44" s="714" t="s">
        <v>17</v>
      </c>
      <c r="S44" s="715">
        <f t="shared" si="10"/>
        <v>100</v>
      </c>
      <c r="T44" s="714" t="s">
        <v>17</v>
      </c>
      <c r="U44" s="715">
        <f t="shared" si="11"/>
        <v>100</v>
      </c>
      <c r="V44" s="714" t="s">
        <v>17</v>
      </c>
      <c r="W44" s="715">
        <f t="shared" si="12"/>
        <v>100</v>
      </c>
      <c r="X44" s="1490"/>
      <c r="Y44" s="349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4"/>
      <c r="Q45" s="1487">
        <f t="shared" si="14"/>
        <v>111</v>
      </c>
      <c r="R45" s="717" t="s">
        <v>17</v>
      </c>
      <c r="S45" s="718">
        <f t="shared" si="10"/>
        <v>100</v>
      </c>
      <c r="T45" s="717" t="s">
        <v>17</v>
      </c>
      <c r="U45" s="718">
        <f t="shared" si="11"/>
        <v>100</v>
      </c>
      <c r="V45" s="717" t="s">
        <v>17</v>
      </c>
      <c r="W45" s="718">
        <f t="shared" si="12"/>
        <v>100</v>
      </c>
      <c r="X45" s="719"/>
      <c r="Y45" s="3494"/>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87" t="str">
        <f>A46</f>
        <v>成交单价</v>
      </c>
      <c r="Q46" s="3487"/>
      <c r="R46" s="3482">
        <f>E46</f>
        <v>0</v>
      </c>
      <c r="S46" s="3482"/>
      <c r="T46" s="3482">
        <f>G46</f>
        <v>0</v>
      </c>
      <c r="U46" s="3482"/>
      <c r="V46" s="3482">
        <f>I46</f>
        <v>0</v>
      </c>
      <c r="W46" s="3482"/>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87" t="str">
        <f>A47</f>
        <v>比较价值（元/平方米）</v>
      </c>
      <c r="Q47" s="3487"/>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84" t="str">
        <f>A48</f>
        <v>估价对象XX用房的比较价值（楼面单价，元/平方米）</v>
      </c>
      <c r="Q48" s="3485"/>
      <c r="R48" s="3516" t="e">
        <f>ROUND(IF(D47="简单平均",AVERAGE(R47:W47),R47*F47+T47*H47+V47*J47),0)</f>
        <v>#DIV/0!</v>
      </c>
      <c r="S48" s="3516"/>
      <c r="T48" s="3516"/>
      <c r="U48" s="3516"/>
      <c r="V48" s="3516"/>
      <c r="W48" s="3516"/>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70" t="s">
        <v>2343</v>
      </c>
      <c r="H55" s="3517"/>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5413.53</v>
      </c>
      <c r="F56" s="998" t="e">
        <f t="shared" ref="F56:F64" si="15">ROUND(B56*E56/10000,0)</f>
        <v>#DIV/0!</v>
      </c>
      <c r="G56" s="3469"/>
      <c r="H56" s="3487"/>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0.6</v>
      </c>
      <c r="D57" s="1057">
        <v>0.25</v>
      </c>
      <c r="E57" s="650"/>
      <c r="F57" s="998" t="e">
        <f t="shared" si="15"/>
        <v>#DIV/0!</v>
      </c>
      <c r="G57" s="3228" t="s">
        <v>2348</v>
      </c>
      <c r="H57" s="999" t="str">
        <f>项目基本情况!B37</f>
        <v>三级</v>
      </c>
      <c r="I57" s="1003">
        <f>SUMIF(修正!A57:A68,H57,修正!B57:B68)</f>
        <v>0.6</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0.3</v>
      </c>
      <c r="D58" s="1057">
        <v>0.25</v>
      </c>
      <c r="E58" s="650"/>
      <c r="F58" s="998" t="e">
        <f t="shared" si="15"/>
        <v>#DIV/0!</v>
      </c>
      <c r="G58" s="3229"/>
      <c r="H58" s="999" t="str">
        <f>项目基本情况!B37</f>
        <v>三级</v>
      </c>
      <c r="I58" s="1003">
        <f>SUMIF(修正!A57:A68,H58,修正!C57:C68)</f>
        <v>0.3</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0.25</v>
      </c>
      <c r="D59" s="1057">
        <v>0.25</v>
      </c>
      <c r="E59" s="650"/>
      <c r="F59" s="998" t="e">
        <f t="shared" si="15"/>
        <v>#DIV/0!</v>
      </c>
      <c r="G59" s="3229"/>
      <c r="H59" s="999" t="str">
        <f>项目基本情况!B37</f>
        <v>三级</v>
      </c>
      <c r="I59" s="1003">
        <f>SUMIF(修正!A57:A68,H59,修正!D57:D68)</f>
        <v>0.25</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0.15</v>
      </c>
      <c r="D63" s="1057">
        <v>0.25</v>
      </c>
      <c r="E63" s="223">
        <f>'数据-汇总表'!E14</f>
        <v>0</v>
      </c>
      <c r="F63" s="998" t="e">
        <f t="shared" si="15"/>
        <v>#DIV/0!</v>
      </c>
      <c r="G63" s="2124" t="s">
        <v>2348</v>
      </c>
      <c r="H63" s="999" t="str">
        <f>项目基本情况!B37</f>
        <v>三级</v>
      </c>
      <c r="I63" s="1003">
        <f>SUMIF(修正!A57:A68,H63,修正!G57:G68)</f>
        <v>0.15</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5413.53</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29" ht="15">
      <c r="A5" s="364"/>
      <c r="B5" s="365"/>
      <c r="C5" s="3463" t="s">
        <v>2121</v>
      </c>
      <c r="D5" s="3464"/>
      <c r="E5" s="3461" t="s">
        <v>2122</v>
      </c>
      <c r="F5" s="3462"/>
      <c r="G5" s="3463" t="s">
        <v>2123</v>
      </c>
      <c r="H5" s="3464"/>
      <c r="I5" s="3463" t="s">
        <v>2124</v>
      </c>
      <c r="J5" s="3464"/>
      <c r="K5" s="567"/>
      <c r="L5" s="2894"/>
      <c r="M5" s="2895"/>
      <c r="N5" s="2895"/>
      <c r="O5" s="2895"/>
      <c r="P5" s="3476"/>
      <c r="Q5" s="3477"/>
      <c r="R5" s="3459"/>
      <c r="S5" s="3460"/>
      <c r="T5" s="3459"/>
      <c r="U5" s="3460"/>
      <c r="V5" s="3482"/>
      <c r="W5" s="3482"/>
      <c r="X5" s="1490"/>
      <c r="Y5" s="3459"/>
      <c r="Z5" s="3460"/>
      <c r="AA5" s="3453"/>
      <c r="AB5" s="3453"/>
      <c r="AC5" s="3453"/>
    </row>
    <row r="6" spans="1:29" ht="15.75" thickBot="1">
      <c r="A6" s="366"/>
      <c r="B6" s="367"/>
      <c r="C6" s="3518" t="s">
        <v>2375</v>
      </c>
      <c r="D6" s="3519"/>
      <c r="E6" s="3520" t="s">
        <v>2375</v>
      </c>
      <c r="F6" s="3521"/>
      <c r="G6" s="3518" t="s">
        <v>2375</v>
      </c>
      <c r="H6" s="3519"/>
      <c r="I6" s="3518" t="s">
        <v>2375</v>
      </c>
      <c r="J6" s="3519"/>
      <c r="K6" s="567" t="s">
        <v>2126</v>
      </c>
      <c r="L6" s="2894"/>
      <c r="M6" s="2895"/>
      <c r="N6" s="2895"/>
      <c r="O6" s="2895"/>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44869</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5"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5" t="s">
        <v>2131</v>
      </c>
      <c r="Q8" s="3456"/>
      <c r="R8" s="710" t="s">
        <v>17</v>
      </c>
      <c r="S8" s="711">
        <f t="shared" si="0"/>
        <v>0</v>
      </c>
      <c r="T8" s="710" t="s">
        <v>17</v>
      </c>
      <c r="U8" s="711">
        <f t="shared" si="1"/>
        <v>0</v>
      </c>
      <c r="V8" s="710" t="s">
        <v>17</v>
      </c>
      <c r="W8" s="711">
        <f t="shared" si="2"/>
        <v>0</v>
      </c>
      <c r="X8" s="712"/>
      <c r="Y8" s="3455" t="s">
        <v>2131</v>
      </c>
      <c r="Z8" s="3456"/>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7"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100</v>
      </c>
      <c r="G10" s="391"/>
      <c r="H10" s="132">
        <f>ROUND(100/'数据-取费表'!G16,0)</f>
        <v>100</v>
      </c>
      <c r="I10" s="391"/>
      <c r="J10" s="132">
        <f>ROUND(100/'数据-取费表'!G16,0)</f>
        <v>100</v>
      </c>
      <c r="K10" s="628"/>
      <c r="L10" s="2898"/>
      <c r="M10" s="2899"/>
      <c r="N10" s="2899"/>
      <c r="O10" s="2952"/>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9" t="s">
        <v>2139</v>
      </c>
      <c r="Q15" s="1487" t="str">
        <f t="shared" si="6"/>
        <v>产业集聚程度</v>
      </c>
      <c r="R15" s="714" t="s">
        <v>17</v>
      </c>
      <c r="S15" s="715">
        <f t="shared" si="0"/>
        <v>100</v>
      </c>
      <c r="T15" s="714" t="s">
        <v>17</v>
      </c>
      <c r="U15" s="715">
        <f t="shared" si="1"/>
        <v>100</v>
      </c>
      <c r="V15" s="714" t="s">
        <v>17</v>
      </c>
      <c r="W15" s="715">
        <f t="shared" si="2"/>
        <v>100</v>
      </c>
      <c r="X15" s="1490"/>
      <c r="Y15" s="3489"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0"/>
      <c r="Q16" s="1487"/>
      <c r="R16" s="714"/>
      <c r="S16" s="715"/>
      <c r="T16" s="714"/>
      <c r="U16" s="715"/>
      <c r="V16" s="714"/>
      <c r="W16" s="715"/>
      <c r="X16" s="1490"/>
      <c r="Y16" s="3490"/>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0"/>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0"/>
      <c r="Q18" s="1487"/>
      <c r="R18" s="714"/>
      <c r="S18" s="715"/>
      <c r="T18" s="714"/>
      <c r="U18" s="715"/>
      <c r="V18" s="714"/>
      <c r="W18" s="715"/>
      <c r="X18" s="1490"/>
      <c r="Y18" s="3490"/>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0"/>
      <c r="Q19" s="1487" t="str">
        <f t="shared" ref="Q19:Q33" si="8">B19</f>
        <v>区域土地利用方向</v>
      </c>
      <c r="R19" s="714" t="s">
        <v>17</v>
      </c>
      <c r="S19" s="715">
        <f>F19</f>
        <v>100</v>
      </c>
      <c r="T19" s="714" t="s">
        <v>17</v>
      </c>
      <c r="U19" s="715">
        <f>H19</f>
        <v>100</v>
      </c>
      <c r="V19" s="714" t="s">
        <v>17</v>
      </c>
      <c r="W19" s="715">
        <f>J19</f>
        <v>100</v>
      </c>
      <c r="X19" s="1490"/>
      <c r="Y19" s="349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0"/>
      <c r="Q20" s="1487"/>
      <c r="R20" s="714"/>
      <c r="S20" s="715"/>
      <c r="T20" s="714"/>
      <c r="U20" s="715"/>
      <c r="V20" s="714"/>
      <c r="W20" s="715"/>
      <c r="X20" s="1490"/>
      <c r="Y20" s="3490"/>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0"/>
      <c r="Q21" s="1487" t="str">
        <f t="shared" si="8"/>
        <v>环境状况</v>
      </c>
      <c r="R21" s="714" t="s">
        <v>17</v>
      </c>
      <c r="S21" s="715">
        <f>F21</f>
        <v>100</v>
      </c>
      <c r="T21" s="714" t="s">
        <v>17</v>
      </c>
      <c r="U21" s="715">
        <f>H21</f>
        <v>100</v>
      </c>
      <c r="V21" s="714" t="s">
        <v>17</v>
      </c>
      <c r="W21" s="715">
        <f>J21</f>
        <v>100</v>
      </c>
      <c r="X21" s="1490"/>
      <c r="Y21" s="349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0"/>
      <c r="Q22" s="1487"/>
      <c r="R22" s="714"/>
      <c r="S22" s="715"/>
      <c r="T22" s="714"/>
      <c r="U22" s="715"/>
      <c r="V22" s="714"/>
      <c r="W22" s="715"/>
      <c r="X22" s="1490"/>
      <c r="Y22" s="3490"/>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0"/>
      <c r="Q23" s="1478" t="str">
        <f t="shared" si="8"/>
        <v>公共配套设施</v>
      </c>
      <c r="R23" s="710" t="s">
        <v>17</v>
      </c>
      <c r="S23" s="711">
        <f>F23</f>
        <v>100</v>
      </c>
      <c r="T23" s="710" t="s">
        <v>17</v>
      </c>
      <c r="U23" s="711">
        <f>H23</f>
        <v>100</v>
      </c>
      <c r="V23" s="710" t="s">
        <v>17</v>
      </c>
      <c r="W23" s="711">
        <f>J23</f>
        <v>100</v>
      </c>
      <c r="X23" s="712"/>
      <c r="Y23" s="349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0"/>
      <c r="Q24" s="1478"/>
      <c r="R24" s="710"/>
      <c r="S24" s="711"/>
      <c r="T24" s="710"/>
      <c r="U24" s="711"/>
      <c r="V24" s="710"/>
      <c r="W24" s="711"/>
      <c r="X24" s="712"/>
      <c r="Y24" s="3490"/>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0"/>
      <c r="Q25" s="1478" t="str">
        <f t="shared" ref="Q25" si="9">B25</f>
        <v>基础设施水平</v>
      </c>
      <c r="R25" s="710" t="s">
        <v>17</v>
      </c>
      <c r="S25" s="711">
        <f>F25</f>
        <v>100</v>
      </c>
      <c r="T25" s="710" t="s">
        <v>17</v>
      </c>
      <c r="U25" s="711">
        <f>H25</f>
        <v>100</v>
      </c>
      <c r="V25" s="710" t="s">
        <v>17</v>
      </c>
      <c r="W25" s="711">
        <f>J25</f>
        <v>100</v>
      </c>
      <c r="X25" s="712"/>
      <c r="Y25" s="349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0"/>
      <c r="Q26" s="1478"/>
      <c r="R26" s="710"/>
      <c r="S26" s="711"/>
      <c r="T26" s="710"/>
      <c r="U26" s="711"/>
      <c r="V26" s="710"/>
      <c r="W26" s="711"/>
      <c r="X26" s="712"/>
      <c r="Y26" s="3490"/>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0"/>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0"/>
      <c r="Q28" s="1487" t="str">
        <f t="shared" si="8"/>
        <v>毗邻道路的类型与等级</v>
      </c>
      <c r="R28" s="714" t="s">
        <v>17</v>
      </c>
      <c r="S28" s="715">
        <f t="shared" si="10"/>
        <v>100</v>
      </c>
      <c r="T28" s="714" t="s">
        <v>17</v>
      </c>
      <c r="U28" s="715">
        <f t="shared" si="11"/>
        <v>100</v>
      </c>
      <c r="V28" s="714" t="s">
        <v>17</v>
      </c>
      <c r="W28" s="715">
        <f t="shared" si="12"/>
        <v>100</v>
      </c>
      <c r="X28" s="1490"/>
      <c r="Y28" s="349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0"/>
      <c r="Q29" s="1487"/>
      <c r="R29" s="714"/>
      <c r="S29" s="715"/>
      <c r="T29" s="714"/>
      <c r="U29" s="715"/>
      <c r="V29" s="714"/>
      <c r="W29" s="715"/>
      <c r="X29" s="1490"/>
      <c r="Y29" s="3490"/>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0"/>
      <c r="Q30" s="1487" t="str">
        <f t="shared" si="8"/>
        <v>土地级别</v>
      </c>
      <c r="R30" s="714" t="s">
        <v>17</v>
      </c>
      <c r="S30" s="715">
        <f t="shared" si="10"/>
        <v>100</v>
      </c>
      <c r="T30" s="714" t="s">
        <v>17</v>
      </c>
      <c r="U30" s="715">
        <f t="shared" si="11"/>
        <v>100</v>
      </c>
      <c r="V30" s="714" t="s">
        <v>17</v>
      </c>
      <c r="W30" s="715">
        <f t="shared" si="12"/>
        <v>100</v>
      </c>
      <c r="X30" s="1490"/>
      <c r="Y30" s="349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0"/>
      <c r="Q31" s="1487">
        <f t="shared" si="8"/>
        <v>111</v>
      </c>
      <c r="R31" s="714" t="s">
        <v>17</v>
      </c>
      <c r="S31" s="715">
        <f t="shared" si="10"/>
        <v>100</v>
      </c>
      <c r="T31" s="714" t="s">
        <v>17</v>
      </c>
      <c r="U31" s="715">
        <f t="shared" si="11"/>
        <v>100</v>
      </c>
      <c r="V31" s="714" t="s">
        <v>17</v>
      </c>
      <c r="W31" s="715">
        <f t="shared" si="12"/>
        <v>100</v>
      </c>
      <c r="X31" s="1490"/>
      <c r="Y31" s="349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3" t="s">
        <v>2144</v>
      </c>
      <c r="Q32" s="1487">
        <f t="shared" si="8"/>
        <v>111</v>
      </c>
      <c r="R32" s="714" t="s">
        <v>17</v>
      </c>
      <c r="S32" s="715">
        <f t="shared" si="10"/>
        <v>100</v>
      </c>
      <c r="T32" s="714" t="s">
        <v>17</v>
      </c>
      <c r="U32" s="715">
        <f t="shared" si="11"/>
        <v>100</v>
      </c>
      <c r="V32" s="714" t="s">
        <v>17</v>
      </c>
      <c r="W32" s="715">
        <f t="shared" si="12"/>
        <v>100</v>
      </c>
      <c r="X32" s="1490"/>
      <c r="Y32" s="3494"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4"/>
      <c r="Q33" s="1487">
        <f t="shared" si="8"/>
        <v>111</v>
      </c>
      <c r="R33" s="717" t="s">
        <v>17</v>
      </c>
      <c r="S33" s="718">
        <f t="shared" si="10"/>
        <v>100</v>
      </c>
      <c r="T33" s="717" t="s">
        <v>17</v>
      </c>
      <c r="U33" s="718">
        <f t="shared" si="11"/>
        <v>100</v>
      </c>
      <c r="V33" s="717" t="s">
        <v>17</v>
      </c>
      <c r="W33" s="718">
        <f t="shared" si="12"/>
        <v>100</v>
      </c>
      <c r="X33" s="719"/>
      <c r="Y33" s="3494"/>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4"/>
      <c r="Q34" s="1487" t="str">
        <f>B34</f>
        <v>宗地面积</v>
      </c>
      <c r="R34" s="714" t="s">
        <v>17</v>
      </c>
      <c r="S34" s="715" t="e">
        <f t="shared" si="10"/>
        <v>#N/A</v>
      </c>
      <c r="T34" s="714" t="s">
        <v>17</v>
      </c>
      <c r="U34" s="715" t="e">
        <f t="shared" si="11"/>
        <v>#N/A</v>
      </c>
      <c r="V34" s="714" t="s">
        <v>17</v>
      </c>
      <c r="W34" s="715" t="e">
        <f t="shared" si="12"/>
        <v>#N/A</v>
      </c>
      <c r="X34" s="1490"/>
      <c r="Y34" s="3494"/>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4"/>
      <c r="Q35" s="1487" t="str">
        <f t="shared" ref="Q35:Q40" si="14">B35</f>
        <v>宗地形状</v>
      </c>
      <c r="R35" s="714" t="s">
        <v>17</v>
      </c>
      <c r="S35" s="715">
        <f t="shared" si="10"/>
        <v>100</v>
      </c>
      <c r="T35" s="714" t="s">
        <v>17</v>
      </c>
      <c r="U35" s="715">
        <f t="shared" si="11"/>
        <v>100</v>
      </c>
      <c r="V35" s="714" t="s">
        <v>17</v>
      </c>
      <c r="W35" s="715">
        <f t="shared" si="12"/>
        <v>100</v>
      </c>
      <c r="X35" s="1490"/>
      <c r="Y35" s="3494"/>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4"/>
      <c r="Q36" s="1487" t="str">
        <f t="shared" si="14"/>
        <v>宗地开发程度</v>
      </c>
      <c r="R36" s="710" t="s">
        <v>17</v>
      </c>
      <c r="S36" s="711">
        <f t="shared" si="10"/>
        <v>100</v>
      </c>
      <c r="T36" s="710" t="s">
        <v>17</v>
      </c>
      <c r="U36" s="711">
        <f t="shared" si="11"/>
        <v>100</v>
      </c>
      <c r="V36" s="710" t="s">
        <v>17</v>
      </c>
      <c r="W36" s="711">
        <f t="shared" si="12"/>
        <v>100</v>
      </c>
      <c r="X36" s="712"/>
      <c r="Y36" s="3494"/>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4" t="s">
        <v>2144</v>
      </c>
      <c r="Q37" s="1487" t="str">
        <f t="shared" si="14"/>
        <v>工程地质条件</v>
      </c>
      <c r="R37" s="714" t="s">
        <v>17</v>
      </c>
      <c r="S37" s="715">
        <f t="shared" si="10"/>
        <v>100</v>
      </c>
      <c r="T37" s="714" t="s">
        <v>17</v>
      </c>
      <c r="U37" s="715">
        <f t="shared" si="11"/>
        <v>100</v>
      </c>
      <c r="V37" s="714" t="s">
        <v>17</v>
      </c>
      <c r="W37" s="715">
        <f t="shared" si="12"/>
        <v>100</v>
      </c>
      <c r="X37" s="1490"/>
      <c r="Y37" s="3494"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4"/>
      <c r="Q38" s="1487">
        <f t="shared" si="14"/>
        <v>111</v>
      </c>
      <c r="R38" s="714" t="s">
        <v>17</v>
      </c>
      <c r="S38" s="715">
        <f t="shared" si="10"/>
        <v>100</v>
      </c>
      <c r="T38" s="714" t="s">
        <v>17</v>
      </c>
      <c r="U38" s="715">
        <f t="shared" si="11"/>
        <v>100</v>
      </c>
      <c r="V38" s="714" t="s">
        <v>17</v>
      </c>
      <c r="W38" s="715">
        <f t="shared" si="12"/>
        <v>100</v>
      </c>
      <c r="X38" s="1490"/>
      <c r="Y38" s="349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4"/>
      <c r="Q39" s="1487">
        <f t="shared" si="14"/>
        <v>111</v>
      </c>
      <c r="R39" s="714" t="s">
        <v>17</v>
      </c>
      <c r="S39" s="715">
        <f t="shared" si="10"/>
        <v>100</v>
      </c>
      <c r="T39" s="714" t="s">
        <v>17</v>
      </c>
      <c r="U39" s="715">
        <f t="shared" si="11"/>
        <v>100</v>
      </c>
      <c r="V39" s="714" t="s">
        <v>17</v>
      </c>
      <c r="W39" s="715">
        <f t="shared" si="12"/>
        <v>100</v>
      </c>
      <c r="X39" s="1490"/>
      <c r="Y39" s="349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4"/>
      <c r="Q40" s="1487">
        <f t="shared" si="14"/>
        <v>111</v>
      </c>
      <c r="R40" s="717" t="s">
        <v>17</v>
      </c>
      <c r="S40" s="718">
        <f t="shared" si="10"/>
        <v>100</v>
      </c>
      <c r="T40" s="717" t="s">
        <v>17</v>
      </c>
      <c r="U40" s="718">
        <f t="shared" si="11"/>
        <v>100</v>
      </c>
      <c r="V40" s="717" t="s">
        <v>17</v>
      </c>
      <c r="W40" s="718">
        <f t="shared" si="12"/>
        <v>100</v>
      </c>
      <c r="X40" s="719"/>
      <c r="Y40" s="3494"/>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903"/>
      <c r="M41" s="2895"/>
      <c r="N41" s="2895"/>
      <c r="O41" s="2904"/>
      <c r="P41" s="3487" t="str">
        <f>A41</f>
        <v>成交单价</v>
      </c>
      <c r="Q41" s="3487"/>
      <c r="R41" s="3482">
        <f>E41</f>
        <v>0</v>
      </c>
      <c r="S41" s="3482"/>
      <c r="T41" s="3482">
        <f>G41</f>
        <v>0</v>
      </c>
      <c r="U41" s="3482"/>
      <c r="V41" s="3482">
        <f>I41</f>
        <v>0</v>
      </c>
      <c r="W41" s="3482"/>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87" t="str">
        <f>A42</f>
        <v>比较价值（元/平方米）</v>
      </c>
      <c r="Q42" s="3487"/>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3"/>
      <c r="M43" s="2895"/>
      <c r="N43" s="2895"/>
      <c r="O43" s="2904"/>
      <c r="P43" s="3484" t="str">
        <f>A43</f>
        <v>估价对象XX用房的比较价值（楼面单价，元/平方米）</v>
      </c>
      <c r="Q43" s="3485"/>
      <c r="R43" s="3516" t="e">
        <f>ROUND(IF(D42="简单平均",AVERAGE(R42:W42),R42*F42+T42*H42+V42*J42),0)</f>
        <v>#DIV/0!</v>
      </c>
      <c r="S43" s="3516"/>
      <c r="T43" s="3516"/>
      <c r="U43" s="3516"/>
      <c r="V43" s="3516"/>
      <c r="W43" s="3516"/>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70" t="s">
        <v>2343</v>
      </c>
      <c r="H50" s="3517"/>
      <c r="I50" s="1491" t="s">
        <v>2379</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t="e">
        <f>C43</f>
        <v>#DIV/0!</v>
      </c>
      <c r="C51" s="646">
        <v>1</v>
      </c>
      <c r="D51" s="1056">
        <v>1</v>
      </c>
      <c r="E51" s="646">
        <f>'数据-汇总表'!E8+'数据-汇总表'!E9</f>
        <v>5413.53</v>
      </c>
      <c r="F51" s="647" t="e">
        <f t="shared" ref="F51:F60" si="15">ROUND(B51*E51/10000,0)</f>
        <v>#DIV/0!</v>
      </c>
      <c r="G51" s="3469"/>
      <c r="H51" s="3487"/>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t="e">
        <f>ROUND($C$43*C52*D52,0)</f>
        <v>#DIV/0!</v>
      </c>
      <c r="C52" s="176">
        <f t="shared" ref="C52:C60" si="16">IF($C$50="北京市系数",I52,J52)</f>
        <v>0.6</v>
      </c>
      <c r="D52" s="1057">
        <v>0.25</v>
      </c>
      <c r="E52" s="650"/>
      <c r="F52" s="647" t="e">
        <f t="shared" si="15"/>
        <v>#DIV/0!</v>
      </c>
      <c r="G52" s="3228" t="s">
        <v>2348</v>
      </c>
      <c r="H52" s="999" t="str">
        <f>项目基本情况!B37</f>
        <v>三级</v>
      </c>
      <c r="I52" s="860">
        <f>SUMIF(修正!A57:A68,H52,修正!B57:B68)</f>
        <v>0.6</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t="e">
        <f t="shared" ref="B53:B60" si="17">ROUND($C$43*C53*D53,0)</f>
        <v>#DIV/0!</v>
      </c>
      <c r="C53" s="176">
        <f t="shared" si="16"/>
        <v>0.3</v>
      </c>
      <c r="D53" s="1057">
        <v>0.25</v>
      </c>
      <c r="E53" s="650"/>
      <c r="F53" s="647" t="e">
        <f t="shared" si="15"/>
        <v>#DIV/0!</v>
      </c>
      <c r="G53" s="3229"/>
      <c r="H53" s="999" t="str">
        <f>项目基本情况!B37</f>
        <v>三级</v>
      </c>
      <c r="I53" s="860">
        <f>SUMIF(修正!A57:A68,H53,修正!C57:C68)</f>
        <v>0.3</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t="e">
        <f t="shared" si="17"/>
        <v>#DIV/0!</v>
      </c>
      <c r="C54" s="176">
        <f t="shared" si="16"/>
        <v>0.25</v>
      </c>
      <c r="D54" s="1057">
        <v>0.25</v>
      </c>
      <c r="E54" s="650"/>
      <c r="F54" s="647" t="e">
        <f t="shared" si="15"/>
        <v>#DIV/0!</v>
      </c>
      <c r="G54" s="3229"/>
      <c r="H54" s="999" t="str">
        <f>项目基本情况!B37</f>
        <v>三级</v>
      </c>
      <c r="I54" s="860">
        <f>SUMIF(修正!A57:A68,H54,修正!D57:D68)</f>
        <v>0.25</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t="e">
        <f t="shared" si="17"/>
        <v>#DIV/0!</v>
      </c>
      <c r="C59" s="176">
        <f t="shared" si="16"/>
        <v>0.15</v>
      </c>
      <c r="D59" s="1057">
        <v>0.25</v>
      </c>
      <c r="E59" s="223">
        <f>'数据-汇总表'!E14</f>
        <v>0</v>
      </c>
      <c r="F59" s="647" t="e">
        <f t="shared" si="15"/>
        <v>#DIV/0!</v>
      </c>
      <c r="G59" s="2124" t="s">
        <v>2348</v>
      </c>
      <c r="H59" s="999" t="str">
        <f>项目基本情况!B37</f>
        <v>三级</v>
      </c>
      <c r="I59" s="860">
        <f>SUMIF(修正!A57:A68,H59,修正!G57:G68)</f>
        <v>0.15</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t="e">
        <f>IF(F3="宗地容积率",'数据-汇总表'!I4,IF(F3="估价对象容积率",'数据-汇总表'!I6,'数据-汇总表'!I7))</f>
        <v>#DIV/0!</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1"/>
      <c r="B4" s="3542"/>
      <c r="C4" s="3542"/>
      <c r="D4" s="3543"/>
      <c r="E4" s="3543"/>
      <c r="F4" s="3543"/>
      <c r="G4" s="3543"/>
      <c r="H4" s="3543"/>
      <c r="I4" s="3543"/>
      <c r="J4" s="3544"/>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2"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2413</v>
      </c>
      <c r="X7" s="1329">
        <f>G2</f>
        <v>0</v>
      </c>
      <c r="Y7" s="1329" t="s">
        <v>2414</v>
      </c>
      <c r="Z7" s="1330" t="e">
        <f>G3</f>
        <v>#DIV/0!</v>
      </c>
      <c r="AA7" s="1331"/>
      <c r="AB7" s="1331"/>
      <c r="AC7" s="1332"/>
      <c r="AD7" s="1333"/>
      <c r="AE7" s="1333"/>
      <c r="AF7" s="1333"/>
      <c r="AG7" s="1333"/>
      <c r="AH7" s="1333"/>
      <c r="AI7" s="1333"/>
      <c r="AJ7" s="1334"/>
    </row>
    <row r="8" spans="1:36" ht="15">
      <c r="A8" s="3545"/>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8" t="s">
        <v>2418</v>
      </c>
      <c r="X8" s="3539"/>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5"/>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0"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5"/>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5"/>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0" t="s">
        <v>2442</v>
      </c>
      <c r="X11" s="1339" t="s">
        <v>2443</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2"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0"/>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6"/>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0"/>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46"/>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7"/>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2" t="s">
        <v>2461</v>
      </c>
      <c r="B16" s="2160" t="s">
        <v>2462</v>
      </c>
      <c r="C16" s="2322" t="e">
        <f>ROUND(IF(F17="与级别开发程度一致",0,(G17-E17)/C17),0)</f>
        <v>#DIV/0!</v>
      </c>
      <c r="D16" s="3535" t="s">
        <v>2466</v>
      </c>
      <c r="E16" s="3536"/>
      <c r="F16" s="3535" t="s">
        <v>2463</v>
      </c>
      <c r="G16" s="353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3"/>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44869</v>
      </c>
      <c r="H19" s="2203"/>
      <c r="I19" s="848" t="str">
        <f>IF(H19="季度增幅（自定义）",SUMIF(N21:N24,E2,O21:O24),"")</f>
        <v/>
      </c>
      <c r="J19" s="2200"/>
      <c r="K19" s="1240"/>
      <c r="L19" s="2204" t="s">
        <v>2472</v>
      </c>
      <c r="M19" s="1449">
        <f>ROUND(SUMIF(地价!B2:F2,E2,地价!B37:F37),0)</f>
        <v>0</v>
      </c>
      <c r="N19" s="2205"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2474</v>
      </c>
      <c r="C20" s="850" t="e">
        <f>ROUND(POWER(1+G20,J20-I20)*(POWER(1+G20,I20)-1)/(POWER(1+G20,J20)-1),4)</f>
        <v>#DIV/0!</v>
      </c>
      <c r="D20" s="2209" t="s">
        <v>2475</v>
      </c>
      <c r="E20" s="1456">
        <f>存贷款利率!E22/100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2481</v>
      </c>
      <c r="C21" s="857" t="e">
        <f>IF(B21="容积率修正",IF(G3&lt;=10,D22,J22),C23)</f>
        <v>#DIV/0!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2483</v>
      </c>
      <c r="B22" s="2219" t="s">
        <v>2484</v>
      </c>
      <c r="C22" s="1487" t="s">
        <v>2485</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2487</v>
      </c>
      <c r="B23" s="2220" t="s">
        <v>2488</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2"/>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7"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3"/>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3"/>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4"/>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4" t="s">
        <v>2549</v>
      </c>
      <c r="B90" s="3524"/>
      <c r="C90" s="3524"/>
      <c r="D90" s="3524"/>
      <c r="E90" s="3524"/>
      <c r="F90" s="3524"/>
      <c r="G90" s="3524"/>
      <c r="H90" s="3524"/>
      <c r="I90" s="3524"/>
      <c r="J90" s="3524"/>
      <c r="K90" s="2294"/>
      <c r="L90" s="2294"/>
      <c r="M90" s="2294"/>
      <c r="N90" s="2294"/>
    </row>
    <row r="91" spans="1:37">
      <c r="A91" s="3526" t="s">
        <v>2550</v>
      </c>
      <c r="B91" s="3526" t="s">
        <v>2551</v>
      </c>
      <c r="C91" s="2248" t="s">
        <v>2552</v>
      </c>
      <c r="D91" s="2249"/>
      <c r="E91" s="2249"/>
      <c r="F91" s="2249"/>
      <c r="G91" s="2249"/>
      <c r="H91" s="2249"/>
      <c r="I91" s="2249"/>
      <c r="J91" s="2295"/>
      <c r="K91" s="2296"/>
      <c r="L91" s="2296"/>
      <c r="M91" s="2296"/>
      <c r="N91" s="2296"/>
    </row>
    <row r="92" spans="1:37">
      <c r="A92" s="3526"/>
      <c r="B92" s="3526"/>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27"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8"/>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7" t="s">
        <v>2554</v>
      </c>
      <c r="B101" s="2301" t="s">
        <v>2555</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28"/>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28"/>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28"/>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28"/>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28"/>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28"/>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28"/>
      <c r="B108" s="3530"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9"/>
      <c r="B109" s="3531"/>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25" t="s">
        <v>2557</v>
      </c>
      <c r="B110" s="3525"/>
      <c r="C110" s="3525"/>
      <c r="D110" s="3525"/>
      <c r="E110" s="3525"/>
      <c r="F110" s="3525"/>
      <c r="G110" s="3525"/>
      <c r="H110" s="3525"/>
      <c r="I110" s="3525"/>
      <c r="J110" s="3525"/>
      <c r="K110" s="2303"/>
      <c r="L110" s="2303"/>
      <c r="M110" s="2303"/>
      <c r="N110" s="2303"/>
    </row>
    <row r="112" spans="1:14" ht="13.5" thickBot="1"/>
    <row r="113" spans="1:13" ht="25.5" thickBot="1">
      <c r="A113" s="824" t="s">
        <v>2558</v>
      </c>
      <c r="B113" s="1178" t="e">
        <f>G3</f>
        <v>#DIV/0!</v>
      </c>
      <c r="C113" s="825" t="s">
        <v>2559</v>
      </c>
      <c r="D113" s="826" t="e">
        <f>SUMPRODUCT((A115:A118=F113)*(B114:M114=H113)*B115:M118)</f>
        <v>#DIV/0!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2458</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2459</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2460</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5" t="s">
        <v>2954</v>
      </c>
      <c r="B20" s="3548" t="s">
        <v>2955</v>
      </c>
      <c r="C20" s="3213" t="s">
        <v>2956</v>
      </c>
      <c r="D20" s="3214"/>
      <c r="E20" s="3215">
        <v>1</v>
      </c>
      <c r="F20" s="3216" t="s">
        <v>2957</v>
      </c>
      <c r="G20" s="807"/>
      <c r="H20" s="801"/>
      <c r="I20" s="801"/>
    </row>
    <row r="21" spans="1:13" s="808" customFormat="1" ht="19.5" customHeight="1">
      <c r="A21" s="3556"/>
      <c r="B21" s="3549"/>
      <c r="C21" s="805" t="s">
        <v>2958</v>
      </c>
      <c r="D21" s="806"/>
      <c r="E21" s="3217">
        <v>1</v>
      </c>
      <c r="F21" s="3216" t="s">
        <v>2959</v>
      </c>
      <c r="G21" s="807"/>
      <c r="H21" s="801"/>
      <c r="I21" s="801"/>
    </row>
    <row r="22" spans="1:13" s="808" customFormat="1" ht="19.5" customHeight="1">
      <c r="A22" s="3556"/>
      <c r="B22" s="3549"/>
      <c r="C22" s="805" t="s">
        <v>2960</v>
      </c>
      <c r="D22" s="806"/>
      <c r="E22" s="3217">
        <v>0.9</v>
      </c>
      <c r="F22" s="3216" t="s">
        <v>2961</v>
      </c>
      <c r="G22" s="807"/>
      <c r="H22" s="801"/>
      <c r="I22" s="801"/>
    </row>
    <row r="23" spans="1:13" s="808" customFormat="1" ht="19.5" customHeight="1">
      <c r="A23" s="3556"/>
      <c r="B23" s="3549"/>
      <c r="C23" s="805" t="s">
        <v>2962</v>
      </c>
      <c r="D23" s="806"/>
      <c r="E23" s="3217">
        <v>0.9</v>
      </c>
      <c r="F23" s="3216" t="s">
        <v>2963</v>
      </c>
      <c r="G23" s="807"/>
      <c r="H23" s="801"/>
      <c r="I23" s="801"/>
    </row>
    <row r="24" spans="1:13" s="808" customFormat="1" ht="19.5" customHeight="1">
      <c r="A24" s="3556"/>
      <c r="B24" s="3549"/>
      <c r="C24" s="805" t="s">
        <v>2964</v>
      </c>
      <c r="D24" s="806"/>
      <c r="E24" s="3217">
        <v>0.8</v>
      </c>
      <c r="F24" s="3216" t="s">
        <v>2965</v>
      </c>
      <c r="G24" s="807"/>
      <c r="H24" s="801"/>
      <c r="I24" s="801"/>
    </row>
    <row r="25" spans="1:13" s="808" customFormat="1" ht="19.5" customHeight="1" thickBot="1">
      <c r="A25" s="3557"/>
      <c r="B25" s="3550"/>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1" t="s">
        <v>2971</v>
      </c>
      <c r="B27" s="3548" t="s">
        <v>2971</v>
      </c>
      <c r="C27" s="3213" t="s">
        <v>2972</v>
      </c>
      <c r="D27" s="3214"/>
      <c r="E27" s="3215">
        <v>1</v>
      </c>
      <c r="F27" s="3216" t="s">
        <v>2973</v>
      </c>
      <c r="G27" s="807"/>
      <c r="H27" s="801"/>
      <c r="I27" s="801"/>
    </row>
    <row r="28" spans="1:13" s="808" customFormat="1" ht="19.5" customHeight="1">
      <c r="A28" s="3552"/>
      <c r="B28" s="3549"/>
      <c r="C28" s="805" t="s">
        <v>2974</v>
      </c>
      <c r="D28" s="806"/>
      <c r="E28" s="3217">
        <v>1</v>
      </c>
      <c r="F28" s="3216" t="s">
        <v>2975</v>
      </c>
      <c r="G28" s="807"/>
      <c r="H28" s="801"/>
      <c r="I28" s="801"/>
    </row>
    <row r="29" spans="1:13" s="808" customFormat="1" ht="19.5" customHeight="1">
      <c r="A29" s="3552"/>
      <c r="B29" s="3549"/>
      <c r="C29" s="805" t="s">
        <v>2976</v>
      </c>
      <c r="D29" s="806"/>
      <c r="E29" s="3217">
        <v>0.8</v>
      </c>
      <c r="F29" s="3216" t="s">
        <v>2977</v>
      </c>
      <c r="G29" s="807"/>
      <c r="H29" s="801"/>
      <c r="I29" s="801"/>
    </row>
    <row r="30" spans="1:13" s="808" customFormat="1" ht="19.5" customHeight="1">
      <c r="A30" s="3552"/>
      <c r="B30" s="3549"/>
      <c r="C30" s="805" t="s">
        <v>2978</v>
      </c>
      <c r="D30" s="806"/>
      <c r="E30" s="3217">
        <v>0.8</v>
      </c>
      <c r="F30" s="3216" t="s">
        <v>2979</v>
      </c>
      <c r="G30" s="807"/>
      <c r="H30" s="801"/>
      <c r="I30" s="801"/>
    </row>
    <row r="31" spans="1:13" s="808" customFormat="1" ht="19.5" customHeight="1">
      <c r="A31" s="3552"/>
      <c r="B31" s="3549"/>
      <c r="C31" s="805" t="s">
        <v>2980</v>
      </c>
      <c r="D31" s="806"/>
      <c r="E31" s="3217">
        <v>0.8</v>
      </c>
      <c r="F31" s="3216" t="s">
        <v>2981</v>
      </c>
      <c r="G31" s="807"/>
      <c r="H31" s="801"/>
      <c r="I31" s="801"/>
    </row>
    <row r="32" spans="1:13" s="808" customFormat="1" ht="19.5" customHeight="1">
      <c r="A32" s="3552"/>
      <c r="B32" s="3549"/>
      <c r="C32" s="805" t="s">
        <v>2982</v>
      </c>
      <c r="D32" s="806"/>
      <c r="E32" s="3217">
        <v>0.7</v>
      </c>
      <c r="F32" s="3216" t="s">
        <v>2983</v>
      </c>
      <c r="G32" s="807"/>
      <c r="H32" s="801"/>
      <c r="I32" s="801"/>
    </row>
    <row r="33" spans="1:9" s="808" customFormat="1" ht="19.5" customHeight="1">
      <c r="A33" s="3552"/>
      <c r="B33" s="3549"/>
      <c r="C33" s="805" t="s">
        <v>2984</v>
      </c>
      <c r="D33" s="806"/>
      <c r="E33" s="3217">
        <v>0.8</v>
      </c>
      <c r="F33" s="3216" t="s">
        <v>2985</v>
      </c>
      <c r="G33" s="807"/>
      <c r="H33" s="801"/>
      <c r="I33" s="801"/>
    </row>
    <row r="34" spans="1:9" s="808" customFormat="1" ht="19.5" customHeight="1">
      <c r="A34" s="3552"/>
      <c r="B34" s="3549"/>
      <c r="C34" s="805" t="s">
        <v>2986</v>
      </c>
      <c r="D34" s="806"/>
      <c r="E34" s="3217">
        <v>0.6</v>
      </c>
      <c r="F34" s="3216" t="s">
        <v>2987</v>
      </c>
      <c r="G34" s="807"/>
      <c r="H34" s="801"/>
      <c r="I34" s="801"/>
    </row>
    <row r="35" spans="1:9" s="808" customFormat="1" ht="19.5" customHeight="1">
      <c r="A35" s="3552"/>
      <c r="B35" s="3549"/>
      <c r="C35" s="805" t="s">
        <v>2988</v>
      </c>
      <c r="D35" s="806"/>
      <c r="E35" s="3217">
        <v>0.2</v>
      </c>
      <c r="F35" s="3216" t="s">
        <v>2989</v>
      </c>
      <c r="G35" s="807"/>
      <c r="H35" s="801"/>
      <c r="I35" s="801"/>
    </row>
    <row r="36" spans="1:9" s="808" customFormat="1" ht="19.5" customHeight="1">
      <c r="A36" s="3552"/>
      <c r="B36" s="3549"/>
      <c r="C36" s="805" t="s">
        <v>2990</v>
      </c>
      <c r="D36" s="806"/>
      <c r="E36" s="3217">
        <v>0.2</v>
      </c>
      <c r="F36" s="3216" t="s">
        <v>2991</v>
      </c>
      <c r="G36" s="807"/>
      <c r="H36" s="801"/>
      <c r="I36" s="801"/>
    </row>
    <row r="37" spans="1:9" s="808" customFormat="1" ht="19.5" customHeight="1">
      <c r="A37" s="3552"/>
      <c r="B37" s="3554" t="s">
        <v>2992</v>
      </c>
      <c r="C37" s="805" t="s">
        <v>2993</v>
      </c>
      <c r="D37" s="806"/>
      <c r="E37" s="3217">
        <v>0.6</v>
      </c>
      <c r="F37" s="3216" t="s">
        <v>2994</v>
      </c>
      <c r="G37" s="807"/>
      <c r="H37" s="801"/>
      <c r="I37" s="801"/>
    </row>
    <row r="38" spans="1:9" s="808" customFormat="1" ht="19.5" customHeight="1">
      <c r="A38" s="3552"/>
      <c r="B38" s="3549"/>
      <c r="C38" s="805" t="s">
        <v>2995</v>
      </c>
      <c r="D38" s="806"/>
      <c r="E38" s="3217">
        <v>0.6</v>
      </c>
      <c r="F38" s="3216" t="s">
        <v>2996</v>
      </c>
      <c r="G38" s="807"/>
      <c r="H38" s="801"/>
      <c r="I38" s="801"/>
    </row>
    <row r="39" spans="1:9" s="808" customFormat="1" ht="19.5" customHeight="1" thickBot="1">
      <c r="A39" s="3553"/>
      <c r="B39" s="3550"/>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5" t="s">
        <v>3002</v>
      </c>
      <c r="B41" s="3548" t="s">
        <v>3003</v>
      </c>
      <c r="C41" s="3213" t="s">
        <v>3004</v>
      </c>
      <c r="D41" s="3214"/>
      <c r="E41" s="3215">
        <v>1</v>
      </c>
      <c r="F41" s="3216" t="s">
        <v>3005</v>
      </c>
      <c r="G41" s="807"/>
      <c r="H41" s="801"/>
      <c r="I41" s="801"/>
    </row>
    <row r="42" spans="1:9" s="808" customFormat="1" ht="19.5" customHeight="1">
      <c r="A42" s="3556"/>
      <c r="B42" s="3549"/>
      <c r="C42" s="805" t="s">
        <v>3006</v>
      </c>
      <c r="D42" s="806"/>
      <c r="E42" s="3217">
        <v>1</v>
      </c>
      <c r="F42" s="3216" t="s">
        <v>3007</v>
      </c>
      <c r="G42" s="807"/>
      <c r="H42" s="801"/>
      <c r="I42" s="801"/>
    </row>
    <row r="43" spans="1:9" s="808" customFormat="1" ht="19.5" customHeight="1">
      <c r="A43" s="3556"/>
      <c r="B43" s="3558"/>
      <c r="C43" s="805" t="s">
        <v>3008</v>
      </c>
      <c r="D43" s="806"/>
      <c r="E43" s="3217">
        <v>1.5</v>
      </c>
      <c r="F43" s="3216" t="s">
        <v>3009</v>
      </c>
      <c r="G43" s="807"/>
      <c r="H43" s="801"/>
      <c r="I43" s="801"/>
    </row>
    <row r="44" spans="1:9" s="808" customFormat="1" ht="19.5" customHeight="1">
      <c r="A44" s="3556"/>
      <c r="B44" s="3226" t="s">
        <v>2971</v>
      </c>
      <c r="C44" s="805" t="s">
        <v>3010</v>
      </c>
      <c r="D44" s="806"/>
      <c r="E44" s="3217">
        <v>2</v>
      </c>
      <c r="F44" s="3216" t="s">
        <v>3011</v>
      </c>
      <c r="G44" s="807"/>
      <c r="H44" s="801"/>
      <c r="I44" s="801"/>
    </row>
    <row r="45" spans="1:9" s="808" customFormat="1" ht="19.5" customHeight="1">
      <c r="A45" s="3556"/>
      <c r="B45" s="3554" t="s">
        <v>3012</v>
      </c>
      <c r="C45" s="805" t="s">
        <v>3013</v>
      </c>
      <c r="D45" s="806"/>
      <c r="E45" s="3217">
        <v>1</v>
      </c>
      <c r="F45" s="3216" t="s">
        <v>3014</v>
      </c>
      <c r="G45" s="807"/>
      <c r="H45" s="801"/>
      <c r="I45" s="801"/>
    </row>
    <row r="46" spans="1:9" s="808" customFormat="1" ht="19.5" customHeight="1">
      <c r="A46" s="3556"/>
      <c r="B46" s="3549"/>
      <c r="C46" s="805" t="s">
        <v>3015</v>
      </c>
      <c r="D46" s="806"/>
      <c r="E46" s="3217">
        <v>1</v>
      </c>
      <c r="F46" s="3216" t="s">
        <v>3016</v>
      </c>
      <c r="G46" s="807"/>
      <c r="H46" s="801"/>
      <c r="I46" s="801"/>
    </row>
    <row r="47" spans="1:9" s="808" customFormat="1" ht="19.5" customHeight="1">
      <c r="A47" s="3556"/>
      <c r="B47" s="3549"/>
      <c r="C47" s="805" t="s">
        <v>3017</v>
      </c>
      <c r="D47" s="806"/>
      <c r="E47" s="3217">
        <v>1</v>
      </c>
      <c r="F47" s="3216" t="s">
        <v>3018</v>
      </c>
      <c r="G47" s="807"/>
      <c r="H47" s="801"/>
      <c r="I47" s="801"/>
    </row>
    <row r="48" spans="1:9" s="808" customFormat="1" ht="19.5" customHeight="1">
      <c r="A48" s="3556"/>
      <c r="B48" s="3549"/>
      <c r="C48" s="805" t="s">
        <v>3019</v>
      </c>
      <c r="D48" s="806"/>
      <c r="E48" s="3217">
        <v>1</v>
      </c>
      <c r="F48" s="3216" t="s">
        <v>3020</v>
      </c>
      <c r="G48" s="807"/>
      <c r="H48" s="801"/>
      <c r="I48" s="801"/>
    </row>
    <row r="49" spans="1:9" s="808" customFormat="1" ht="19.5" customHeight="1">
      <c r="A49" s="3556"/>
      <c r="B49" s="3549"/>
      <c r="C49" s="805" t="s">
        <v>3021</v>
      </c>
      <c r="D49" s="806"/>
      <c r="E49" s="3217">
        <v>1</v>
      </c>
      <c r="F49" s="3216" t="s">
        <v>3022</v>
      </c>
      <c r="G49" s="807"/>
      <c r="H49" s="801"/>
      <c r="I49" s="801"/>
    </row>
    <row r="50" spans="1:9" s="808" customFormat="1" ht="19.5" customHeight="1">
      <c r="A50" s="3556"/>
      <c r="B50" s="3549"/>
      <c r="C50" s="805" t="s">
        <v>3023</v>
      </c>
      <c r="D50" s="806"/>
      <c r="E50" s="3217">
        <v>1</v>
      </c>
      <c r="F50" s="3216" t="s">
        <v>3024</v>
      </c>
      <c r="G50" s="807"/>
      <c r="H50" s="801"/>
      <c r="I50" s="801"/>
    </row>
    <row r="51" spans="1:9" s="808" customFormat="1" ht="19.5" customHeight="1" thickBot="1">
      <c r="A51" s="3557"/>
      <c r="B51" s="3550"/>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54" t="s">
        <v>3028</v>
      </c>
      <c r="C73" s="3206" t="s">
        <v>3029</v>
      </c>
      <c r="D73" s="3206" t="s">
        <v>3030</v>
      </c>
      <c r="E73" s="3227">
        <v>0.2</v>
      </c>
      <c r="F73" s="3226">
        <v>25</v>
      </c>
    </row>
    <row r="74" spans="1:7" s="801" customFormat="1" ht="24">
      <c r="A74" s="3226">
        <v>2</v>
      </c>
      <c r="B74" s="3549"/>
      <c r="C74" s="3206" t="s">
        <v>3031</v>
      </c>
      <c r="D74" s="3206" t="s">
        <v>3032</v>
      </c>
      <c r="E74" s="3227">
        <v>0.2</v>
      </c>
      <c r="F74" s="3226">
        <v>25</v>
      </c>
    </row>
    <row r="75" spans="1:7" s="801" customFormat="1" ht="24">
      <c r="A75" s="3226">
        <v>3</v>
      </c>
      <c r="B75" s="3549"/>
      <c r="C75" s="3206" t="s">
        <v>3033</v>
      </c>
      <c r="D75" s="3206" t="s">
        <v>3034</v>
      </c>
      <c r="E75" s="3227">
        <v>0.2</v>
      </c>
      <c r="F75" s="3226">
        <v>25</v>
      </c>
    </row>
    <row r="76" spans="1:7" s="801" customFormat="1" ht="13.5">
      <c r="A76" s="3226">
        <v>4</v>
      </c>
      <c r="B76" s="3549"/>
      <c r="C76" s="3206" t="s">
        <v>3035</v>
      </c>
      <c r="D76" s="3206" t="s">
        <v>3036</v>
      </c>
      <c r="E76" s="3227">
        <v>0.15</v>
      </c>
      <c r="F76" s="3226">
        <v>20</v>
      </c>
    </row>
    <row r="77" spans="1:7" s="801" customFormat="1" ht="24">
      <c r="A77" s="3226">
        <v>5</v>
      </c>
      <c r="B77" s="3549"/>
      <c r="C77" s="3206" t="s">
        <v>3037</v>
      </c>
      <c r="D77" s="3206" t="s">
        <v>3038</v>
      </c>
      <c r="E77" s="3227">
        <v>0.15</v>
      </c>
      <c r="F77" s="3226">
        <v>20</v>
      </c>
    </row>
    <row r="78" spans="1:7" s="801" customFormat="1" ht="24">
      <c r="A78" s="3226">
        <v>6</v>
      </c>
      <c r="B78" s="3549"/>
      <c r="C78" s="3206" t="s">
        <v>3039</v>
      </c>
      <c r="D78" s="3206" t="s">
        <v>3040</v>
      </c>
      <c r="E78" s="3227">
        <v>0.15</v>
      </c>
      <c r="F78" s="3226">
        <v>20</v>
      </c>
    </row>
    <row r="79" spans="1:7" s="801" customFormat="1" ht="24">
      <c r="A79" s="3226">
        <v>7</v>
      </c>
      <c r="B79" s="3549"/>
      <c r="C79" s="3206" t="s">
        <v>3041</v>
      </c>
      <c r="D79" s="3206" t="s">
        <v>3042</v>
      </c>
      <c r="E79" s="3227">
        <v>0.15</v>
      </c>
      <c r="F79" s="3226">
        <v>20</v>
      </c>
    </row>
    <row r="80" spans="1:7" s="801" customFormat="1" ht="24">
      <c r="A80" s="3226">
        <v>8</v>
      </c>
      <c r="B80" s="3549"/>
      <c r="C80" s="3206" t="s">
        <v>3043</v>
      </c>
      <c r="D80" s="3206" t="s">
        <v>3044</v>
      </c>
      <c r="E80" s="3227">
        <v>0.1</v>
      </c>
      <c r="F80" s="3226">
        <v>15</v>
      </c>
    </row>
    <row r="81" spans="1:6" s="801" customFormat="1" ht="24">
      <c r="A81" s="3226">
        <v>9</v>
      </c>
      <c r="B81" s="3549"/>
      <c r="C81" s="3206" t="s">
        <v>3045</v>
      </c>
      <c r="D81" s="3206" t="s">
        <v>3046</v>
      </c>
      <c r="E81" s="3227">
        <v>0.1</v>
      </c>
      <c r="F81" s="3226">
        <v>15</v>
      </c>
    </row>
    <row r="82" spans="1:6" s="801" customFormat="1" ht="24">
      <c r="A82" s="3226">
        <v>10</v>
      </c>
      <c r="B82" s="3549"/>
      <c r="C82" s="3206" t="s">
        <v>3047</v>
      </c>
      <c r="D82" s="3206" t="s">
        <v>3048</v>
      </c>
      <c r="E82" s="3227">
        <v>0.1</v>
      </c>
      <c r="F82" s="3226">
        <v>15</v>
      </c>
    </row>
    <row r="83" spans="1:6" s="801" customFormat="1" ht="24">
      <c r="A83" s="3226">
        <v>11</v>
      </c>
      <c r="B83" s="3549"/>
      <c r="C83" s="3206" t="s">
        <v>3049</v>
      </c>
      <c r="D83" s="3206" t="s">
        <v>3050</v>
      </c>
      <c r="E83" s="3227">
        <v>0.1</v>
      </c>
      <c r="F83" s="3226">
        <v>15</v>
      </c>
    </row>
    <row r="84" spans="1:6" s="801" customFormat="1" ht="24">
      <c r="A84" s="3226">
        <v>12</v>
      </c>
      <c r="B84" s="3549"/>
      <c r="C84" s="3206" t="s">
        <v>3051</v>
      </c>
      <c r="D84" s="3206" t="s">
        <v>3052</v>
      </c>
      <c r="E84" s="3227">
        <v>0.1</v>
      </c>
      <c r="F84" s="3226">
        <v>15</v>
      </c>
    </row>
    <row r="85" spans="1:6" s="801" customFormat="1" ht="13.5">
      <c r="A85" s="3226">
        <v>13</v>
      </c>
      <c r="B85" s="3549"/>
      <c r="C85" s="3206" t="s">
        <v>3053</v>
      </c>
      <c r="D85" s="3206" t="s">
        <v>3054</v>
      </c>
      <c r="E85" s="3227">
        <v>0.1</v>
      </c>
      <c r="F85" s="3226">
        <v>15</v>
      </c>
    </row>
    <row r="86" spans="1:6" s="801" customFormat="1" ht="13.5">
      <c r="A86" s="3226">
        <v>14</v>
      </c>
      <c r="B86" s="3549"/>
      <c r="C86" s="3206" t="s">
        <v>3055</v>
      </c>
      <c r="D86" s="3206" t="s">
        <v>3056</v>
      </c>
      <c r="E86" s="3227">
        <v>0.1</v>
      </c>
      <c r="F86" s="3226">
        <v>15</v>
      </c>
    </row>
    <row r="87" spans="1:6" s="801" customFormat="1" ht="13.5">
      <c r="A87" s="3226">
        <v>15</v>
      </c>
      <c r="B87" s="3549"/>
      <c r="C87" s="3206" t="s">
        <v>3057</v>
      </c>
      <c r="D87" s="3206" t="s">
        <v>3058</v>
      </c>
      <c r="E87" s="3227">
        <v>0.1</v>
      </c>
      <c r="F87" s="3226">
        <v>15</v>
      </c>
    </row>
    <row r="88" spans="1:6" s="801" customFormat="1" ht="24">
      <c r="A88" s="3226">
        <v>16</v>
      </c>
      <c r="B88" s="3549"/>
      <c r="C88" s="3206" t="s">
        <v>3059</v>
      </c>
      <c r="D88" s="3206" t="s">
        <v>3060</v>
      </c>
      <c r="E88" s="3227">
        <v>0.1</v>
      </c>
      <c r="F88" s="3226">
        <v>15</v>
      </c>
    </row>
    <row r="89" spans="1:6" s="801" customFormat="1" ht="24">
      <c r="A89" s="3226">
        <v>17</v>
      </c>
      <c r="B89" s="3558"/>
      <c r="C89" s="3206" t="s">
        <v>3061</v>
      </c>
      <c r="D89" s="3206" t="s">
        <v>3062</v>
      </c>
      <c r="E89" s="3227">
        <v>0.1</v>
      </c>
      <c r="F89" s="3226">
        <v>15</v>
      </c>
    </row>
    <row r="90" spans="1:6" s="801" customFormat="1" ht="13.5">
      <c r="A90" s="3226">
        <v>18</v>
      </c>
      <c r="B90" s="3554" t="s">
        <v>3063</v>
      </c>
      <c r="C90" s="3206" t="s">
        <v>3064</v>
      </c>
      <c r="D90" s="3206" t="s">
        <v>3065</v>
      </c>
      <c r="E90" s="3227">
        <v>0.2</v>
      </c>
      <c r="F90" s="3226">
        <v>25</v>
      </c>
    </row>
    <row r="91" spans="1:6" s="801" customFormat="1" ht="24">
      <c r="A91" s="3226">
        <v>19</v>
      </c>
      <c r="B91" s="3549"/>
      <c r="C91" s="3206" t="s">
        <v>3066</v>
      </c>
      <c r="D91" s="3206" t="s">
        <v>3067</v>
      </c>
      <c r="E91" s="3227">
        <v>0.2</v>
      </c>
      <c r="F91" s="3226">
        <v>25</v>
      </c>
    </row>
    <row r="92" spans="1:6" s="801" customFormat="1" ht="13.5">
      <c r="A92" s="3226">
        <v>20</v>
      </c>
      <c r="B92" s="3549"/>
      <c r="C92" s="3206" t="s">
        <v>3068</v>
      </c>
      <c r="D92" s="3206" t="s">
        <v>3069</v>
      </c>
      <c r="E92" s="3227">
        <v>0.15</v>
      </c>
      <c r="F92" s="3226">
        <v>20</v>
      </c>
    </row>
    <row r="93" spans="1:6" s="801" customFormat="1" ht="24">
      <c r="A93" s="3226">
        <v>21</v>
      </c>
      <c r="B93" s="3549"/>
      <c r="C93" s="3206" t="s">
        <v>3070</v>
      </c>
      <c r="D93" s="3206" t="s">
        <v>3071</v>
      </c>
      <c r="E93" s="3227">
        <v>0.15</v>
      </c>
      <c r="F93" s="3226">
        <v>20</v>
      </c>
    </row>
    <row r="94" spans="1:6" s="801" customFormat="1" ht="24">
      <c r="A94" s="3226">
        <v>22</v>
      </c>
      <c r="B94" s="3549"/>
      <c r="C94" s="3206" t="s">
        <v>3072</v>
      </c>
      <c r="D94" s="3206" t="s">
        <v>3073</v>
      </c>
      <c r="E94" s="3227">
        <v>0.15</v>
      </c>
      <c r="F94" s="3226">
        <v>20</v>
      </c>
    </row>
    <row r="95" spans="1:6" s="801" customFormat="1" ht="36">
      <c r="A95" s="3226">
        <v>23</v>
      </c>
      <c r="B95" s="3549"/>
      <c r="C95" s="3206" t="s">
        <v>3074</v>
      </c>
      <c r="D95" s="3206" t="s">
        <v>3075</v>
      </c>
      <c r="E95" s="3227">
        <v>0.15</v>
      </c>
      <c r="F95" s="3226">
        <v>20</v>
      </c>
    </row>
    <row r="96" spans="1:6" s="801" customFormat="1" ht="13.5">
      <c r="A96" s="3226">
        <v>24</v>
      </c>
      <c r="B96" s="3549"/>
      <c r="C96" s="3206" t="s">
        <v>3076</v>
      </c>
      <c r="D96" s="3206" t="s">
        <v>3077</v>
      </c>
      <c r="E96" s="3227">
        <v>0.1</v>
      </c>
      <c r="F96" s="3226">
        <v>15</v>
      </c>
    </row>
    <row r="97" spans="1:6" s="801" customFormat="1" ht="24">
      <c r="A97" s="3226">
        <v>25</v>
      </c>
      <c r="B97" s="3549"/>
      <c r="C97" s="3206" t="s">
        <v>3078</v>
      </c>
      <c r="D97" s="3206" t="s">
        <v>3079</v>
      </c>
      <c r="E97" s="3227">
        <v>0.1</v>
      </c>
      <c r="F97" s="3226">
        <v>15</v>
      </c>
    </row>
    <row r="98" spans="1:6" s="801" customFormat="1" ht="24">
      <c r="A98" s="3226">
        <v>26</v>
      </c>
      <c r="B98" s="3549"/>
      <c r="C98" s="3206" t="s">
        <v>3080</v>
      </c>
      <c r="D98" s="3206" t="s">
        <v>3081</v>
      </c>
      <c r="E98" s="3227">
        <v>0.1</v>
      </c>
      <c r="F98" s="3226">
        <v>15</v>
      </c>
    </row>
    <row r="99" spans="1:6" s="801" customFormat="1" ht="24">
      <c r="A99" s="3226">
        <v>27</v>
      </c>
      <c r="B99" s="3549"/>
      <c r="C99" s="3206" t="s">
        <v>3082</v>
      </c>
      <c r="D99" s="3206" t="s">
        <v>3083</v>
      </c>
      <c r="E99" s="3227">
        <v>0.1</v>
      </c>
      <c r="F99" s="3226">
        <v>15</v>
      </c>
    </row>
    <row r="100" spans="1:6" s="801" customFormat="1" ht="24">
      <c r="A100" s="3226">
        <v>28</v>
      </c>
      <c r="B100" s="3549"/>
      <c r="C100" s="3206" t="s">
        <v>3084</v>
      </c>
      <c r="D100" s="3206" t="s">
        <v>3085</v>
      </c>
      <c r="E100" s="3227">
        <v>0.1</v>
      </c>
      <c r="F100" s="3226">
        <v>15</v>
      </c>
    </row>
    <row r="101" spans="1:6" s="801" customFormat="1" ht="24">
      <c r="A101" s="3226">
        <v>29</v>
      </c>
      <c r="B101" s="3549"/>
      <c r="C101" s="3206" t="s">
        <v>3086</v>
      </c>
      <c r="D101" s="3206" t="s">
        <v>3087</v>
      </c>
      <c r="E101" s="3227">
        <v>0.1</v>
      </c>
      <c r="F101" s="3226">
        <v>15</v>
      </c>
    </row>
    <row r="102" spans="1:6" s="801" customFormat="1" ht="24">
      <c r="A102" s="3226">
        <v>30</v>
      </c>
      <c r="B102" s="3549"/>
      <c r="C102" s="3206" t="s">
        <v>3088</v>
      </c>
      <c r="D102" s="3206" t="s">
        <v>3089</v>
      </c>
      <c r="E102" s="3227">
        <v>0.1</v>
      </c>
      <c r="F102" s="3226">
        <v>15</v>
      </c>
    </row>
    <row r="103" spans="1:6" s="801" customFormat="1" ht="24">
      <c r="A103" s="3226">
        <v>31</v>
      </c>
      <c r="B103" s="3549"/>
      <c r="C103" s="3206" t="s">
        <v>3090</v>
      </c>
      <c r="D103" s="3206" t="s">
        <v>3091</v>
      </c>
      <c r="E103" s="3227">
        <v>0.1</v>
      </c>
      <c r="F103" s="3226">
        <v>15</v>
      </c>
    </row>
    <row r="104" spans="1:6" s="801" customFormat="1" ht="24">
      <c r="A104" s="3226">
        <v>32</v>
      </c>
      <c r="B104" s="3549"/>
      <c r="C104" s="3206" t="s">
        <v>3092</v>
      </c>
      <c r="D104" s="3206" t="s">
        <v>3093</v>
      </c>
      <c r="E104" s="3227">
        <v>0.1</v>
      </c>
      <c r="F104" s="3226">
        <v>15</v>
      </c>
    </row>
    <row r="105" spans="1:6" s="801" customFormat="1" ht="24">
      <c r="A105" s="3226">
        <v>33</v>
      </c>
      <c r="B105" s="3549"/>
      <c r="C105" s="3206" t="s">
        <v>3094</v>
      </c>
      <c r="D105" s="3206" t="s">
        <v>3095</v>
      </c>
      <c r="E105" s="3227">
        <v>0.1</v>
      </c>
      <c r="F105" s="3226">
        <v>15</v>
      </c>
    </row>
    <row r="106" spans="1:6" s="801" customFormat="1" ht="24">
      <c r="A106" s="3226">
        <v>34</v>
      </c>
      <c r="B106" s="3558"/>
      <c r="C106" s="3206" t="s">
        <v>3096</v>
      </c>
      <c r="D106" s="3206" t="s">
        <v>3097</v>
      </c>
      <c r="E106" s="3227">
        <v>0.1</v>
      </c>
      <c r="F106" s="3226">
        <v>15</v>
      </c>
    </row>
    <row r="107" spans="1:6" s="801" customFormat="1" ht="24">
      <c r="A107" s="3226">
        <v>35</v>
      </c>
      <c r="B107" s="3554" t="s">
        <v>3098</v>
      </c>
      <c r="C107" s="3226" t="s">
        <v>3099</v>
      </c>
      <c r="D107" s="3206" t="s">
        <v>3100</v>
      </c>
      <c r="E107" s="3227">
        <v>0.15</v>
      </c>
      <c r="F107" s="3226">
        <v>20</v>
      </c>
    </row>
    <row r="108" spans="1:6" s="801" customFormat="1" ht="24">
      <c r="A108" s="3226">
        <v>36</v>
      </c>
      <c r="B108" s="3549"/>
      <c r="C108" s="3226" t="s">
        <v>3101</v>
      </c>
      <c r="D108" s="3206" t="s">
        <v>3102</v>
      </c>
      <c r="E108" s="3227">
        <v>0.15</v>
      </c>
      <c r="F108" s="3226">
        <v>20</v>
      </c>
    </row>
    <row r="109" spans="1:6" s="801" customFormat="1" ht="24">
      <c r="A109" s="3226">
        <v>37</v>
      </c>
      <c r="B109" s="3549"/>
      <c r="C109" s="3226" t="s">
        <v>3103</v>
      </c>
      <c r="D109" s="3206" t="s">
        <v>3104</v>
      </c>
      <c r="E109" s="3227">
        <v>0.15</v>
      </c>
      <c r="F109" s="3226">
        <v>20</v>
      </c>
    </row>
    <row r="110" spans="1:6" s="801" customFormat="1" ht="13.5">
      <c r="A110" s="3226">
        <v>38</v>
      </c>
      <c r="B110" s="3549"/>
      <c r="C110" s="3226" t="s">
        <v>3105</v>
      </c>
      <c r="D110" s="3206" t="s">
        <v>3106</v>
      </c>
      <c r="E110" s="3227">
        <v>0.1</v>
      </c>
      <c r="F110" s="3226">
        <v>15</v>
      </c>
    </row>
    <row r="111" spans="1:6" s="801" customFormat="1" ht="24">
      <c r="A111" s="3226">
        <v>39</v>
      </c>
      <c r="B111" s="3549"/>
      <c r="C111" s="3226" t="s">
        <v>3107</v>
      </c>
      <c r="D111" s="3206" t="s">
        <v>3108</v>
      </c>
      <c r="E111" s="3227">
        <v>0.1</v>
      </c>
      <c r="F111" s="3226">
        <v>15</v>
      </c>
    </row>
    <row r="112" spans="1:6" s="801" customFormat="1" ht="24">
      <c r="A112" s="3226">
        <v>40</v>
      </c>
      <c r="B112" s="3558"/>
      <c r="C112" s="3226" t="s">
        <v>3109</v>
      </c>
      <c r="D112" s="3206" t="s">
        <v>3110</v>
      </c>
      <c r="E112" s="3227">
        <v>0.1</v>
      </c>
      <c r="F112" s="3226">
        <v>15</v>
      </c>
    </row>
    <row r="113" spans="1:6" s="801" customFormat="1" ht="24">
      <c r="A113" s="3226">
        <v>41</v>
      </c>
      <c r="B113" s="3559" t="s">
        <v>3111</v>
      </c>
      <c r="C113" s="3226" t="s">
        <v>3112</v>
      </c>
      <c r="D113" s="3206" t="s">
        <v>3113</v>
      </c>
      <c r="E113" s="3227">
        <v>0.1</v>
      </c>
      <c r="F113" s="3226">
        <v>15</v>
      </c>
    </row>
    <row r="114" spans="1:6" s="801" customFormat="1" ht="13.5">
      <c r="A114" s="3226">
        <v>42</v>
      </c>
      <c r="B114" s="3559"/>
      <c r="C114" s="3226" t="s">
        <v>3114</v>
      </c>
      <c r="D114" s="3206" t="s">
        <v>3115</v>
      </c>
      <c r="E114" s="3227">
        <v>0.1</v>
      </c>
      <c r="F114" s="3226">
        <v>15</v>
      </c>
    </row>
    <row r="115" spans="1:6" s="801" customFormat="1" ht="24">
      <c r="A115" s="3226">
        <v>43</v>
      </c>
      <c r="B115" s="3559"/>
      <c r="C115" s="3226" t="s">
        <v>3116</v>
      </c>
      <c r="D115" s="3206" t="s">
        <v>3117</v>
      </c>
      <c r="E115" s="3227">
        <v>0.1</v>
      </c>
      <c r="F115" s="3226">
        <v>15</v>
      </c>
    </row>
    <row r="116" spans="1:6" s="801" customFormat="1" ht="24">
      <c r="A116" s="3226">
        <v>44</v>
      </c>
      <c r="B116" s="3554" t="s">
        <v>3118</v>
      </c>
      <c r="C116" s="3226" t="s">
        <v>3119</v>
      </c>
      <c r="D116" s="3206" t="s">
        <v>3120</v>
      </c>
      <c r="E116" s="3227">
        <v>0.1</v>
      </c>
      <c r="F116" s="3226">
        <v>15</v>
      </c>
    </row>
    <row r="117" spans="1:6" s="801" customFormat="1" ht="24">
      <c r="A117" s="3226">
        <v>45</v>
      </c>
      <c r="B117" s="3558"/>
      <c r="C117" s="3206" t="s">
        <v>3121</v>
      </c>
      <c r="D117" s="3206" t="s">
        <v>3122</v>
      </c>
      <c r="E117" s="3227">
        <v>0.1</v>
      </c>
      <c r="F117" s="3226">
        <v>15</v>
      </c>
    </row>
    <row r="118" spans="1:6" s="801" customFormat="1" ht="24">
      <c r="A118" s="3226">
        <v>46</v>
      </c>
      <c r="B118" s="3554" t="s">
        <v>3123</v>
      </c>
      <c r="C118" s="3226" t="s">
        <v>3124</v>
      </c>
      <c r="D118" s="3206" t="s">
        <v>3125</v>
      </c>
      <c r="E118" s="3227">
        <v>0.1</v>
      </c>
      <c r="F118" s="3226">
        <v>15</v>
      </c>
    </row>
    <row r="119" spans="1:6" s="801" customFormat="1" ht="24">
      <c r="A119" s="3226">
        <v>47</v>
      </c>
      <c r="B119" s="3558"/>
      <c r="C119" s="3226" t="s">
        <v>3126</v>
      </c>
      <c r="D119" s="3206" t="s">
        <v>3127</v>
      </c>
      <c r="E119" s="3227">
        <v>0.1</v>
      </c>
      <c r="F119" s="3226">
        <v>15</v>
      </c>
    </row>
    <row r="120" spans="1:6" s="801" customFormat="1" ht="24">
      <c r="A120" s="3226">
        <v>48</v>
      </c>
      <c r="B120" s="3554" t="s">
        <v>3128</v>
      </c>
      <c r="C120" s="3226" t="s">
        <v>3129</v>
      </c>
      <c r="D120" s="3206" t="s">
        <v>3130</v>
      </c>
      <c r="E120" s="3227">
        <v>0.1</v>
      </c>
      <c r="F120" s="3226">
        <v>15</v>
      </c>
    </row>
    <row r="121" spans="1:6" s="801" customFormat="1" ht="13.5">
      <c r="A121" s="3226">
        <v>49</v>
      </c>
      <c r="B121" s="3558"/>
      <c r="C121" s="3226" t="s">
        <v>3131</v>
      </c>
      <c r="D121" s="3206" t="s">
        <v>3132</v>
      </c>
      <c r="E121" s="3227">
        <v>0.1</v>
      </c>
      <c r="F121" s="3226">
        <v>15</v>
      </c>
    </row>
    <row r="122" spans="1:6" s="801" customFormat="1" ht="24">
      <c r="A122" s="3226">
        <v>50</v>
      </c>
      <c r="B122" s="3559" t="s">
        <v>3133</v>
      </c>
      <c r="C122" s="3226" t="s">
        <v>3134</v>
      </c>
      <c r="D122" s="3206" t="s">
        <v>3135</v>
      </c>
      <c r="E122" s="3227">
        <v>0.1</v>
      </c>
      <c r="F122" s="3226">
        <v>15</v>
      </c>
    </row>
    <row r="123" spans="1:6" s="801" customFormat="1" ht="24">
      <c r="A123" s="3226">
        <v>51</v>
      </c>
      <c r="B123" s="3559"/>
      <c r="C123" s="3226" t="s">
        <v>3136</v>
      </c>
      <c r="D123" s="3206" t="s">
        <v>3137</v>
      </c>
      <c r="E123" s="3227">
        <v>0.1</v>
      </c>
      <c r="F123" s="3226">
        <v>15</v>
      </c>
    </row>
    <row r="124" spans="1:6" s="801" customFormat="1" ht="24">
      <c r="A124" s="3226">
        <v>52</v>
      </c>
      <c r="B124" s="3559" t="s">
        <v>3138</v>
      </c>
      <c r="C124" s="3226" t="s">
        <v>3139</v>
      </c>
      <c r="D124" s="3206" t="s">
        <v>3140</v>
      </c>
      <c r="E124" s="3227">
        <v>0.1</v>
      </c>
      <c r="F124" s="3226">
        <v>15</v>
      </c>
    </row>
    <row r="125" spans="1:6" s="801" customFormat="1" ht="24">
      <c r="A125" s="3226">
        <v>53</v>
      </c>
      <c r="B125" s="3559"/>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59" t="s">
        <v>3146</v>
      </c>
      <c r="C127" s="3226" t="s">
        <v>3147</v>
      </c>
      <c r="D127" s="3206" t="s">
        <v>3148</v>
      </c>
      <c r="E127" s="3227">
        <v>0.1</v>
      </c>
      <c r="F127" s="3226">
        <v>15</v>
      </c>
    </row>
    <row r="128" spans="1:6" ht="13.5">
      <c r="A128" s="3226">
        <v>56</v>
      </c>
      <c r="B128" s="3559"/>
      <c r="C128" s="3226" t="s">
        <v>3149</v>
      </c>
      <c r="D128" s="3206" t="s">
        <v>3150</v>
      </c>
      <c r="E128" s="3227">
        <v>0.1</v>
      </c>
      <c r="F128" s="3226">
        <v>15</v>
      </c>
    </row>
    <row r="129" spans="1:6" ht="24">
      <c r="A129" s="3226">
        <v>57</v>
      </c>
      <c r="B129" s="3559"/>
      <c r="C129" s="3226" t="s">
        <v>3151</v>
      </c>
      <c r="D129" s="3206" t="s">
        <v>3152</v>
      </c>
      <c r="E129" s="3227">
        <v>0.1</v>
      </c>
      <c r="F129" s="3226">
        <v>15</v>
      </c>
    </row>
    <row r="130" spans="1:6" ht="24">
      <c r="A130" s="3226">
        <v>58</v>
      </c>
      <c r="B130" s="3559" t="s">
        <v>3153</v>
      </c>
      <c r="C130" s="3226" t="s">
        <v>3154</v>
      </c>
      <c r="D130" s="3206" t="s">
        <v>3155</v>
      </c>
      <c r="E130" s="3227">
        <v>0.1</v>
      </c>
      <c r="F130" s="3226">
        <v>15</v>
      </c>
    </row>
    <row r="131" spans="1:6" ht="24">
      <c r="A131" s="3226">
        <v>59</v>
      </c>
      <c r="B131" s="3559"/>
      <c r="C131" s="3226" t="s">
        <v>3156</v>
      </c>
      <c r="D131" s="3206" t="s">
        <v>3157</v>
      </c>
      <c r="E131" s="3227">
        <v>0.1</v>
      </c>
      <c r="F131" s="3226">
        <v>15</v>
      </c>
    </row>
    <row r="132" spans="1:6" ht="24">
      <c r="A132" s="3226">
        <v>60</v>
      </c>
      <c r="B132" s="3554" t="s">
        <v>3158</v>
      </c>
      <c r="C132" s="3226" t="s">
        <v>3159</v>
      </c>
      <c r="D132" s="3206" t="s">
        <v>3160</v>
      </c>
      <c r="E132" s="3227">
        <v>0.1</v>
      </c>
      <c r="F132" s="3226">
        <v>15</v>
      </c>
    </row>
    <row r="133" spans="1:6" ht="24">
      <c r="A133" s="3226">
        <v>61</v>
      </c>
      <c r="B133" s="3558"/>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59" t="s">
        <v>3166</v>
      </c>
      <c r="C135" s="3226" t="s">
        <v>3167</v>
      </c>
      <c r="D135" s="3206" t="s">
        <v>3168</v>
      </c>
      <c r="E135" s="3227">
        <v>0.1</v>
      </c>
      <c r="F135" s="3226">
        <v>15</v>
      </c>
    </row>
    <row r="136" spans="1:6" ht="13.5">
      <c r="A136" s="3226">
        <v>64</v>
      </c>
      <c r="B136" s="3559"/>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4"/>
      <c r="G1" s="2974"/>
      <c r="H1" s="2974"/>
      <c r="I1" s="2974"/>
      <c r="J1" s="2974"/>
      <c r="K1" s="2974"/>
      <c r="L1" s="2974"/>
      <c r="M1" s="2974"/>
      <c r="N1" s="2974"/>
      <c r="O1" s="2974"/>
      <c r="P1" s="2974"/>
    </row>
    <row r="2" spans="1:16" ht="15.75">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75">
      <c r="A3" s="2312" t="s">
        <v>2575</v>
      </c>
      <c r="B3" s="2778" t="e">
        <f ca="1">ROUND(B2*10000/E2,0)</f>
        <v>#DIV/0!</v>
      </c>
      <c r="C3" s="2312" t="s">
        <v>2581</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2576</v>
      </c>
      <c r="B5" s="2786" t="s">
        <v>2577</v>
      </c>
      <c r="C5" s="2313"/>
      <c r="D5" s="2974"/>
      <c r="E5" s="2787" t="s">
        <v>2578</v>
      </c>
      <c r="F5" s="2974"/>
      <c r="G5" s="2974"/>
      <c r="H5" s="2974"/>
      <c r="I5" s="2974"/>
      <c r="J5" s="2974"/>
      <c r="K5" s="2974"/>
      <c r="L5" s="2974"/>
      <c r="M5" s="2974"/>
      <c r="N5" s="2974"/>
      <c r="O5" s="2974"/>
      <c r="P5" s="2974"/>
    </row>
    <row r="6" spans="1:16" ht="15.75">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5" t="s">
        <v>877</v>
      </c>
      <c r="C1" s="3565"/>
      <c r="D1" s="3565"/>
      <c r="E1" s="3565"/>
      <c r="F1" s="3565"/>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4" t="s">
        <v>2583</v>
      </c>
      <c r="D1" s="3575"/>
      <c r="E1" s="3575"/>
      <c r="F1" s="3575"/>
      <c r="G1" s="3575"/>
      <c r="H1" s="3575"/>
      <c r="I1" s="3575"/>
      <c r="J1" s="3575"/>
      <c r="K1" s="3575"/>
      <c r="L1" s="3575"/>
      <c r="M1" s="3575"/>
      <c r="N1" s="3575"/>
      <c r="O1" s="3575"/>
      <c r="P1" s="3575"/>
      <c r="Q1" s="3575"/>
      <c r="R1" s="3575"/>
      <c r="S1" s="3576"/>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1" t="s">
        <v>33</v>
      </c>
      <c r="D22" s="3572"/>
      <c r="E22" s="3572"/>
      <c r="F22" s="3572"/>
      <c r="G22" s="3572"/>
      <c r="H22" s="3572"/>
      <c r="I22" s="3572"/>
      <c r="J22" s="3572"/>
      <c r="K22" s="3572"/>
      <c r="L22" s="3572"/>
      <c r="M22" s="3572"/>
      <c r="N22" s="3572"/>
      <c r="O22" s="3572"/>
      <c r="P22" s="3572"/>
      <c r="Q22" s="3573"/>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29"/>
      <c r="B4" s="3238" t="s">
        <v>1353</v>
      </c>
      <c r="C4" s="3238"/>
      <c r="D4" s="3238"/>
      <c r="E4" s="1629"/>
    </row>
    <row r="5" spans="1:5" ht="16.5" thickTop="1">
      <c r="A5" s="1627"/>
      <c r="B5" s="3236" t="s">
        <v>1345</v>
      </c>
      <c r="C5" s="1630" t="s">
        <v>1346</v>
      </c>
      <c r="D5" s="940">
        <f ca="1">结果表!H101</f>
        <v>18786</v>
      </c>
      <c r="E5" s="1627"/>
    </row>
    <row r="6" spans="1:5" ht="15.75">
      <c r="A6" s="1627"/>
      <c r="B6" s="3236"/>
      <c r="C6" s="1630" t="s">
        <v>1347</v>
      </c>
      <c r="D6" s="940" t="str">
        <f ca="1">NUMBERSTRING(INT(D5*10000),2)&amp;"元整"</f>
        <v>壹亿捌仟柒佰捌拾陆万元整</v>
      </c>
      <c r="E6" s="1627"/>
    </row>
    <row r="7" spans="1:5" ht="15.75">
      <c r="A7" s="1627"/>
      <c r="B7" s="3241"/>
      <c r="C7" s="1631" t="s">
        <v>1348</v>
      </c>
      <c r="D7" s="941">
        <f ca="1">结果表!H102</f>
        <v>28761</v>
      </c>
      <c r="E7" s="1627"/>
    </row>
    <row r="8" spans="1:5" ht="15.75">
      <c r="A8" s="1627"/>
      <c r="B8" s="3242" t="str">
        <f>结果表!E103</f>
        <v>2.估价师知悉的法定优先受偿款</v>
      </c>
      <c r="C8" s="1632" t="s">
        <v>1349</v>
      </c>
      <c r="D8" s="941">
        <f>结果表!H103</f>
        <v>3410</v>
      </c>
      <c r="E8" s="1627"/>
    </row>
    <row r="9" spans="1:5" ht="15.75">
      <c r="A9" s="1627"/>
      <c r="B9" s="3244"/>
      <c r="C9" s="1630" t="s">
        <v>1347</v>
      </c>
      <c r="D9" s="940" t="str">
        <f>NUMBERSTRING(INT(D8*10000),2)&amp;"元整"</f>
        <v>叁仟肆佰壹拾万元整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3410</v>
      </c>
      <c r="E12" s="1627"/>
    </row>
    <row r="13" spans="1:5" ht="15.75">
      <c r="A13" s="1627"/>
      <c r="B13" s="3235" t="str">
        <f>结果表!E107</f>
        <v>3.房地产抵押价值</v>
      </c>
      <c r="C13" s="1635" t="s">
        <v>1346</v>
      </c>
      <c r="D13" s="943">
        <f ca="1">结果表!H107</f>
        <v>15376</v>
      </c>
      <c r="E13" s="1627"/>
    </row>
    <row r="14" spans="1:5" ht="15.75">
      <c r="A14" s="1627"/>
      <c r="B14" s="3236"/>
      <c r="C14" s="1630" t="s">
        <v>1347</v>
      </c>
      <c r="D14" s="940" t="str">
        <f ca="1">NUMBERSTRING(INT(D13*10000),2)&amp;"元整"</f>
        <v>壹亿伍仟叁佰柒拾陆万元整</v>
      </c>
      <c r="E14" s="1627"/>
    </row>
    <row r="15" spans="1:5" ht="15">
      <c r="A15" s="1627"/>
      <c r="B15" s="3241"/>
      <c r="C15" s="1631" t="s">
        <v>1357</v>
      </c>
      <c r="D15" s="949">
        <f ca="1">结果表!H108</f>
        <v>23540</v>
      </c>
      <c r="E15" s="1627"/>
    </row>
    <row r="16" spans="1:5" ht="15">
      <c r="A16" s="1627"/>
      <c r="B16" s="3242" t="str">
        <f>结果表!E109</f>
        <v>——</v>
      </c>
      <c r="C16" s="1635" t="s">
        <v>1358</v>
      </c>
      <c r="D16" s="1636" t="str">
        <f>结果表!H109</f>
        <v>——</v>
      </c>
      <c r="E16" s="1627"/>
    </row>
    <row r="17" spans="1:5" ht="15.75">
      <c r="A17" s="1627"/>
      <c r="B17" s="3243"/>
      <c r="C17" s="1630" t="s">
        <v>1359</v>
      </c>
      <c r="D17" s="940" t="e">
        <f>NUMBERSTRING(INT(D16*10000),2)&amp;"元整"</f>
        <v>#VALUE!</v>
      </c>
      <c r="E17" s="1627"/>
    </row>
    <row r="18" spans="1:5" ht="15">
      <c r="A18" s="1627"/>
      <c r="B18" s="3244"/>
      <c r="C18" s="1631" t="s">
        <v>1348</v>
      </c>
      <c r="D18" s="949" t="str">
        <f>结果表!H110</f>
        <v>——</v>
      </c>
      <c r="E18" s="1627"/>
    </row>
    <row r="19" spans="1:5" ht="15.75">
      <c r="A19" s="1627"/>
      <c r="B19" s="3235" t="str">
        <f>结果表!E111</f>
        <v>——</v>
      </c>
      <c r="C19" s="1635" t="s">
        <v>1346</v>
      </c>
      <c r="D19" s="941" t="str">
        <f>结果表!H111</f>
        <v>——</v>
      </c>
      <c r="E19" s="1627"/>
    </row>
    <row r="20" spans="1:5" ht="15.75">
      <c r="A20" s="1627"/>
      <c r="B20" s="3236"/>
      <c r="C20" s="1630" t="s">
        <v>1359</v>
      </c>
      <c r="D20" s="940" t="e">
        <f>NUMBERSTRING(INT(D19*10000),2)&amp;"元整"</f>
        <v>#VALUE!</v>
      </c>
      <c r="E20" s="1627"/>
    </row>
    <row r="21" spans="1:5" ht="15.75" thickBot="1">
      <c r="A21" s="1627"/>
      <c r="B21" s="3237"/>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31886</v>
      </c>
      <c r="C2" s="2" t="s">
        <v>133</v>
      </c>
      <c r="D2" s="205"/>
      <c r="E2" s="205"/>
      <c r="F2" s="205"/>
      <c r="G2" s="205"/>
    </row>
    <row r="3" spans="1:7" s="206" customFormat="1" ht="18" customHeight="1" thickBot="1">
      <c r="A3" s="209" t="s">
        <v>85</v>
      </c>
      <c r="B3" s="210">
        <f ca="1">ROUND(B2*10000/'数据-汇总表'!E3,0)</f>
        <v>48816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131</v>
      </c>
      <c r="D10" s="935">
        <f>'数据-汇总表'!E6</f>
        <v>6531.86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131</v>
      </c>
      <c r="D19" s="939">
        <f>'数据-汇总表'!E3</f>
        <v>6531.86</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1774</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4231</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4231</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29463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2383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2155</v>
      </c>
      <c r="D34" s="223"/>
      <c r="E34" s="226"/>
      <c r="F34" s="263">
        <f>IF('数据-取费表'!B24=0,1,'数据-取费表'!N16)</f>
        <v>1</v>
      </c>
      <c r="G34" s="225" t="s">
        <v>116</v>
      </c>
    </row>
    <row r="35" spans="1:7" ht="13.5" customHeight="1">
      <c r="A35" s="869" t="s">
        <v>615</v>
      </c>
      <c r="B35" s="221" t="s">
        <v>60</v>
      </c>
      <c r="C35" s="226">
        <f>ROUND(C34*F35,0)</f>
        <v>65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131</v>
      </c>
      <c r="D37" s="223">
        <f>'数据-汇总表'!E3</f>
        <v>6531.86</v>
      </c>
      <c r="E37" s="255">
        <f>'数据-取费表'!B35</f>
        <v>200</v>
      </c>
      <c r="F37" s="265"/>
      <c r="G37" s="267" t="s">
        <v>119</v>
      </c>
    </row>
    <row r="38" spans="1:7" ht="13.5" customHeight="1">
      <c r="A38" s="869" t="s">
        <v>618</v>
      </c>
      <c r="B38" s="221" t="s">
        <v>63</v>
      </c>
      <c r="C38" s="226">
        <f>ROUND(C34*F38,0)</f>
        <v>32</v>
      </c>
      <c r="D38" s="226"/>
      <c r="E38" s="226"/>
      <c r="F38" s="265">
        <f>'数据-取费表'!B36</f>
        <v>1.4999999999999999E-2</v>
      </c>
      <c r="G38" s="225" t="s">
        <v>117</v>
      </c>
    </row>
    <row r="39" spans="1:7" s="220" customFormat="1" ht="13.5" customHeight="1">
      <c r="A39" s="866" t="s">
        <v>602</v>
      </c>
      <c r="B39" s="216" t="s">
        <v>104</v>
      </c>
      <c r="C39" s="238">
        <f>ROUND(C33*F20,0)</f>
        <v>48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101</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99</v>
      </c>
      <c r="D42" s="244"/>
      <c r="E42" s="244"/>
      <c r="F42" s="245"/>
      <c r="G42" s="3423" t="s">
        <v>121</v>
      </c>
    </row>
    <row r="43" spans="1:7" ht="13.5" customHeight="1">
      <c r="A43" s="869" t="s">
        <v>611</v>
      </c>
      <c r="B43" s="221" t="s">
        <v>851</v>
      </c>
      <c r="C43" s="244">
        <f ca="1">ROUND(IF('数据-取费表'!B22&lt;=1,C39*F22*'数据-取费表'!B21/2,C39*(POWER((1+F22),'数据-取费表'!B21/2)-1)),0)</f>
        <v>2</v>
      </c>
      <c r="D43" s="244"/>
      <c r="E43" s="244"/>
      <c r="F43" s="245"/>
      <c r="G43" s="3424"/>
    </row>
    <row r="44" spans="1:7" ht="13.5" customHeight="1">
      <c r="A44" s="869" t="s">
        <v>612</v>
      </c>
      <c r="B44" s="221" t="s">
        <v>853</v>
      </c>
      <c r="C44" s="244">
        <f ca="1">ROUND(IF('数据-取费表'!B22&lt;=1,C40*F22*'数据-取费表'!B21/2,C40*(POWER((1+F22),'数据-取费表'!B21/2)-1)),4)</f>
        <v>8.0000000000000004E-4</v>
      </c>
      <c r="D44" s="244"/>
      <c r="E44" s="244"/>
      <c r="F44" s="245"/>
      <c r="G44" s="3425"/>
    </row>
    <row r="45" spans="1:7" s="220" customFormat="1" ht="13.5" customHeight="1">
      <c r="A45" s="866" t="s">
        <v>605</v>
      </c>
      <c r="B45" s="250" t="s">
        <v>112</v>
      </c>
      <c r="C45" s="251">
        <f>C46</f>
        <v>486</v>
      </c>
      <c r="D45" s="241">
        <f>C47</f>
        <v>4.0000000000000001E-3</v>
      </c>
      <c r="E45" s="242" t="s">
        <v>129</v>
      </c>
      <c r="F45" s="252"/>
      <c r="G45" s="253" t="s">
        <v>859</v>
      </c>
    </row>
    <row r="46" spans="1:7" s="220" customFormat="1" ht="13.5" customHeight="1">
      <c r="A46" s="869" t="s">
        <v>613</v>
      </c>
      <c r="B46" s="254" t="s">
        <v>852</v>
      </c>
      <c r="C46" s="255">
        <f>ROUND((C33+C39)*F27,0)</f>
        <v>486</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3274</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2423</v>
      </c>
      <c r="D51" s="238"/>
      <c r="E51" s="238"/>
      <c r="F51" s="270"/>
      <c r="G51" s="240" t="s">
        <v>64</v>
      </c>
    </row>
    <row r="52" spans="1:7" s="214" customFormat="1" ht="16.5" thickBot="1">
      <c r="A52" s="271" t="s">
        <v>65</v>
      </c>
      <c r="B52" s="272"/>
      <c r="C52" s="273">
        <f ca="1">C31+C51</f>
        <v>31886</v>
      </c>
      <c r="D52" s="272"/>
      <c r="E52" s="272"/>
      <c r="F52" s="272"/>
      <c r="G52" s="274"/>
    </row>
    <row r="55" spans="1:7" ht="15">
      <c r="B55" s="276" t="s">
        <v>66</v>
      </c>
      <c r="C55" s="277"/>
    </row>
    <row r="56" spans="1:7">
      <c r="B56" s="279" t="s">
        <v>67</v>
      </c>
      <c r="C56" s="280">
        <f ca="1">ROUND(C51/C52,3)</f>
        <v>7.5999999999999998E-2</v>
      </c>
    </row>
    <row r="57" spans="1:7">
      <c r="B57" s="279" t="s">
        <v>68</v>
      </c>
      <c r="C57" s="281">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7" t="s">
        <v>156</v>
      </c>
      <c r="B1" s="3577"/>
      <c r="C1" s="3577"/>
      <c r="D1" s="3577"/>
      <c r="E1" s="3577"/>
      <c r="F1" s="35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8" t="s">
        <v>169</v>
      </c>
      <c r="B2" s="3578"/>
      <c r="C2" s="3578"/>
      <c r="D2" s="3578"/>
      <c r="E2" s="3578"/>
      <c r="F2" s="35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7" t="s">
        <v>658</v>
      </c>
      <c r="B1" s="357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44869</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2814</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P8"/>
  <sheetViews>
    <sheetView workbookViewId="0">
      <selection activeCell="O15" sqref="O15"/>
    </sheetView>
  </sheetViews>
  <sheetFormatPr defaultRowHeight="13.5"/>
  <sheetData>
    <row r="1" spans="13:16">
      <c r="N1" s="3232" t="s">
        <v>3197</v>
      </c>
      <c r="O1" s="3232" t="s">
        <v>3196</v>
      </c>
      <c r="P1" s="3232"/>
    </row>
    <row r="2" spans="13:16">
      <c r="M2" s="3232" t="s">
        <v>3195</v>
      </c>
      <c r="O2">
        <v>3.64</v>
      </c>
    </row>
    <row r="3" spans="13:16">
      <c r="M3" s="3232" t="s">
        <v>3198</v>
      </c>
      <c r="O3">
        <v>4.8</v>
      </c>
    </row>
    <row r="4" spans="13:16">
      <c r="M4" s="3232" t="s">
        <v>3199</v>
      </c>
      <c r="O4">
        <v>5</v>
      </c>
    </row>
    <row r="5" spans="13:16">
      <c r="M5" s="3232" t="s">
        <v>3200</v>
      </c>
      <c r="O5">
        <v>6.78</v>
      </c>
    </row>
    <row r="6" spans="13:16">
      <c r="M6" s="3232" t="s">
        <v>3201</v>
      </c>
      <c r="O6">
        <v>4.78</v>
      </c>
    </row>
    <row r="7" spans="13:16">
      <c r="M7" s="3232" t="s">
        <v>3202</v>
      </c>
      <c r="O7">
        <v>5.29</v>
      </c>
    </row>
    <row r="8" spans="13:16">
      <c r="M8" s="3232" t="s">
        <v>3203</v>
      </c>
      <c r="O8">
        <v>4.7699999999999996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1364</v>
      </c>
      <c r="B2" s="3246" t="s">
        <v>1365</v>
      </c>
      <c r="C2" s="3246" t="s">
        <v>1366</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944" t="s">
        <v>1361</v>
      </c>
      <c r="E3" s="944" t="s">
        <v>1367</v>
      </c>
      <c r="F3" s="944" t="s">
        <v>1361</v>
      </c>
      <c r="G3" s="944" t="s">
        <v>1362</v>
      </c>
      <c r="H3" s="944" t="s">
        <v>1361</v>
      </c>
      <c r="I3" s="944" t="s">
        <v>1362</v>
      </c>
    </row>
    <row r="4" spans="1:9" ht="15">
      <c r="A4" s="1641" t="str">
        <f>项目基本情况!S2</f>
        <v>北京市房地产</v>
      </c>
      <c r="B4" s="944">
        <f>项目基本情况!C17</f>
        <v>6531.86</v>
      </c>
      <c r="C4" s="944">
        <f>项目基本情况!C18</f>
        <v>0</v>
      </c>
      <c r="D4" s="944">
        <f ca="1">结果表!D118</f>
        <v>16720</v>
      </c>
      <c r="E4" s="944">
        <f ca="1">结果表!E118</f>
        <v>25598</v>
      </c>
      <c r="F4" s="944">
        <f ca="1">结果表!F118</f>
        <v>2066</v>
      </c>
      <c r="G4" s="944">
        <f ca="1">结果表!G118</f>
        <v>3163</v>
      </c>
      <c r="H4" s="944">
        <f ca="1">结果表!H118</f>
        <v>18786</v>
      </c>
      <c r="I4" s="944">
        <f ca="1">结果表!I118</f>
        <v>28761</v>
      </c>
    </row>
    <row r="5" spans="1:9" ht="30" customHeight="1">
      <c r="A5" s="3247" t="s">
        <v>1363</v>
      </c>
      <c r="B5" s="3247"/>
      <c r="C5" s="3247"/>
      <c r="D5" s="3248" t="str">
        <f ca="1">结果表!D119</f>
        <v>壹亿陆仟柒佰贰拾万元整</v>
      </c>
      <c r="E5" s="3248"/>
      <c r="F5" s="3248" t="str">
        <f ca="1">结果表!F119</f>
        <v>贰仟零陆拾陆万元整</v>
      </c>
      <c r="G5" s="3248"/>
      <c r="H5" s="3248" t="str">
        <f ca="1">结果表!H119</f>
        <v>壹亿捌仟柒佰捌拾陆万元整</v>
      </c>
      <c r="I5" s="3248"/>
    </row>
    <row r="6" spans="1:9" ht="15.75">
      <c r="A6" s="3249" t="str">
        <f>结果表!A120</f>
        <v>估价师知悉的法定优先受偿款</v>
      </c>
      <c r="B6" s="3249"/>
      <c r="C6" s="3249"/>
      <c r="D6" s="3249">
        <f>结果表!D120</f>
        <v>3410</v>
      </c>
      <c r="E6" s="3249"/>
      <c r="F6" s="3249"/>
      <c r="G6" s="3249"/>
      <c r="H6" s="3249"/>
      <c r="I6" s="3249"/>
    </row>
    <row r="7" spans="1:9" ht="15">
      <c r="A7" s="3247" t="s">
        <v>1363</v>
      </c>
      <c r="B7" s="3247"/>
      <c r="C7" s="3247"/>
      <c r="D7" s="3250" t="str">
        <f>结果表!D121</f>
        <v>叁仟肆佰壹拾万元整</v>
      </c>
      <c r="E7" s="3251"/>
      <c r="F7" s="3251"/>
      <c r="G7" s="3251"/>
      <c r="H7" s="3251"/>
      <c r="I7" s="3252"/>
    </row>
    <row r="8" spans="1:9" ht="15.75">
      <c r="A8" s="3249" t="str">
        <f>结果表!A122</f>
        <v>房地产抵押价值</v>
      </c>
      <c r="B8" s="3249"/>
      <c r="C8" s="3249"/>
      <c r="D8" s="3249">
        <f ca="1">结果表!D122</f>
        <v>15376</v>
      </c>
      <c r="E8" s="3249"/>
      <c r="F8" s="3249"/>
      <c r="G8" s="3249"/>
      <c r="H8" s="3249"/>
      <c r="I8" s="3249"/>
    </row>
    <row r="9" spans="1:9" ht="15">
      <c r="A9" s="3247" t="s">
        <v>1363</v>
      </c>
      <c r="B9" s="3247"/>
      <c r="C9" s="3247"/>
      <c r="D9" s="3248" t="str">
        <f ca="1">结果表!D123</f>
        <v>壹亿伍仟叁佰柒拾陆万元整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1363</v>
      </c>
      <c r="B11" s="3247"/>
      <c r="C11" s="3247"/>
      <c r="D11" s="3248" t="e">
        <f>结果表!D125</f>
        <v>#VALUE!</v>
      </c>
      <c r="E11" s="3248"/>
      <c r="F11" s="3248"/>
      <c r="G11" s="3248"/>
      <c r="H11" s="3248"/>
      <c r="I11" s="3248"/>
    </row>
    <row r="12" spans="1:9" ht="15.75">
      <c r="A12" s="3249" t="str">
        <f>结果表!A126</f>
        <v/>
      </c>
      <c r="B12" s="3249"/>
      <c r="C12" s="3249"/>
      <c r="D12" s="3249" t="str">
        <f>结果表!D126</f>
        <v>——</v>
      </c>
      <c r="E12" s="3249"/>
      <c r="F12" s="3249"/>
      <c r="G12" s="3249"/>
      <c r="H12" s="3249"/>
      <c r="I12" s="3249"/>
    </row>
    <row r="13" spans="1:9" ht="15.75" thickBot="1">
      <c r="A13" s="3253" t="s">
        <v>1363</v>
      </c>
      <c r="B13" s="3253"/>
      <c r="C13" s="3253"/>
      <c r="D13" s="3254" t="e">
        <f>结果表!D127</f>
        <v>#VALUE!</v>
      </c>
      <c r="E13" s="3254"/>
      <c r="F13" s="3254"/>
      <c r="G13" s="3254"/>
      <c r="H13" s="3254"/>
      <c r="I13" s="3254"/>
    </row>
    <row r="14" spans="1:9" ht="15" thickTop="1">
      <c r="A14" s="3255" t="s">
        <v>1368</v>
      </c>
      <c r="B14" s="3255"/>
      <c r="C14" s="3255"/>
      <c r="D14" s="3255"/>
      <c r="E14" s="3255"/>
      <c r="F14" s="3255"/>
      <c r="G14" s="3255"/>
      <c r="H14" s="3255"/>
      <c r="I14" s="3255"/>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6" t="s">
        <v>1385</v>
      </c>
      <c r="B1" s="3256"/>
      <c r="C1" s="3256"/>
      <c r="D1" s="3256"/>
    </row>
    <row r="2" spans="1:4" ht="18">
      <c r="A2" s="3257" t="s">
        <v>1369</v>
      </c>
      <c r="B2" s="3257"/>
      <c r="C2" s="3257"/>
      <c r="D2" s="3257"/>
    </row>
    <row r="3" spans="1:4" ht="18.75">
      <c r="A3" s="1645" t="s">
        <v>1370</v>
      </c>
      <c r="B3" s="1645" t="s">
        <v>1371</v>
      </c>
      <c r="C3" s="1645" t="s">
        <v>1372</v>
      </c>
      <c r="D3" s="1645" t="s">
        <v>1373</v>
      </c>
    </row>
    <row r="4" spans="1:4" ht="56.25" customHeight="1">
      <c r="A4" s="1646">
        <f>项目基本情况!B4</f>
        <v>0</v>
      </c>
      <c r="B4" s="1647">
        <f>项目基本情况!C4</f>
        <v>0</v>
      </c>
      <c r="C4" s="1648"/>
      <c r="D4" s="1649" t="s">
        <v>1374</v>
      </c>
    </row>
    <row r="5" spans="1:4" ht="56.25" customHeight="1">
      <c r="A5" s="1646">
        <f>项目基本情况!D4</f>
        <v>0</v>
      </c>
      <c r="B5" s="1647">
        <f>项目基本情况!E4</f>
        <v>0</v>
      </c>
      <c r="C5" s="1650"/>
      <c r="D5" s="1649" t="s">
        <v>1374</v>
      </c>
    </row>
    <row r="6" spans="1:4" ht="18">
      <c r="A6" s="3257" t="s">
        <v>1375</v>
      </c>
      <c r="B6" s="3257"/>
      <c r="C6" s="3257"/>
      <c r="D6" s="3257"/>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258" t="s">
        <v>1378</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1379</v>
      </c>
      <c r="B16" s="3262"/>
      <c r="C16" s="3262"/>
      <c r="D16" s="3262"/>
    </row>
    <row r="17" spans="1:4" ht="144" customHeight="1">
      <c r="A17" s="3262" t="s">
        <v>1380</v>
      </c>
      <c r="B17" s="3262"/>
      <c r="C17" s="3262"/>
      <c r="D17" s="3262"/>
    </row>
    <row r="18" spans="1:4" ht="15.75" customHeight="1">
      <c r="A18" s="3259" t="str">
        <f>IF(项目基本情况!B8="抵押",结果表!K120,"——")</f>
        <v>故，本次评估估价师知悉的法定优先受偿款为人民币3410万元整。</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1381</v>
      </c>
      <c r="B22" s="3264"/>
      <c r="C22" s="3264"/>
      <c r="D22" s="3264"/>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270" t="s">
        <v>1392</v>
      </c>
      <c r="B15" s="3265" t="s">
        <v>136</v>
      </c>
      <c r="C15" s="3266"/>
    </row>
    <row r="16" spans="1:7" ht="13.5">
      <c r="A16" s="3271"/>
      <c r="B16" s="3265" t="s">
        <v>69</v>
      </c>
      <c r="C16" s="3266"/>
    </row>
    <row r="17" spans="1:3" ht="13.5">
      <c r="A17" s="3271"/>
      <c r="B17" s="3268" t="s">
        <v>1393</v>
      </c>
      <c r="C17" s="1668" t="s">
        <v>1392</v>
      </c>
    </row>
    <row r="18" spans="1:3" ht="13.5">
      <c r="A18" s="3271"/>
      <c r="B18" s="3268"/>
      <c r="C18" s="1668" t="s">
        <v>1394</v>
      </c>
    </row>
    <row r="19" spans="1:3" ht="13.5">
      <c r="A19" s="3271"/>
      <c r="B19" s="3268"/>
      <c r="C19" s="1668" t="s">
        <v>1395</v>
      </c>
    </row>
    <row r="20" spans="1:3" ht="13.5">
      <c r="A20" s="3272"/>
      <c r="B20" s="3267" t="s">
        <v>1396</v>
      </c>
      <c r="C20" s="3266"/>
    </row>
    <row r="21" spans="1:3" ht="13.5">
      <c r="A21" s="1669" t="s">
        <v>1397</v>
      </c>
      <c r="B21" s="1670"/>
      <c r="C21" s="1671"/>
    </row>
    <row r="22" spans="1:3" ht="13.5">
      <c r="A22" s="3269" t="s">
        <v>1398</v>
      </c>
      <c r="B22" s="3267" t="s">
        <v>1399</v>
      </c>
      <c r="C22" s="3266"/>
    </row>
    <row r="23" spans="1:3" ht="13.5">
      <c r="A23" s="3269"/>
      <c r="B23" s="3267" t="s">
        <v>1400</v>
      </c>
      <c r="C23" s="3266"/>
    </row>
    <row r="24" spans="1:3" ht="13.5">
      <c r="A24" s="3269"/>
      <c r="B24" s="3267" t="s">
        <v>1401</v>
      </c>
      <c r="C24" s="3266"/>
    </row>
    <row r="25" spans="1:3" ht="13.5">
      <c r="A25" s="3269"/>
      <c r="B25" s="3268" t="s">
        <v>1402</v>
      </c>
      <c r="C25" s="1668" t="s">
        <v>1403</v>
      </c>
    </row>
    <row r="26" spans="1:3" ht="13.5">
      <c r="A26" s="3269"/>
      <c r="B26" s="3268"/>
      <c r="C26" s="1668" t="s">
        <v>1404</v>
      </c>
    </row>
    <row r="27" spans="1:3" ht="13.5">
      <c r="A27" s="3269"/>
      <c r="B27" s="3268"/>
      <c r="C27" s="1668" t="s">
        <v>1405</v>
      </c>
    </row>
    <row r="28" spans="1:3" ht="13.5">
      <c r="A28" s="3269"/>
      <c r="B28" s="3268"/>
      <c r="C28" s="1668" t="s">
        <v>1406</v>
      </c>
    </row>
    <row r="29" spans="1:3" ht="13.5">
      <c r="A29" s="3269"/>
      <c r="B29" s="3268"/>
      <c r="C29" s="1668" t="s">
        <v>1407</v>
      </c>
    </row>
    <row r="30" spans="1:3" ht="13.5">
      <c r="A30" s="3269"/>
      <c r="B30" s="3268"/>
      <c r="C30" s="1668" t="s">
        <v>1408</v>
      </c>
    </row>
    <row r="31" spans="1:3" ht="13.5">
      <c r="A31" s="3269"/>
      <c r="B31" s="3268"/>
      <c r="C31" s="1668" t="s">
        <v>1409</v>
      </c>
    </row>
    <row r="32" spans="1:3" ht="13.5">
      <c r="A32" s="3269"/>
      <c r="B32" s="3268"/>
      <c r="C32" s="1668" t="s">
        <v>1410</v>
      </c>
    </row>
    <row r="33" spans="1:3" ht="13.5">
      <c r="A33" s="3269"/>
      <c r="B33" s="3268"/>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44872</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t="str">
        <f ca="1">IF(C11&lt;B2,"已过期",1120070131)</f>
        <v>已过期</v>
      </c>
      <c r="C11" s="2519">
        <v>44849</v>
      </c>
      <c r="D11" s="2520" t="str">
        <f t="shared" ca="1" si="0"/>
        <v>郑燚（注册号：已过期）</v>
      </c>
      <c r="E11" s="2521" t="s">
        <v>2655</v>
      </c>
      <c r="F11" s="1425">
        <f ca="1">IF(G11&lt;B2,"已过期",2014110011)</f>
        <v>2014110011</v>
      </c>
      <c r="G11" s="2522">
        <v>49302</v>
      </c>
      <c r="H11" s="2523" t="str">
        <f t="shared" ca="1" si="1"/>
        <v>郑燚（注册号：2014110011）</v>
      </c>
    </row>
    <row r="12" spans="1:8" ht="24" customHeight="1">
      <c r="A12" s="1425" t="s">
        <v>2656</v>
      </c>
      <c r="B12" s="1425" t="str">
        <f ca="1">IF(C12&lt;B2,"已过期",1120040230)</f>
        <v>已过期</v>
      </c>
      <c r="C12" s="2524">
        <v>44864</v>
      </c>
      <c r="D12" s="2520" t="str">
        <f t="shared" ca="1" si="0"/>
        <v>苏海（注册号：已过期）</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7"/>
      <c r="E18" s="3275" t="s">
        <v>2662</v>
      </c>
      <c r="F18" s="3274"/>
      <c r="G18" s="3274"/>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2022-11-07T02:41:21Z</dcterms:modified>
</cp:coreProperties>
</file>