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state="hidden" r:id="rId22"/>
    <sheet name="土地比较法-住宅、综合" sheetId="39" r:id="rId23"/>
    <sheet name="土地案例" sheetId="90" r:id="rId24"/>
    <sheet name="基准地价修正" sheetId="43" r:id="rId25"/>
    <sheet name="收益法 (元)" sheetId="67" state="hidden" r:id="rId26"/>
    <sheet name="收益法-酒店模型" sheetId="77"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收益法" sheetId="15" r:id="rId46"/>
    <sheet name="Sheet1" sheetId="8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土地案例!$A$1:$Y$31</definedName>
    <definedName name="_xlnm._FilterDatabase" localSheetId="33"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52" i="15" l="1"/>
  <c r="L49" i="15"/>
  <c r="C6" i="68"/>
  <c r="I46" i="39"/>
  <c r="G46" i="39"/>
  <c r="E46" i="39"/>
  <c r="AB5" i="90"/>
  <c r="AB6" i="90"/>
  <c r="AB7" i="90"/>
  <c r="AB8" i="90"/>
  <c r="AB9" i="90"/>
  <c r="AB10" i="90"/>
  <c r="AB11" i="90"/>
  <c r="AB12" i="90"/>
  <c r="AB13" i="90"/>
  <c r="AB14" i="90"/>
  <c r="AB15" i="90"/>
  <c r="AB16" i="90"/>
  <c r="AB17" i="90"/>
  <c r="AB18" i="90"/>
  <c r="AB19" i="90"/>
  <c r="AB20" i="90"/>
  <c r="AB21" i="90"/>
  <c r="AB22" i="90"/>
  <c r="AB23" i="90"/>
  <c r="AB24" i="90"/>
  <c r="AB25" i="90"/>
  <c r="AB26" i="90"/>
  <c r="AB27" i="90"/>
  <c r="AB28" i="90"/>
  <c r="AB29" i="90"/>
  <c r="AB30" i="90"/>
  <c r="AB31" i="90"/>
  <c r="AB4" i="90"/>
  <c r="C11" i="39"/>
  <c r="I38" i="39"/>
  <c r="G38" i="39"/>
  <c r="E38" i="39"/>
  <c r="I7" i="39"/>
  <c r="I5" i="39"/>
  <c r="G7" i="39"/>
  <c r="G5" i="39"/>
  <c r="E7" i="39"/>
  <c r="E5" i="39"/>
  <c r="E117" i="39"/>
  <c r="F117" i="39"/>
  <c r="G117" i="39"/>
  <c r="H117" i="39" s="1"/>
  <c r="I117" i="39" s="1"/>
  <c r="D117" i="39"/>
  <c r="E70" i="39"/>
  <c r="F70" i="39"/>
  <c r="G70" i="39"/>
  <c r="H70" i="39" s="1"/>
  <c r="I70" i="39" s="1"/>
  <c r="J70" i="39" s="1"/>
  <c r="K70" i="39" s="1"/>
  <c r="L70" i="39" s="1"/>
  <c r="M70" i="39" s="1"/>
  <c r="N70" i="39" s="1"/>
  <c r="O70" i="39" s="1"/>
  <c r="D70" i="39"/>
  <c r="E34" i="77" l="1"/>
  <c r="D34" i="77"/>
  <c r="C36" i="77"/>
  <c r="D44" i="77"/>
  <c r="B4" i="77"/>
  <c r="Q3" i="77"/>
  <c r="U3" i="43"/>
  <c r="G44" i="43"/>
  <c r="D33" i="43"/>
  <c r="J49" i="15"/>
  <c r="V23" i="1"/>
  <c r="V22" i="1"/>
  <c r="N20" i="1"/>
  <c r="N22" i="1" s="1"/>
  <c r="N6" i="1" s="1"/>
  <c r="B19" i="3"/>
  <c r="C19" i="3" s="1"/>
  <c r="I26" i="33" l="1"/>
  <c r="G26" i="33"/>
  <c r="J49" i="67" l="1"/>
  <c r="D104" i="33" l="1"/>
  <c r="E104" i="33" s="1"/>
  <c r="F104" i="33" s="1"/>
  <c r="G104" i="33" s="1"/>
  <c r="D66" i="33" l="1"/>
  <c r="E66" i="33" s="1"/>
  <c r="F66" i="33" s="1"/>
  <c r="I10" i="33" l="1"/>
  <c r="C44" i="33"/>
  <c r="G10" i="33" l="1"/>
  <c r="C10" i="33"/>
  <c r="E10" i="33" s="1"/>
  <c r="Y6" i="1" l="1"/>
  <c r="C36" i="33" l="1"/>
  <c r="F19" i="6"/>
  <c r="B14" i="74" l="1"/>
  <c r="C33" i="33"/>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8" i="79" l="1"/>
  <c r="AG48" i="79" s="1"/>
  <c r="AA31" i="79"/>
  <c r="AD31" i="79" s="1"/>
  <c r="T40" i="79"/>
  <c r="U46" i="79"/>
  <c r="AI46" i="79" s="1"/>
  <c r="AD47" i="79"/>
  <c r="U50" i="79"/>
  <c r="AI50" i="79" s="1"/>
  <c r="AD51" i="79"/>
  <c r="Z3" i="79"/>
  <c r="N31" i="79"/>
  <c r="S20" i="79"/>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E43" i="77" s="1"/>
  <c r="E44" i="77" s="1"/>
  <c r="D6" i="77" s="1"/>
  <c r="AH10" i="71"/>
  <c r="AG10" i="71"/>
  <c r="AE10" i="71"/>
  <c r="AF10" i="71" s="1"/>
  <c r="AD10" i="71"/>
  <c r="Q10" i="71"/>
  <c r="P10" i="71"/>
  <c r="O10" i="71"/>
  <c r="N10" i="71"/>
  <c r="U5" i="77" l="1"/>
  <c r="D17" i="77" l="1"/>
  <c r="D9" i="77"/>
  <c r="D18" i="77"/>
  <c r="D16" i="77"/>
  <c r="D10" i="77"/>
  <c r="C23" i="77"/>
  <c r="D15" i="77"/>
  <c r="E24" i="43"/>
  <c r="D23" i="77" l="1"/>
  <c r="C29" i="77"/>
  <c r="Q32" i="43"/>
  <c r="P32" i="43"/>
  <c r="O32" i="43"/>
  <c r="N32" i="43"/>
  <c r="M32" i="43"/>
  <c r="AH11" i="71"/>
  <c r="AG11" i="71"/>
  <c r="AE11" i="71"/>
  <c r="AF11" i="71" s="1"/>
  <c r="AD11" i="71"/>
  <c r="Q11" i="71"/>
  <c r="P11" i="71"/>
  <c r="O11" i="71"/>
  <c r="N11" i="71"/>
  <c r="E23" i="77" l="1"/>
  <c r="D29" i="77"/>
  <c r="AH12" i="71"/>
  <c r="AG12" i="71"/>
  <c r="AE12" i="71"/>
  <c r="AF12" i="71" s="1"/>
  <c r="AD12" i="71"/>
  <c r="Q12" i="71"/>
  <c r="P12" i="71"/>
  <c r="O12" i="71"/>
  <c r="N12" i="71"/>
  <c r="E29" i="77" l="1"/>
  <c r="E26" i="77"/>
  <c r="AH13" i="71"/>
  <c r="AG13" i="71"/>
  <c r="AE13" i="71"/>
  <c r="AF13" i="71" s="1"/>
  <c r="AD13" i="71"/>
  <c r="Q13" i="71"/>
  <c r="P13" i="71"/>
  <c r="O13" i="71"/>
  <c r="N13"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O21" i="71"/>
  <c r="O22" i="71"/>
  <c r="N21" i="71"/>
  <c r="N22" i="71"/>
  <c r="N23" i="71"/>
  <c r="X20" i="71" s="1"/>
  <c r="AH22" i="71"/>
  <c r="AG22" i="71"/>
  <c r="AE22" i="71"/>
  <c r="AF22" i="71" s="1"/>
  <c r="AD22" i="71"/>
  <c r="Q23" i="71"/>
  <c r="P23" i="71"/>
  <c r="O23" i="71"/>
  <c r="D25" i="71"/>
  <c r="AH23" i="71"/>
  <c r="AG23" i="71"/>
  <c r="AE23" i="71"/>
  <c r="AF23" i="71" s="1"/>
  <c r="AD23" i="71"/>
  <c r="AD24" i="71"/>
  <c r="AG24" i="71"/>
  <c r="AH24" i="71"/>
  <c r="AE24" i="71"/>
  <c r="AF24" i="71" s="1"/>
  <c r="N24" i="71"/>
  <c r="B24" i="71" s="1"/>
  <c r="S24" i="71" s="1"/>
  <c r="Q24" i="71"/>
  <c r="F24" i="71" s="1"/>
  <c r="F23" i="71" s="1"/>
  <c r="F22" i="71" s="1"/>
  <c r="F21" i="71" s="1"/>
  <c r="F20" i="71" s="1"/>
  <c r="F19" i="71" s="1"/>
  <c r="F18" i="71" s="1"/>
  <c r="F17"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B74" i="72"/>
  <c r="K49" i="9"/>
  <c r="E107" i="9"/>
  <c r="E111" i="9"/>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C72" i="71"/>
  <c r="B72" i="71"/>
  <c r="S72" i="71" s="1"/>
  <c r="Q71" i="71"/>
  <c r="P71" i="71"/>
  <c r="O71" i="71"/>
  <c r="N71" i="71"/>
  <c r="Q70" i="71"/>
  <c r="P70" i="71"/>
  <c r="O70" i="71"/>
  <c r="N70" i="71"/>
  <c r="Q69" i="71"/>
  <c r="P69" i="71"/>
  <c r="O69" i="71"/>
  <c r="N69" i="71"/>
  <c r="D69" i="71"/>
  <c r="F68" i="71"/>
  <c r="F67" i="71" s="1"/>
  <c r="E68" i="7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D45" i="71"/>
  <c r="Q44" i="71"/>
  <c r="P44" i="71"/>
  <c r="O44" i="71"/>
  <c r="N44" i="71"/>
  <c r="Q43" i="71"/>
  <c r="P43" i="71"/>
  <c r="O43" i="71"/>
  <c r="N43" i="71"/>
  <c r="Q42" i="71"/>
  <c r="P42" i="71"/>
  <c r="O42" i="71"/>
  <c r="N42" i="71"/>
  <c r="Q41" i="71"/>
  <c r="F42" i="71" s="1"/>
  <c r="F43" i="71" s="1"/>
  <c r="P41" i="71"/>
  <c r="E42" i="71" s="1"/>
  <c r="E43" i="71" s="1"/>
  <c r="O41" i="71"/>
  <c r="C42" i="71" s="1"/>
  <c r="D42" i="71" s="1"/>
  <c r="N41" i="71"/>
  <c r="B42" i="71" s="1"/>
  <c r="B43" i="71" s="1"/>
  <c r="D41" i="71"/>
  <c r="Q40" i="71"/>
  <c r="P40" i="71"/>
  <c r="O40" i="71"/>
  <c r="N40" i="71"/>
  <c r="Q39" i="71"/>
  <c r="AB39" i="71" s="1"/>
  <c r="P39" i="71"/>
  <c r="O39" i="71"/>
  <c r="N39" i="71"/>
  <c r="X39" i="71" s="1"/>
  <c r="Q38" i="71"/>
  <c r="P38" i="71"/>
  <c r="O38" i="71"/>
  <c r="N38" i="71"/>
  <c r="Q37" i="71"/>
  <c r="F38" i="71" s="1"/>
  <c r="F39" i="71" s="1"/>
  <c r="P37" i="7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B30" i="71" s="1"/>
  <c r="B31" i="71" s="1"/>
  <c r="B32" i="71" s="1"/>
  <c r="S32" i="71" s="1"/>
  <c r="D29" i="71"/>
  <c r="O28" i="71"/>
  <c r="N28" i="71"/>
  <c r="B28" i="71" s="1"/>
  <c r="B27" i="71" s="1"/>
  <c r="B26" i="71" s="1"/>
  <c r="P28" i="71"/>
  <c r="E28" i="71" s="1"/>
  <c r="E67" i="71"/>
  <c r="P67" i="71" s="1"/>
  <c r="Q28" i="71"/>
  <c r="F28" i="71" s="1"/>
  <c r="F27" i="71" s="1"/>
  <c r="F26" i="71" s="1"/>
  <c r="C63"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H18" i="35"/>
  <c r="AB18" i="35" s="1"/>
  <c r="J18" i="35"/>
  <c r="H21" i="37"/>
  <c r="U21" i="37" s="1"/>
  <c r="F21" i="37"/>
  <c r="AA21" i="37" s="1"/>
  <c r="H21" i="34"/>
  <c r="AB21" i="34" s="1"/>
  <c r="H21" i="33"/>
  <c r="U21" i="33" s="1"/>
  <c r="F21" i="33"/>
  <c r="AA21" i="33" s="1"/>
  <c r="H1" i="69"/>
  <c r="U25" i="40"/>
  <c r="AB21" i="37"/>
  <c r="U21" i="34"/>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I5" i="3" s="1"/>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G5" i="3" s="1"/>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AC5" i="3" s="1"/>
  <c r="H22" i="3"/>
  <c r="BT21" i="3"/>
  <c r="BS21" i="3"/>
  <c r="BR21" i="3"/>
  <c r="BQ21" i="3"/>
  <c r="BP21" i="3"/>
  <c r="BO21" i="3"/>
  <c r="BN21" i="3"/>
  <c r="BM21" i="3"/>
  <c r="BK21" i="3"/>
  <c r="BJ21" i="3"/>
  <c r="BI21" i="3"/>
  <c r="BH21" i="3"/>
  <c r="BG21" i="3"/>
  <c r="BF21" i="3"/>
  <c r="BE21" i="3"/>
  <c r="BE5" i="3" s="1"/>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D5" i="3" s="1"/>
  <c r="BC19" i="3"/>
  <c r="BC5" i="3" s="1"/>
  <c r="BB19" i="3"/>
  <c r="AX19" i="3"/>
  <c r="AW19" i="3"/>
  <c r="AV19" i="3"/>
  <c r="AC19" i="3"/>
  <c r="H19" i="3"/>
  <c r="BT18" i="3"/>
  <c r="BS18" i="3"/>
  <c r="BR18" i="3"/>
  <c r="BQ18" i="3"/>
  <c r="BP18" i="3"/>
  <c r="BO18" i="3"/>
  <c r="BN18" i="3"/>
  <c r="BM18" i="3"/>
  <c r="BK18" i="3"/>
  <c r="BK5" i="3" s="1"/>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A195" i="3" s="1"/>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L192" i="3" s="1"/>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L168" i="3" s="1"/>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A139" i="3" s="1"/>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L128" i="3" s="1"/>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H5" i="3" s="1"/>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O5"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M5" i="3" s="1"/>
  <c r="BK210" i="3"/>
  <c r="BJ210" i="3"/>
  <c r="BI210" i="3"/>
  <c r="BH210" i="3"/>
  <c r="BG210" i="3"/>
  <c r="BF210" i="3"/>
  <c r="BE210" i="3"/>
  <c r="BD210" i="3"/>
  <c r="BC210" i="3"/>
  <c r="BB210" i="3"/>
  <c r="AX210" i="3"/>
  <c r="AW210" i="3"/>
  <c r="AV210" i="3"/>
  <c r="AC210" i="3"/>
  <c r="H210" i="3"/>
  <c r="BT209" i="3"/>
  <c r="BT5" i="3" s="1"/>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J5" i="3" s="1"/>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A394" i="3" s="1"/>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L390" i="3" s="1"/>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A389" i="3" s="1"/>
  <c r="BH389" i="3"/>
  <c r="BG389" i="3"/>
  <c r="BF389" i="3"/>
  <c r="BE389" i="3"/>
  <c r="BD389" i="3"/>
  <c r="BC389" i="3"/>
  <c r="BB389" i="3"/>
  <c r="AX389" i="3"/>
  <c r="AW389" i="3"/>
  <c r="AV389" i="3"/>
  <c r="AC389" i="3"/>
  <c r="H389" i="3"/>
  <c r="G389" i="3" s="1"/>
  <c r="BT388" i="3"/>
  <c r="BS388" i="3"/>
  <c r="BR388" i="3"/>
  <c r="BQ388" i="3"/>
  <c r="BL388" i="3" s="1"/>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A387" i="3" s="1"/>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L382" i="3" s="1"/>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L380" i="3" s="1"/>
  <c r="BO380" i="3"/>
  <c r="BN380" i="3"/>
  <c r="BM380" i="3"/>
  <c r="BK380" i="3"/>
  <c r="BJ380" i="3"/>
  <c r="BI380" i="3"/>
  <c r="BH380" i="3"/>
  <c r="BA380" i="3" s="1"/>
  <c r="BG380" i="3"/>
  <c r="BF380" i="3"/>
  <c r="BE380" i="3"/>
  <c r="BD380" i="3"/>
  <c r="BC380" i="3"/>
  <c r="BB380" i="3"/>
  <c r="AX380" i="3"/>
  <c r="AW380" i="3"/>
  <c r="AV380" i="3"/>
  <c r="AC380" i="3"/>
  <c r="H380" i="3"/>
  <c r="G380" i="3"/>
  <c r="BT379" i="3"/>
  <c r="BS379" i="3"/>
  <c r="BR379" i="3"/>
  <c r="BQ379" i="3"/>
  <c r="BL379" i="3" s="1"/>
  <c r="BP379" i="3"/>
  <c r="BO379" i="3"/>
  <c r="BN379" i="3"/>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L378" i="3" s="1"/>
  <c r="BN378" i="3"/>
  <c r="BM378" i="3"/>
  <c r="BK378" i="3"/>
  <c r="BJ378" i="3"/>
  <c r="BI378" i="3"/>
  <c r="BH378" i="3"/>
  <c r="BG378" i="3"/>
  <c r="BA378" i="3" s="1"/>
  <c r="AZ378" i="3" s="1"/>
  <c r="BF378" i="3"/>
  <c r="BE378" i="3"/>
  <c r="BD378" i="3"/>
  <c r="BC378" i="3"/>
  <c r="BB378" i="3"/>
  <c r="AX378" i="3"/>
  <c r="AW378" i="3"/>
  <c r="AV378" i="3"/>
  <c r="AC378" i="3"/>
  <c r="H378" i="3"/>
  <c r="BT377" i="3"/>
  <c r="BS377" i="3"/>
  <c r="BR377" i="3"/>
  <c r="BQ377" i="3"/>
  <c r="BP377" i="3"/>
  <c r="BO377" i="3"/>
  <c r="BL377" i="3" s="1"/>
  <c r="BN377" i="3"/>
  <c r="BM377" i="3"/>
  <c r="BK377" i="3"/>
  <c r="BJ377" i="3"/>
  <c r="BI377" i="3"/>
  <c r="BH377" i="3"/>
  <c r="BG377" i="3"/>
  <c r="BF377" i="3"/>
  <c r="BE377" i="3"/>
  <c r="BA377" i="3" s="1"/>
  <c r="BD377" i="3"/>
  <c r="BC377" i="3"/>
  <c r="BB377" i="3"/>
  <c r="AX377" i="3"/>
  <c r="AW377" i="3"/>
  <c r="AV377" i="3"/>
  <c r="AC377" i="3"/>
  <c r="G377" i="3" s="1"/>
  <c r="H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L374" i="3" s="1"/>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L372" i="3" s="1"/>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A371" i="3" s="1"/>
  <c r="BG371" i="3"/>
  <c r="BF371" i="3"/>
  <c r="BE371" i="3"/>
  <c r="BD371" i="3"/>
  <c r="BC371" i="3"/>
  <c r="BB371" i="3"/>
  <c r="AX371" i="3"/>
  <c r="AW371" i="3"/>
  <c r="AV371" i="3"/>
  <c r="AC371" i="3"/>
  <c r="H371" i="3"/>
  <c r="BT370" i="3"/>
  <c r="BS370" i="3"/>
  <c r="BR370" i="3"/>
  <c r="BQ370" i="3"/>
  <c r="BP370" i="3"/>
  <c r="BL370" i="3" s="1"/>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A364" i="3" s="1"/>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A363" i="3" s="1"/>
  <c r="BF363" i="3"/>
  <c r="BE363" i="3"/>
  <c r="BD363" i="3"/>
  <c r="BC363" i="3"/>
  <c r="BB363" i="3"/>
  <c r="AX363" i="3"/>
  <c r="AW363" i="3"/>
  <c r="AV363" i="3"/>
  <c r="AC363" i="3"/>
  <c r="H363" i="3"/>
  <c r="BT362" i="3"/>
  <c r="BS362" i="3"/>
  <c r="BR362" i="3"/>
  <c r="BQ362" i="3"/>
  <c r="BP362" i="3"/>
  <c r="BO362" i="3"/>
  <c r="BL362" i="3" s="1"/>
  <c r="BN362" i="3"/>
  <c r="BM362" i="3"/>
  <c r="BK362" i="3"/>
  <c r="BJ362" i="3"/>
  <c r="BI362" i="3"/>
  <c r="BH362" i="3"/>
  <c r="BG362" i="3"/>
  <c r="BA362" i="3" s="1"/>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L358" i="3" s="1"/>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L356" i="3" s="1"/>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L355" i="3" s="1"/>
  <c r="BO355" i="3"/>
  <c r="BN355" i="3"/>
  <c r="BM355" i="3"/>
  <c r="BK355" i="3"/>
  <c r="BJ355" i="3"/>
  <c r="BI355" i="3"/>
  <c r="BH355" i="3"/>
  <c r="BA355" i="3" s="1"/>
  <c r="AZ355" i="3" s="1"/>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L349" i="3" s="1"/>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L347" i="3" s="1"/>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A346" i="3" s="1"/>
  <c r="BF346" i="3"/>
  <c r="BE346" i="3"/>
  <c r="BD346" i="3"/>
  <c r="BC346" i="3"/>
  <c r="BB346" i="3"/>
  <c r="AX346" i="3"/>
  <c r="AW346" i="3"/>
  <c r="AV346" i="3"/>
  <c r="AC346" i="3"/>
  <c r="G346" i="3" s="1"/>
  <c r="H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L344" i="3" s="1"/>
  <c r="BK344" i="3"/>
  <c r="BJ344" i="3"/>
  <c r="BI344" i="3"/>
  <c r="BH344" i="3"/>
  <c r="BG344" i="3"/>
  <c r="BF344" i="3"/>
  <c r="BE344" i="3"/>
  <c r="BA344" i="3" s="1"/>
  <c r="AZ344" i="3" s="1"/>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A343" i="3" s="1"/>
  <c r="BB343" i="3"/>
  <c r="AX343" i="3"/>
  <c r="AW343" i="3"/>
  <c r="AV343" i="3"/>
  <c r="AC343" i="3"/>
  <c r="H343" i="3"/>
  <c r="BT342" i="3"/>
  <c r="BL342" i="3" s="1"/>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L338" i="3" s="1"/>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A337" i="3" s="1"/>
  <c r="BE337" i="3"/>
  <c r="BD337" i="3"/>
  <c r="BC337" i="3"/>
  <c r="BB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L331" i="3" s="1"/>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A330" i="3" s="1"/>
  <c r="BF330" i="3"/>
  <c r="BE330" i="3"/>
  <c r="BD330" i="3"/>
  <c r="BC330" i="3"/>
  <c r="BB330" i="3"/>
  <c r="AX330" i="3"/>
  <c r="AW330" i="3"/>
  <c r="AV330" i="3"/>
  <c r="AC330" i="3"/>
  <c r="H330" i="3"/>
  <c r="BT329" i="3"/>
  <c r="BS329" i="3"/>
  <c r="BR329" i="3"/>
  <c r="BQ329" i="3"/>
  <c r="BP329" i="3"/>
  <c r="BO329" i="3"/>
  <c r="BL329" i="3" s="1"/>
  <c r="BN329" i="3"/>
  <c r="BM329" i="3"/>
  <c r="BK329" i="3"/>
  <c r="BJ329" i="3"/>
  <c r="BI329" i="3"/>
  <c r="BH329" i="3"/>
  <c r="BG329" i="3"/>
  <c r="BF329" i="3"/>
  <c r="BE329" i="3"/>
  <c r="BA329" i="3" s="1"/>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A328" i="3" s="1"/>
  <c r="AZ328" i="3" s="1"/>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A327" i="3" s="1"/>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BT325" i="3"/>
  <c r="BS325" i="3"/>
  <c r="BR325" i="3"/>
  <c r="BQ325" i="3"/>
  <c r="BP325" i="3"/>
  <c r="BO325" i="3"/>
  <c r="BN325" i="3"/>
  <c r="BM325" i="3"/>
  <c r="BK325" i="3"/>
  <c r="BJ325" i="3"/>
  <c r="BA325" i="3" s="1"/>
  <c r="AZ325" i="3" s="1"/>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L322" i="3" s="1"/>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A321" i="3" s="1"/>
  <c r="BE321" i="3"/>
  <c r="BD321" i="3"/>
  <c r="BC321" i="3"/>
  <c r="BB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L315" i="3" s="1"/>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A312" i="3" s="1"/>
  <c r="BD312" i="3"/>
  <c r="BC312" i="3"/>
  <c r="BB312" i="3"/>
  <c r="AX312" i="3"/>
  <c r="AW312" i="3"/>
  <c r="AV312" i="3"/>
  <c r="AC312" i="3"/>
  <c r="H312" i="3"/>
  <c r="BT311" i="3"/>
  <c r="BS311" i="3"/>
  <c r="BR311" i="3"/>
  <c r="BQ311" i="3"/>
  <c r="BP311" i="3"/>
  <c r="BO311" i="3"/>
  <c r="BN311" i="3"/>
  <c r="BM311" i="3"/>
  <c r="BL311" i="3" s="1"/>
  <c r="AZ311" i="3" s="1"/>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BT309" i="3"/>
  <c r="BS309" i="3"/>
  <c r="BR309" i="3"/>
  <c r="BL309" i="3" s="1"/>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L306" i="3" s="1"/>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L305" i="3" s="1"/>
  <c r="BM305" i="3"/>
  <c r="BK305" i="3"/>
  <c r="BJ305" i="3"/>
  <c r="BI305" i="3"/>
  <c r="BH305" i="3"/>
  <c r="BG305" i="3"/>
  <c r="BF305" i="3"/>
  <c r="BA305" i="3" s="1"/>
  <c r="BE305" i="3"/>
  <c r="BD305" i="3"/>
  <c r="BC305" i="3"/>
  <c r="BB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A304" i="3" s="1"/>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S30" i="31" s="1"/>
  <c r="R31" i="31"/>
  <c r="S31" i="31" s="1"/>
  <c r="R32" i="31"/>
  <c r="S32" i="31" s="1"/>
  <c r="R33" i="31"/>
  <c r="S33" i="31" s="1"/>
  <c r="R34" i="31"/>
  <c r="S34" i="31" s="1"/>
  <c r="R35" i="31"/>
  <c r="R36" i="31"/>
  <c r="S36" i="31" s="1"/>
  <c r="R37" i="31"/>
  <c r="S37" i="31" s="1"/>
  <c r="R38" i="31"/>
  <c r="S38" i="31" s="1"/>
  <c r="R39" i="31"/>
  <c r="S39" i="31" s="1"/>
  <c r="R40" i="31"/>
  <c r="S40" i="31" s="1"/>
  <c r="R41" i="31"/>
  <c r="S41" i="31" s="1"/>
  <c r="R42" i="3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S62" i="31" s="1"/>
  <c r="R63" i="31"/>
  <c r="S63" i="31" s="1"/>
  <c r="R64" i="31"/>
  <c r="S64" i="31" s="1"/>
  <c r="R65" i="31"/>
  <c r="S65" i="31" s="1"/>
  <c r="R66" i="31"/>
  <c r="S66" i="31" s="1"/>
  <c r="R67" i="31"/>
  <c r="S67" i="31" s="1"/>
  <c r="R68" i="31"/>
  <c r="S68" i="31" s="1"/>
  <c r="R69" i="31"/>
  <c r="R70" i="31"/>
  <c r="R71" i="31"/>
  <c r="R72" i="31"/>
  <c r="R73" i="31"/>
  <c r="S73" i="31" s="1"/>
  <c r="R74" i="31"/>
  <c r="R75" i="31"/>
  <c r="R76" i="31"/>
  <c r="R77" i="31"/>
  <c r="R78" i="31"/>
  <c r="R79" i="31"/>
  <c r="R80" i="31"/>
  <c r="R81" i="31"/>
  <c r="S81" i="31" s="1"/>
  <c r="R82" i="31"/>
  <c r="S82" i="31" s="1"/>
  <c r="R83" i="31"/>
  <c r="R84" i="31"/>
  <c r="R85" i="31"/>
  <c r="R86" i="31"/>
  <c r="R87" i="31"/>
  <c r="R88" i="31"/>
  <c r="S88" i="31" s="1"/>
  <c r="R89" i="31"/>
  <c r="S89" i="31" s="1"/>
  <c r="R90" i="31"/>
  <c r="R91" i="31"/>
  <c r="R92" i="31"/>
  <c r="R93" i="31"/>
  <c r="R94" i="31"/>
  <c r="R95" i="31"/>
  <c r="R96" i="31"/>
  <c r="R97" i="31"/>
  <c r="S97" i="31" s="1"/>
  <c r="R98" i="31"/>
  <c r="S98" i="31" s="1"/>
  <c r="R99" i="31"/>
  <c r="S99" i="31" s="1"/>
  <c r="R100" i="31"/>
  <c r="S100" i="31" s="1"/>
  <c r="R101" i="31"/>
  <c r="S101" i="31" s="1"/>
  <c r="R102" i="31"/>
  <c r="S102" i="31" s="1"/>
  <c r="R103" i="31"/>
  <c r="R104" i="31"/>
  <c r="R105" i="31"/>
  <c r="S105" i="31" s="1"/>
  <c r="R106" i="31"/>
  <c r="R107" i="31"/>
  <c r="R108" i="31"/>
  <c r="R109" i="31"/>
  <c r="R110" i="31"/>
  <c r="R111" i="31"/>
  <c r="R112" i="31"/>
  <c r="R113" i="31"/>
  <c r="S113" i="31" s="1"/>
  <c r="R114" i="31"/>
  <c r="S114" i="31" s="1"/>
  <c r="R115" i="31"/>
  <c r="S115" i="31" s="1"/>
  <c r="R116" i="31"/>
  <c r="S116" i="31" s="1"/>
  <c r="R117" i="31"/>
  <c r="R118" i="31"/>
  <c r="R119" i="31"/>
  <c r="R120" i="31"/>
  <c r="S120" i="31" s="1"/>
  <c r="R121" i="31"/>
  <c r="S121" i="31" s="1"/>
  <c r="R122" i="31"/>
  <c r="R123" i="31"/>
  <c r="R124" i="31"/>
  <c r="R125" i="31"/>
  <c r="R126" i="31"/>
  <c r="R127" i="31"/>
  <c r="R128" i="31"/>
  <c r="R129" i="31"/>
  <c r="S129" i="31" s="1"/>
  <c r="R130" i="31"/>
  <c r="R131" i="31"/>
  <c r="R132" i="31"/>
  <c r="R133" i="31"/>
  <c r="S133" i="31" s="1"/>
  <c r="R134" i="31"/>
  <c r="S134" i="31" s="1"/>
  <c r="R135" i="31"/>
  <c r="S135" i="31" s="1"/>
  <c r="R136" i="31"/>
  <c r="R137" i="31"/>
  <c r="S137" i="31" s="1"/>
  <c r="R138" i="31"/>
  <c r="R139" i="31"/>
  <c r="R140" i="31"/>
  <c r="R141" i="31"/>
  <c r="R142" i="31"/>
  <c r="S142" i="31" s="1"/>
  <c r="R143" i="31"/>
  <c r="S143" i="31" s="1"/>
  <c r="R144" i="31"/>
  <c r="R145" i="31"/>
  <c r="S145" i="31" s="1"/>
  <c r="R146" i="31"/>
  <c r="S146" i="31" s="1"/>
  <c r="R147" i="31"/>
  <c r="R148" i="31"/>
  <c r="R149" i="31"/>
  <c r="S149" i="31" s="1"/>
  <c r="R150" i="31"/>
  <c r="S150" i="31" s="1"/>
  <c r="R151" i="31"/>
  <c r="S151" i="31" s="1"/>
  <c r="R152" i="31"/>
  <c r="S152" i="31" s="1"/>
  <c r="R153" i="31"/>
  <c r="S153" i="31" s="1"/>
  <c r="R154" i="31"/>
  <c r="R155" i="31"/>
  <c r="R156" i="31"/>
  <c r="R157" i="31"/>
  <c r="R158" i="31"/>
  <c r="R159" i="31"/>
  <c r="R160" i="31"/>
  <c r="S160" i="31" s="1"/>
  <c r="R161" i="31"/>
  <c r="S161" i="31" s="1"/>
  <c r="R162" i="31"/>
  <c r="S162" i="31" s="1"/>
  <c r="R163" i="31"/>
  <c r="R164" i="31"/>
  <c r="R165" i="31"/>
  <c r="S165" i="31" s="1"/>
  <c r="R166" i="31"/>
  <c r="S166" i="31" s="1"/>
  <c r="R167" i="31"/>
  <c r="S167" i="31" s="1"/>
  <c r="R168" i="31"/>
  <c r="R169" i="31"/>
  <c r="S169" i="31" s="1"/>
  <c r="R170" i="31"/>
  <c r="R171" i="31"/>
  <c r="R172" i="31"/>
  <c r="R173" i="31"/>
  <c r="R174" i="31"/>
  <c r="R175" i="31"/>
  <c r="R176" i="31"/>
  <c r="R177" i="31"/>
  <c r="S177" i="31" s="1"/>
  <c r="R178" i="31"/>
  <c r="S178" i="31" s="1"/>
  <c r="R179" i="31"/>
  <c r="S179" i="31" s="1"/>
  <c r="R180" i="31"/>
  <c r="S180" i="31" s="1"/>
  <c r="R181" i="31"/>
  <c r="S181" i="31" s="1"/>
  <c r="R182" i="31"/>
  <c r="S182" i="31" s="1"/>
  <c r="R183" i="31"/>
  <c r="S183" i="31" s="1"/>
  <c r="R184" i="31"/>
  <c r="S184" i="31" s="1"/>
  <c r="R185" i="31"/>
  <c r="R186" i="31"/>
  <c r="R187" i="31"/>
  <c r="R188" i="31"/>
  <c r="R189" i="31"/>
  <c r="R190" i="31"/>
  <c r="R191" i="31"/>
  <c r="R192" i="31"/>
  <c r="R193" i="31"/>
  <c r="R194" i="31"/>
  <c r="S194" i="31" s="1"/>
  <c r="R195" i="31"/>
  <c r="S195" i="31" s="1"/>
  <c r="R196" i="31"/>
  <c r="S196" i="31" s="1"/>
  <c r="R197" i="31"/>
  <c r="S197" i="31" s="1"/>
  <c r="R198" i="31"/>
  <c r="S198" i="31" s="1"/>
  <c r="R199" i="31"/>
  <c r="S199" i="31" s="1"/>
  <c r="R200" i="31"/>
  <c r="S200" i="31" s="1"/>
  <c r="R201" i="31"/>
  <c r="S201" i="31" s="1"/>
  <c r="R202" i="31"/>
  <c r="R203" i="31"/>
  <c r="R204" i="31"/>
  <c r="R205" i="31"/>
  <c r="R206" i="31"/>
  <c r="R207" i="31"/>
  <c r="R208" i="31"/>
  <c r="R209" i="31"/>
  <c r="R210" i="31"/>
  <c r="R211" i="31"/>
  <c r="R212" i="31"/>
  <c r="R213" i="31"/>
  <c r="S213" i="31" s="1"/>
  <c r="R214" i="31"/>
  <c r="S214" i="31" s="1"/>
  <c r="R215" i="31"/>
  <c r="S215" i="31" s="1"/>
  <c r="R216" i="31"/>
  <c r="R217" i="31"/>
  <c r="S217" i="31" s="1"/>
  <c r="R218" i="31"/>
  <c r="R219" i="31"/>
  <c r="R220" i="31"/>
  <c r="R221" i="31"/>
  <c r="R222" i="31"/>
  <c r="R223" i="31"/>
  <c r="R224" i="31"/>
  <c r="S224" i="31" s="1"/>
  <c r="R225" i="31"/>
  <c r="S225" i="31" s="1"/>
  <c r="R226" i="31"/>
  <c r="S226" i="31" s="1"/>
  <c r="R227" i="31"/>
  <c r="R228" i="31"/>
  <c r="R229" i="31"/>
  <c r="R230" i="31"/>
  <c r="R231" i="31"/>
  <c r="S231" i="31" s="1"/>
  <c r="R232" i="31"/>
  <c r="S232" i="31" s="1"/>
  <c r="R233" i="31"/>
  <c r="S233" i="31" s="1"/>
  <c r="R234" i="31"/>
  <c r="R235" i="31"/>
  <c r="R236" i="31"/>
  <c r="R237" i="31"/>
  <c r="R238" i="31"/>
  <c r="R239" i="31"/>
  <c r="R240" i="31"/>
  <c r="S240" i="31" s="1"/>
  <c r="R241" i="31"/>
  <c r="S241" i="31" s="1"/>
  <c r="R242" i="31"/>
  <c r="S242" i="31" s="1"/>
  <c r="R243" i="31"/>
  <c r="R244" i="31"/>
  <c r="R245" i="31"/>
  <c r="R246" i="31"/>
  <c r="R247" i="31"/>
  <c r="R248" i="31"/>
  <c r="R249" i="31"/>
  <c r="R250" i="31"/>
  <c r="R251" i="3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R395" i="31"/>
  <c r="S395" i="31" s="1"/>
  <c r="R396" i="31"/>
  <c r="R397" i="31"/>
  <c r="S397" i="31" s="1"/>
  <c r="R398" i="3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R431" i="31"/>
  <c r="R432" i="31"/>
  <c r="S432" i="31" s="1"/>
  <c r="R433" i="31"/>
  <c r="S433" i="31" s="1"/>
  <c r="R434" i="31"/>
  <c r="S434" i="31" s="1"/>
  <c r="R435" i="31"/>
  <c r="S435" i="31" s="1"/>
  <c r="R436" i="31"/>
  <c r="S436" i="31" s="1"/>
  <c r="R437" i="31"/>
  <c r="S437" i="31" s="1"/>
  <c r="R438" i="31"/>
  <c r="S438" i="31" s="1"/>
  <c r="R439" i="31"/>
  <c r="S439" i="31" s="1"/>
  <c r="R440" i="31"/>
  <c r="S440" i="31" s="1"/>
  <c r="R441" i="31"/>
  <c r="R442" i="31"/>
  <c r="R443" i="3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R459" i="31"/>
  <c r="R460" i="31"/>
  <c r="R461" i="31"/>
  <c r="S461" i="31" s="1"/>
  <c r="R462" i="31"/>
  <c r="R463" i="31"/>
  <c r="R464" i="31"/>
  <c r="R465" i="31"/>
  <c r="S465" i="31" s="1"/>
  <c r="R466" i="31"/>
  <c r="R467" i="31"/>
  <c r="S467" i="31" s="1"/>
  <c r="R468" i="31"/>
  <c r="R469" i="31"/>
  <c r="R470" i="31"/>
  <c r="R471" i="31"/>
  <c r="R472" i="31"/>
  <c r="S472" i="31" s="1"/>
  <c r="R473" i="31"/>
  <c r="R474" i="31"/>
  <c r="R475" i="31"/>
  <c r="R476" i="31"/>
  <c r="R477" i="31"/>
  <c r="S477" i="31" s="1"/>
  <c r="R478" i="31"/>
  <c r="S478" i="31" s="1"/>
  <c r="R479" i="31"/>
  <c r="S479" i="31" s="1"/>
  <c r="R480" i="31"/>
  <c r="S480" i="31" s="1"/>
  <c r="R481" i="31"/>
  <c r="S481" i="31" s="1"/>
  <c r="R482" i="31"/>
  <c r="R483" i="31"/>
  <c r="R484" i="31"/>
  <c r="R485" i="31"/>
  <c r="R486" i="31"/>
  <c r="R487" i="31"/>
  <c r="R488" i="31"/>
  <c r="S488" i="31" s="1"/>
  <c r="R489" i="31"/>
  <c r="R490" i="31"/>
  <c r="R491" i="31"/>
  <c r="R492" i="31"/>
  <c r="R493" i="31"/>
  <c r="S493" i="31" s="1"/>
  <c r="R494" i="31"/>
  <c r="S494" i="31" s="1"/>
  <c r="R495" i="31"/>
  <c r="R496" i="31"/>
  <c r="S496" i="31" s="1"/>
  <c r="R497" i="31"/>
  <c r="S497" i="31" s="1"/>
  <c r="R498" i="31"/>
  <c r="S498" i="31" s="1"/>
  <c r="R499" i="31"/>
  <c r="S499" i="31" s="1"/>
  <c r="R500" i="31"/>
  <c r="S500" i="31" s="1"/>
  <c r="R501" i="31"/>
  <c r="S501" i="31" s="1"/>
  <c r="R502" i="31"/>
  <c r="S502" i="31" s="1"/>
  <c r="R503" i="31"/>
  <c r="R504" i="31"/>
  <c r="S504" i="31" s="1"/>
  <c r="R505" i="31"/>
  <c r="R506" i="31"/>
  <c r="R507" i="31"/>
  <c r="R508" i="31"/>
  <c r="R509" i="31"/>
  <c r="R510" i="31"/>
  <c r="R511" i="31"/>
  <c r="R512" i="31"/>
  <c r="S512" i="31" s="1"/>
  <c r="R513" i="31"/>
  <c r="S513" i="31" s="1"/>
  <c r="R514" i="31"/>
  <c r="R515" i="31"/>
  <c r="R516" i="31"/>
  <c r="S516" i="31" s="1"/>
  <c r="R517" i="31"/>
  <c r="R518" i="31"/>
  <c r="R519" i="31"/>
  <c r="S519" i="31" s="1"/>
  <c r="R520" i="31"/>
  <c r="S520" i="31" s="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12" i="31"/>
  <c r="S410" i="31"/>
  <c r="S400" i="31"/>
  <c r="S398" i="31"/>
  <c r="S396" i="31"/>
  <c r="S394" i="31"/>
  <c r="S390" i="31"/>
  <c r="S382" i="31"/>
  <c r="S380" i="31"/>
  <c r="S378" i="31"/>
  <c r="S366" i="31"/>
  <c r="S364" i="31"/>
  <c r="S362" i="31"/>
  <c r="S358" i="31"/>
  <c r="S350" i="31"/>
  <c r="S348" i="31"/>
  <c r="S346" i="31"/>
  <c r="S344" i="31"/>
  <c r="S342" i="31"/>
  <c r="S340" i="31"/>
  <c r="S338" i="31"/>
  <c r="S332" i="31"/>
  <c r="S330" i="31"/>
  <c r="S318" i="31"/>
  <c r="S316" i="31"/>
  <c r="S314" i="31"/>
  <c r="S310" i="31"/>
  <c r="S308" i="31"/>
  <c r="S306" i="31"/>
  <c r="S304" i="31"/>
  <c r="S302" i="31"/>
  <c r="S300" i="31"/>
  <c r="S298" i="31"/>
  <c r="S286" i="31"/>
  <c r="S284" i="31"/>
  <c r="S282" i="31"/>
  <c r="S278" i="31"/>
  <c r="S276" i="31"/>
  <c r="S272" i="31"/>
  <c r="S270" i="31"/>
  <c r="S268" i="31"/>
  <c r="S266" i="31"/>
  <c r="S264" i="31"/>
  <c r="S253" i="31"/>
  <c r="S252" i="31"/>
  <c r="S251" i="31"/>
  <c r="S250" i="31"/>
  <c r="S249" i="31"/>
  <c r="S248" i="31"/>
  <c r="S247" i="31"/>
  <c r="S246" i="31"/>
  <c r="S245" i="31"/>
  <c r="S244" i="31"/>
  <c r="S243" i="31"/>
  <c r="S239" i="31"/>
  <c r="S238" i="31"/>
  <c r="S237" i="31"/>
  <c r="S236" i="31"/>
  <c r="S235" i="31"/>
  <c r="S234" i="31"/>
  <c r="S230" i="31"/>
  <c r="S229" i="31"/>
  <c r="S228" i="31"/>
  <c r="S227" i="31"/>
  <c r="S223" i="31"/>
  <c r="S429" i="31"/>
  <c r="S428" i="31"/>
  <c r="S427" i="31"/>
  <c r="S426" i="31"/>
  <c r="S425" i="31"/>
  <c r="S222" i="31"/>
  <c r="S221" i="31"/>
  <c r="S220" i="31"/>
  <c r="S219" i="31"/>
  <c r="S218" i="31"/>
  <c r="S216" i="31"/>
  <c r="S212" i="31"/>
  <c r="S211" i="31"/>
  <c r="S210" i="31"/>
  <c r="S209" i="31"/>
  <c r="S208" i="31"/>
  <c r="S207" i="31"/>
  <c r="S206" i="31"/>
  <c r="S205" i="31"/>
  <c r="S204" i="31"/>
  <c r="S203" i="31"/>
  <c r="S202" i="31"/>
  <c r="S193" i="31"/>
  <c r="S192" i="31"/>
  <c r="S191" i="31"/>
  <c r="S190" i="31"/>
  <c r="S189" i="31"/>
  <c r="S188" i="31"/>
  <c r="S187" i="31"/>
  <c r="S186" i="31"/>
  <c r="S185" i="31"/>
  <c r="S176" i="31"/>
  <c r="S175" i="31"/>
  <c r="S174" i="31"/>
  <c r="S173" i="31"/>
  <c r="S172" i="31"/>
  <c r="S171" i="31"/>
  <c r="S170" i="31"/>
  <c r="S168" i="31"/>
  <c r="S164" i="31"/>
  <c r="S163" i="31"/>
  <c r="S159" i="31"/>
  <c r="S158" i="31"/>
  <c r="S157" i="31"/>
  <c r="S156" i="31"/>
  <c r="S155" i="31"/>
  <c r="S154" i="31"/>
  <c r="S148" i="31"/>
  <c r="S147" i="31"/>
  <c r="S144" i="31"/>
  <c r="S141" i="31"/>
  <c r="S140" i="31"/>
  <c r="S139" i="31"/>
  <c r="S138" i="31"/>
  <c r="S136" i="31"/>
  <c r="S132" i="31"/>
  <c r="S131" i="31"/>
  <c r="S130" i="31"/>
  <c r="S128" i="31"/>
  <c r="S127" i="31"/>
  <c r="S126" i="31"/>
  <c r="S125" i="31"/>
  <c r="S124" i="31"/>
  <c r="S123" i="31"/>
  <c r="S495" i="31"/>
  <c r="S492" i="31"/>
  <c r="S491" i="31"/>
  <c r="S490" i="31"/>
  <c r="S489" i="31"/>
  <c r="S487" i="31"/>
  <c r="S486" i="31"/>
  <c r="S485" i="31"/>
  <c r="S484" i="31"/>
  <c r="S483" i="31"/>
  <c r="S482" i="31"/>
  <c r="S476" i="31"/>
  <c r="S475" i="31"/>
  <c r="S474" i="31"/>
  <c r="S473" i="31"/>
  <c r="S471" i="31"/>
  <c r="S470" i="31"/>
  <c r="S469" i="31"/>
  <c r="S468" i="31"/>
  <c r="S444" i="31"/>
  <c r="S443" i="31"/>
  <c r="S442" i="31"/>
  <c r="S441" i="31"/>
  <c r="S431" i="31"/>
  <c r="S430" i="31"/>
  <c r="S122" i="31"/>
  <c r="S119" i="31"/>
  <c r="S118" i="31"/>
  <c r="S117" i="31"/>
  <c r="S112" i="31"/>
  <c r="S506" i="31"/>
  <c r="S466" i="31"/>
  <c r="S464" i="31"/>
  <c r="S463" i="31"/>
  <c r="S462" i="31"/>
  <c r="S460" i="31"/>
  <c r="S459" i="31"/>
  <c r="S458" i="31"/>
  <c r="S457" i="31"/>
  <c r="S54" i="31"/>
  <c r="S53" i="31"/>
  <c r="S52" i="31"/>
  <c r="S51" i="31"/>
  <c r="S47" i="31"/>
  <c r="S46" i="31"/>
  <c r="S45" i="31"/>
  <c r="S44" i="31"/>
  <c r="S43" i="31"/>
  <c r="S42" i="31"/>
  <c r="S35" i="31"/>
  <c r="S77" i="31"/>
  <c r="S76" i="31"/>
  <c r="S75" i="31"/>
  <c r="S74" i="31"/>
  <c r="S72" i="31"/>
  <c r="S71" i="31"/>
  <c r="S70" i="31"/>
  <c r="S69" i="31"/>
  <c r="S61" i="31"/>
  <c r="S60" i="31"/>
  <c r="S59" i="31"/>
  <c r="S58" i="31"/>
  <c r="S56" i="31"/>
  <c r="S55" i="31"/>
  <c r="S24" i="31"/>
  <c r="S96" i="31"/>
  <c r="S95" i="31"/>
  <c r="S94" i="31"/>
  <c r="S93" i="31"/>
  <c r="S92" i="31"/>
  <c r="S91" i="31"/>
  <c r="S90" i="31"/>
  <c r="S87" i="31"/>
  <c r="S86" i="31"/>
  <c r="S85" i="31"/>
  <c r="S84" i="31"/>
  <c r="S83" i="31"/>
  <c r="S80" i="31"/>
  <c r="S79" i="31"/>
  <c r="S78" i="31"/>
  <c r="S29" i="31"/>
  <c r="S103" i="31"/>
  <c r="S104" i="31"/>
  <c r="S106" i="31"/>
  <c r="S107" i="31"/>
  <c r="S108" i="31"/>
  <c r="S109" i="31"/>
  <c r="S110" i="31"/>
  <c r="S111" i="31"/>
  <c r="S507" i="31"/>
  <c r="S508" i="31"/>
  <c r="S509"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A499" i="3" s="1"/>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BL514" i="3" s="1"/>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A517" i="3" s="1"/>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A522" i="3" s="1"/>
  <c r="AZ522" i="3" s="1"/>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G524" i="3" s="1"/>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L533" i="3" s="1"/>
  <c r="BT533" i="3"/>
  <c r="H534" i="3"/>
  <c r="G534" i="3" s="1"/>
  <c r="AC534" i="3"/>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A540" i="3" s="1"/>
  <c r="BJ540" i="3"/>
  <c r="BK540" i="3"/>
  <c r="BM540" i="3"/>
  <c r="BN540" i="3"/>
  <c r="BO540" i="3"/>
  <c r="BP540" i="3"/>
  <c r="BL540" i="3" s="1"/>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A559" i="3" s="1"/>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O566" i="3"/>
  <c r="BP566" i="3"/>
  <c r="BL566" i="3" s="1"/>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A569" i="3" s="1"/>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BL574" i="3" s="1"/>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A578" i="3" s="1"/>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S515" i="31"/>
  <c r="S517" i="31"/>
  <c r="S518"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H8" i="39"/>
  <c r="U8" i="39" s="1"/>
  <c r="F8" i="39"/>
  <c r="AA8" i="39" s="1"/>
  <c r="C20" i="36"/>
  <c r="C20" i="35"/>
  <c r="C16" i="36"/>
  <c r="C16" i="35"/>
  <c r="C14" i="36"/>
  <c r="C14" i="35"/>
  <c r="B80" i="37"/>
  <c r="H25" i="37" s="1"/>
  <c r="B110" i="37"/>
  <c r="J39" i="37" s="1"/>
  <c r="AC39" i="37" s="1"/>
  <c r="B108" i="37"/>
  <c r="C23" i="37"/>
  <c r="C19" i="37"/>
  <c r="C17" i="37"/>
  <c r="C15" i="37"/>
  <c r="B112" i="37"/>
  <c r="J40" i="37" s="1"/>
  <c r="AC40" i="37" s="1"/>
  <c r="D107" i="37"/>
  <c r="E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s="1"/>
  <c r="F71" i="37" s="1"/>
  <c r="G71" i="37" s="1"/>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J36" i="35" s="1"/>
  <c r="AC36" i="35" s="1"/>
  <c r="B99" i="35"/>
  <c r="J35" i="35" s="1"/>
  <c r="B97" i="35"/>
  <c r="H34" i="35" s="1"/>
  <c r="B77" i="35"/>
  <c r="B75" i="35"/>
  <c r="J24" i="35" s="1"/>
  <c r="AC24" i="35" s="1"/>
  <c r="B73" i="35"/>
  <c r="J23" i="35" s="1"/>
  <c r="AC23" i="35" s="1"/>
  <c r="B57" i="35"/>
  <c r="B61" i="35"/>
  <c r="J13" i="35" s="1"/>
  <c r="AC13" i="35" s="1"/>
  <c r="B59" i="35"/>
  <c r="F12" i="35" s="1"/>
  <c r="B131" i="34"/>
  <c r="B129" i="34"/>
  <c r="B127" i="34"/>
  <c r="B99" i="34"/>
  <c r="H32" i="34" s="1"/>
  <c r="B97" i="34"/>
  <c r="B95" i="34"/>
  <c r="B93" i="34"/>
  <c r="F29" i="34" s="1"/>
  <c r="B75" i="34"/>
  <c r="B73" i="34"/>
  <c r="H13" i="34" s="1"/>
  <c r="U13" i="34" s="1"/>
  <c r="B71" i="34"/>
  <c r="B130" i="33"/>
  <c r="F46" i="33" s="1"/>
  <c r="AA46" i="33" s="1"/>
  <c r="B128" i="33"/>
  <c r="B126" i="33"/>
  <c r="B98" i="33"/>
  <c r="B96" i="33"/>
  <c r="J30" i="33" s="1"/>
  <c r="W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H9" i="34"/>
  <c r="J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AB40" i="33" s="1"/>
  <c r="Q39" i="33"/>
  <c r="Z39" i="33" s="1"/>
  <c r="J39" i="33"/>
  <c r="AC39" i="33" s="1"/>
  <c r="Q38" i="33"/>
  <c r="Z38" i="33" s="1"/>
  <c r="J38" i="33"/>
  <c r="AC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G18" i="20"/>
  <c r="B90" i="43" s="1"/>
  <c r="G19" i="20"/>
  <c r="G16" i="20"/>
  <c r="C17" i="40" s="1"/>
  <c r="B84" i="43"/>
  <c r="G15" i="20"/>
  <c r="B83" i="43" s="1"/>
  <c r="C24" i="20"/>
  <c r="B97" i="43" s="1"/>
  <c r="C21" i="20"/>
  <c r="C20" i="20"/>
  <c r="B101" i="43" s="1"/>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H46" i="21" s="1"/>
  <c r="B128" i="21"/>
  <c r="J45" i="21" s="1"/>
  <c r="W45" i="21" s="1"/>
  <c r="B126" i="21"/>
  <c r="J44" i="21" s="1"/>
  <c r="B98" i="21"/>
  <c r="J31" i="21" s="1"/>
  <c r="B96" i="21"/>
  <c r="B94"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s="1"/>
  <c r="F36" i="21"/>
  <c r="S36" i="21" s="1"/>
  <c r="F39" i="21"/>
  <c r="AA39" i="21"/>
  <c r="J40" i="21"/>
  <c r="W40" i="21" s="1"/>
  <c r="H35" i="21"/>
  <c r="J8" i="21"/>
  <c r="AC8" i="21" s="1"/>
  <c r="H8" i="21"/>
  <c r="U8" i="21" s="1"/>
  <c r="H10" i="21"/>
  <c r="AB10" i="21" s="1"/>
  <c r="H39" i="21"/>
  <c r="U39" i="21" s="1"/>
  <c r="J34" i="21"/>
  <c r="W34" i="21"/>
  <c r="H36" i="21"/>
  <c r="U36" i="21" s="1"/>
  <c r="F35" i="21"/>
  <c r="AA35" i="21" s="1"/>
  <c r="J10" i="21"/>
  <c r="AC10" i="21" s="1"/>
  <c r="H26" i="21"/>
  <c r="AB26" i="21" s="1"/>
  <c r="J19" i="21"/>
  <c r="W19" i="21" s="1"/>
  <c r="J26" i="21"/>
  <c r="W26" i="21" s="1"/>
  <c r="F26" i="21"/>
  <c r="AB41" i="21"/>
  <c r="AA41" i="21"/>
  <c r="F45" i="39"/>
  <c r="J45" i="39"/>
  <c r="W45" i="39" s="1"/>
  <c r="F36" i="39"/>
  <c r="S36" i="39" s="1"/>
  <c r="H36" i="39"/>
  <c r="AB36" i="39"/>
  <c r="J35" i="39"/>
  <c r="AC35" i="39" s="1"/>
  <c r="F35" i="39"/>
  <c r="F39" i="37"/>
  <c r="S39" i="37" s="1"/>
  <c r="F29" i="36"/>
  <c r="AA29" i="36" s="1"/>
  <c r="F16" i="36"/>
  <c r="AA16" i="36" s="1"/>
  <c r="W28" i="36"/>
  <c r="J33" i="36"/>
  <c r="AC33" i="36" s="1"/>
  <c r="H22" i="35"/>
  <c r="AB22" i="35" s="1"/>
  <c r="AC27" i="35"/>
  <c r="W28" i="35"/>
  <c r="U31" i="35"/>
  <c r="F36" i="34"/>
  <c r="J35" i="34"/>
  <c r="H39" i="33"/>
  <c r="AB39" i="33" s="1"/>
  <c r="H39" i="37"/>
  <c r="AB39" i="37" s="1"/>
  <c r="F11" i="40"/>
  <c r="H11" i="40"/>
  <c r="AB11" i="40" s="1"/>
  <c r="W8" i="40"/>
  <c r="U38" i="40"/>
  <c r="U34" i="40"/>
  <c r="S38" i="40"/>
  <c r="F42" i="39"/>
  <c r="AA42" i="39" s="1"/>
  <c r="F41" i="39"/>
  <c r="S41" i="39" s="1"/>
  <c r="H40" i="39"/>
  <c r="AB40" i="39" s="1"/>
  <c r="H39" i="39"/>
  <c r="U39" i="39" s="1"/>
  <c r="H34" i="39"/>
  <c r="U34" i="39" s="1"/>
  <c r="E100" i="39"/>
  <c r="F100" i="39" s="1"/>
  <c r="G100" i="39" s="1"/>
  <c r="H19" i="39"/>
  <c r="AB19" i="39" s="1"/>
  <c r="F19" i="39"/>
  <c r="AA19" i="39" s="1"/>
  <c r="J23" i="40"/>
  <c r="AC23" i="40" s="1"/>
  <c r="F21" i="40"/>
  <c r="S21" i="40" s="1"/>
  <c r="AA21" i="40"/>
  <c r="J21" i="40"/>
  <c r="W21" i="40" s="1"/>
  <c r="H42" i="39"/>
  <c r="AB42" i="39" s="1"/>
  <c r="J34" i="39"/>
  <c r="AC34" i="39" s="1"/>
  <c r="H27" i="39"/>
  <c r="U27" i="39" s="1"/>
  <c r="J19" i="39"/>
  <c r="AC19" i="39" s="1"/>
  <c r="J27" i="39"/>
  <c r="F27" i="39"/>
  <c r="S27" i="39" s="1"/>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F14" i="35"/>
  <c r="F23" i="35"/>
  <c r="J32" i="35"/>
  <c r="AC32" i="35" s="1"/>
  <c r="J16" i="35"/>
  <c r="H16" i="35"/>
  <c r="U16" i="35" s="1"/>
  <c r="F16" i="35"/>
  <c r="S16" i="35" s="1"/>
  <c r="H14" i="35"/>
  <c r="AB14" i="35" s="1"/>
  <c r="J29" i="35"/>
  <c r="H33" i="35"/>
  <c r="J20" i="35"/>
  <c r="W20" i="35" s="1"/>
  <c r="F35" i="37"/>
  <c r="S35" i="37" s="1"/>
  <c r="J34" i="37"/>
  <c r="AB34" i="37"/>
  <c r="J33" i="37"/>
  <c r="AC33" i="37" s="1"/>
  <c r="U42" i="34"/>
  <c r="H40" i="34"/>
  <c r="U40" i="34" s="1"/>
  <c r="E114" i="34"/>
  <c r="F114" i="34" s="1"/>
  <c r="G114" i="34" s="1"/>
  <c r="H114" i="34" s="1"/>
  <c r="I114" i="34" s="1"/>
  <c r="J114" i="34" s="1"/>
  <c r="K114" i="34" s="1"/>
  <c r="L114" i="34" s="1"/>
  <c r="M114" i="34" s="1"/>
  <c r="H36" i="34"/>
  <c r="F37" i="34"/>
  <c r="AA37" i="34" s="1"/>
  <c r="F25" i="34"/>
  <c r="S25" i="34" s="1"/>
  <c r="H23" i="34"/>
  <c r="U23" i="34" s="1"/>
  <c r="J23" i="34"/>
  <c r="F19" i="34"/>
  <c r="S19" i="34" s="1"/>
  <c r="H17" i="34"/>
  <c r="F15" i="34"/>
  <c r="AA15" i="34" s="1"/>
  <c r="J15" i="34"/>
  <c r="H15" i="34"/>
  <c r="AB15" i="34" s="1"/>
  <c r="F41" i="33"/>
  <c r="AA41" i="33" s="1"/>
  <c r="F32" i="33"/>
  <c r="AA32" i="33" s="1"/>
  <c r="J19" i="33"/>
  <c r="J15" i="33"/>
  <c r="AC15" i="33" s="1"/>
  <c r="F11" i="33"/>
  <c r="AA11" i="33" s="1"/>
  <c r="F37" i="40"/>
  <c r="F36" i="40"/>
  <c r="AA36" i="40" s="1"/>
  <c r="H28" i="40"/>
  <c r="U28" i="40" s="1"/>
  <c r="F23" i="40"/>
  <c r="AA23" i="40" s="1"/>
  <c r="F17" i="40"/>
  <c r="AA17" i="40" s="1"/>
  <c r="J17" i="40"/>
  <c r="W17" i="40" s="1"/>
  <c r="F15" i="40"/>
  <c r="S15" i="40" s="1"/>
  <c r="H15" i="40"/>
  <c r="AB15" i="40" s="1"/>
  <c r="AB30" i="36"/>
  <c r="F29" i="35"/>
  <c r="H29" i="35"/>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J17" i="34"/>
  <c r="W17" i="34" s="1"/>
  <c r="H37" i="33"/>
  <c r="AB37" i="33" s="1"/>
  <c r="H15" i="33"/>
  <c r="AB15" i="33" s="1"/>
  <c r="H11" i="33"/>
  <c r="AB11" i="33" s="1"/>
  <c r="F28" i="40"/>
  <c r="AA28" i="40" s="1"/>
  <c r="AA42" i="34"/>
  <c r="S42" i="34"/>
  <c r="AC38" i="34"/>
  <c r="AA38" i="34"/>
  <c r="J37" i="34"/>
  <c r="AC37" i="34" s="1"/>
  <c r="J11" i="33"/>
  <c r="M123" i="21"/>
  <c r="J42" i="21"/>
  <c r="AC42" i="21" s="1"/>
  <c r="H42" i="21"/>
  <c r="U42" i="21" s="1"/>
  <c r="J44" i="34"/>
  <c r="AC44" i="34" s="1"/>
  <c r="F44" i="34"/>
  <c r="J10" i="35"/>
  <c r="AC10" i="35" s="1"/>
  <c r="F14" i="21"/>
  <c r="H28" i="21"/>
  <c r="AB28" i="21" s="1"/>
  <c r="F28" i="21"/>
  <c r="AA28" i="21"/>
  <c r="J28" i="21"/>
  <c r="W28" i="21" s="1"/>
  <c r="J30" i="21"/>
  <c r="AC30" i="21" s="1"/>
  <c r="F44" i="21"/>
  <c r="AA44" i="21" s="1"/>
  <c r="U46" i="21"/>
  <c r="J46" i="21"/>
  <c r="F46" i="21"/>
  <c r="AA46" i="21" s="1"/>
  <c r="H26" i="33"/>
  <c r="U26"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F45" i="21"/>
  <c r="J13" i="33"/>
  <c r="H13" i="33"/>
  <c r="U13" i="33" s="1"/>
  <c r="F13" i="33"/>
  <c r="J31" i="33"/>
  <c r="W31" i="33" s="1"/>
  <c r="H31" i="33"/>
  <c r="F31" i="33"/>
  <c r="S31" i="33" s="1"/>
  <c r="H45" i="33"/>
  <c r="U45" i="33" s="1"/>
  <c r="J45" i="33"/>
  <c r="F45" i="33"/>
  <c r="AA45" i="33" s="1"/>
  <c r="J32" i="34"/>
  <c r="H11" i="35"/>
  <c r="AB11" i="35" s="1"/>
  <c r="J11" i="35"/>
  <c r="W11" i="35" s="1"/>
  <c r="F11" i="35"/>
  <c r="S11" i="35" s="1"/>
  <c r="J26" i="36"/>
  <c r="W26" i="36" s="1"/>
  <c r="H28" i="36"/>
  <c r="U28" i="36" s="1"/>
  <c r="H32" i="36"/>
  <c r="J11" i="36"/>
  <c r="AC11" i="36" s="1"/>
  <c r="H11" i="36"/>
  <c r="U11" i="36" s="1"/>
  <c r="F11" i="36"/>
  <c r="AA11" i="36" s="1"/>
  <c r="H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F40" i="37"/>
  <c r="H14" i="33"/>
  <c r="F14" i="33"/>
  <c r="S14" i="33" s="1"/>
  <c r="J14" i="33"/>
  <c r="H30" i="33"/>
  <c r="AB30" i="33" s="1"/>
  <c r="F30" i="33"/>
  <c r="S30" i="33" s="1"/>
  <c r="H44" i="33"/>
  <c r="U44" i="33" s="1"/>
  <c r="J44" i="33"/>
  <c r="W44" i="33" s="1"/>
  <c r="F44" i="33"/>
  <c r="S44" i="33" s="1"/>
  <c r="J46" i="33"/>
  <c r="AC46" i="33" s="1"/>
  <c r="H46" i="33"/>
  <c r="AB46" i="33" s="1"/>
  <c r="H29" i="34"/>
  <c r="AB29" i="34" s="1"/>
  <c r="J31" i="34"/>
  <c r="H31" i="34"/>
  <c r="F31" i="34"/>
  <c r="S31" i="34" s="1"/>
  <c r="H45" i="34"/>
  <c r="J45" i="34"/>
  <c r="W45" i="34" s="1"/>
  <c r="F45" i="34"/>
  <c r="S45" i="34" s="1"/>
  <c r="H13" i="35"/>
  <c r="U13" i="35" s="1"/>
  <c r="J25" i="35"/>
  <c r="AC25" i="35" s="1"/>
  <c r="W25" i="35"/>
  <c r="F25" i="35"/>
  <c r="H25" i="35"/>
  <c r="J25" i="36"/>
  <c r="F25" i="36"/>
  <c r="S25" i="36" s="1"/>
  <c r="H25" i="36"/>
  <c r="AB25" i="36" s="1"/>
  <c r="H13" i="37"/>
  <c r="F13" i="37"/>
  <c r="S13" i="37" s="1"/>
  <c r="F43" i="39"/>
  <c r="H43" i="39"/>
  <c r="U43" i="39" s="1"/>
  <c r="J14" i="39"/>
  <c r="AC14" i="39" s="1"/>
  <c r="F14" i="39"/>
  <c r="H14" i="39"/>
  <c r="AB14" i="39" s="1"/>
  <c r="H30" i="40"/>
  <c r="J35" i="40"/>
  <c r="J37" i="40"/>
  <c r="AC37" i="40" s="1"/>
  <c r="H13" i="40"/>
  <c r="U13" i="40" s="1"/>
  <c r="J13" i="40"/>
  <c r="W13" i="40" s="1"/>
  <c r="F13" i="40"/>
  <c r="S13" i="40" s="1"/>
  <c r="AA13" i="40"/>
  <c r="F14" i="37"/>
  <c r="AA14" i="37" s="1"/>
  <c r="F27" i="37"/>
  <c r="F13" i="39"/>
  <c r="J13" i="39"/>
  <c r="W13" i="39" s="1"/>
  <c r="H13" i="39"/>
  <c r="J14" i="37"/>
  <c r="J27" i="37"/>
  <c r="AC27" i="37" s="1"/>
  <c r="J36" i="37"/>
  <c r="AC36" i="37" s="1"/>
  <c r="J10" i="36"/>
  <c r="AC10" i="36" s="1"/>
  <c r="AC28" i="21"/>
  <c r="F17" i="21"/>
  <c r="AA17" i="21" s="1"/>
  <c r="H17" i="21"/>
  <c r="F15" i="21"/>
  <c r="S15" i="21" s="1"/>
  <c r="J41" i="39"/>
  <c r="W41" i="39" s="1"/>
  <c r="U36" i="39"/>
  <c r="G536" i="3"/>
  <c r="G531" i="3"/>
  <c r="G527" i="3"/>
  <c r="G518" i="3"/>
  <c r="G514" i="3"/>
  <c r="G508" i="3"/>
  <c r="G504" i="3"/>
  <c r="G500" i="3"/>
  <c r="G576" i="3"/>
  <c r="G568" i="3"/>
  <c r="G554" i="3"/>
  <c r="BL542" i="3"/>
  <c r="BL538" i="3"/>
  <c r="BL534" i="3"/>
  <c r="BL494" i="3"/>
  <c r="G525" i="3"/>
  <c r="BL504" i="3"/>
  <c r="BA582" i="3"/>
  <c r="BA544" i="3"/>
  <c r="BA573" i="3"/>
  <c r="BA567" i="3"/>
  <c r="BA563" i="3"/>
  <c r="G583" i="3"/>
  <c r="G579" i="3"/>
  <c r="G577" i="3"/>
  <c r="G575" i="3"/>
  <c r="G573" i="3"/>
  <c r="G571" i="3"/>
  <c r="G563" i="3"/>
  <c r="AC557" i="3"/>
  <c r="G557" i="3" s="1"/>
  <c r="BQ557" i="3"/>
  <c r="BQ583" i="3"/>
  <c r="BL583" i="3" s="1"/>
  <c r="BQ581" i="3"/>
  <c r="BQ579" i="3"/>
  <c r="BQ577" i="3"/>
  <c r="BQ575" i="3"/>
  <c r="BQ573" i="3"/>
  <c r="BQ571" i="3"/>
  <c r="BQ569" i="3"/>
  <c r="BQ567" i="3"/>
  <c r="BQ565" i="3"/>
  <c r="BQ563" i="3"/>
  <c r="BQ561" i="3"/>
  <c r="BQ559" i="3"/>
  <c r="G559" i="3"/>
  <c r="G555" i="3"/>
  <c r="G549" i="3"/>
  <c r="G545" i="3"/>
  <c r="G541" i="3"/>
  <c r="G539" i="3"/>
  <c r="G537" i="3"/>
  <c r="BQ555" i="3"/>
  <c r="BL555" i="3" s="1"/>
  <c r="BQ553" i="3"/>
  <c r="BQ551" i="3"/>
  <c r="BQ549" i="3"/>
  <c r="BQ547" i="3"/>
  <c r="BQ545" i="3"/>
  <c r="BQ543" i="3"/>
  <c r="BQ541" i="3"/>
  <c r="BQ539" i="3"/>
  <c r="BQ537" i="3"/>
  <c r="BQ535" i="3"/>
  <c r="BQ533" i="3"/>
  <c r="BQ531" i="3"/>
  <c r="BQ529" i="3"/>
  <c r="BQ527" i="3"/>
  <c r="BQ525" i="3"/>
  <c r="BQ523" i="3"/>
  <c r="BL523" i="3" s="1"/>
  <c r="AC521" i="3"/>
  <c r="BQ521" i="3"/>
  <c r="G517" i="3"/>
  <c r="G513" i="3"/>
  <c r="G511" i="3"/>
  <c r="BQ519" i="3"/>
  <c r="BQ517" i="3"/>
  <c r="BQ515" i="3"/>
  <c r="BQ513" i="3"/>
  <c r="BQ511" i="3"/>
  <c r="AC509" i="3"/>
  <c r="BQ509" i="3"/>
  <c r="BL509" i="3" s="1"/>
  <c r="G503" i="3"/>
  <c r="G497" i="3"/>
  <c r="BQ507" i="3"/>
  <c r="BQ505" i="3"/>
  <c r="BQ503" i="3"/>
  <c r="BQ501" i="3"/>
  <c r="BL501" i="3" s="1"/>
  <c r="BQ499" i="3"/>
  <c r="BQ497" i="3"/>
  <c r="BQ495" i="3"/>
  <c r="BQ493" i="3"/>
  <c r="S505" i="31"/>
  <c r="S503"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AB27" i="37"/>
  <c r="AA36" i="39"/>
  <c r="F39" i="33"/>
  <c r="AA39" i="33" s="1"/>
  <c r="F42" i="33"/>
  <c r="AA42" i="33" s="1"/>
  <c r="H28" i="34"/>
  <c r="F14" i="36"/>
  <c r="F22" i="36"/>
  <c r="S22" i="36" s="1"/>
  <c r="F26" i="36"/>
  <c r="S26" i="36" s="1"/>
  <c r="H35" i="34"/>
  <c r="U35" i="34" s="1"/>
  <c r="F41" i="34"/>
  <c r="H41" i="34"/>
  <c r="U41" i="34" s="1"/>
  <c r="J41" i="34"/>
  <c r="AC41" i="34" s="1"/>
  <c r="F10" i="35"/>
  <c r="S10" i="35" s="1"/>
  <c r="F24" i="35"/>
  <c r="H24" i="35"/>
  <c r="H23" i="37"/>
  <c r="J32" i="37"/>
  <c r="F36" i="37"/>
  <c r="F37" i="37"/>
  <c r="AA37" i="37" s="1"/>
  <c r="F32" i="40"/>
  <c r="H32" i="40"/>
  <c r="AB32" i="40" s="1"/>
  <c r="J36" i="40"/>
  <c r="W36" i="40" s="1"/>
  <c r="H19" i="37"/>
  <c r="AB19" i="37" s="1"/>
  <c r="H42" i="33"/>
  <c r="AB42" i="33" s="1"/>
  <c r="S28" i="31"/>
  <c r="S27" i="31"/>
  <c r="S26" i="31"/>
  <c r="W23" i="35"/>
  <c r="U39" i="37"/>
  <c r="AC36" i="34"/>
  <c r="AC31" i="33"/>
  <c r="W40" i="37"/>
  <c r="G107" i="37"/>
  <c r="H107" i="37" s="1"/>
  <c r="I107" i="37" s="1"/>
  <c r="J107" i="37" s="1"/>
  <c r="K107" i="37" s="1"/>
  <c r="L107" i="37" s="1"/>
  <c r="M107" i="37" s="1"/>
  <c r="H37" i="21"/>
  <c r="U37" i="21" s="1"/>
  <c r="S42" i="21"/>
  <c r="H19" i="34"/>
  <c r="AB19" i="34" s="1"/>
  <c r="J9" i="37"/>
  <c r="W9" i="37" s="1"/>
  <c r="H9" i="37"/>
  <c r="U9" i="37" s="1"/>
  <c r="F9" i="37"/>
  <c r="S9" i="37" s="1"/>
  <c r="H12" i="37"/>
  <c r="AB12" i="37" s="1"/>
  <c r="F15" i="37"/>
  <c r="AA15" i="37" s="1"/>
  <c r="E94" i="37"/>
  <c r="F31" i="37"/>
  <c r="S31" i="37" s="1"/>
  <c r="J42" i="39"/>
  <c r="AC42" i="39" s="1"/>
  <c r="H21" i="40"/>
  <c r="AB21" i="40" s="1"/>
  <c r="F94" i="37"/>
  <c r="G94" i="37" s="1"/>
  <c r="H94" i="37" s="1"/>
  <c r="I94" i="37" s="1"/>
  <c r="J94" i="37" s="1"/>
  <c r="K94" i="37" s="1"/>
  <c r="L94" i="37" s="1"/>
  <c r="M94" i="37" s="1"/>
  <c r="H31" i="37"/>
  <c r="U31" i="37"/>
  <c r="J15" i="37"/>
  <c r="AT6" i="3"/>
  <c r="AA25" i="21"/>
  <c r="H19" i="40"/>
  <c r="U19" i="40" s="1"/>
  <c r="F88" i="40"/>
  <c r="G88" i="40" s="1"/>
  <c r="F19" i="40"/>
  <c r="S19" i="40" s="1"/>
  <c r="AC13" i="40"/>
  <c r="AC43" i="39"/>
  <c r="W43" i="39"/>
  <c r="H25" i="39"/>
  <c r="AB25" i="39" s="1"/>
  <c r="J25" i="39"/>
  <c r="F25" i="39"/>
  <c r="AA25" i="39" s="1"/>
  <c r="F15" i="39"/>
  <c r="AA15" i="39" s="1"/>
  <c r="H15" i="39"/>
  <c r="U15" i="39" s="1"/>
  <c r="J15" i="39"/>
  <c r="W15" i="39" s="1"/>
  <c r="H41" i="39"/>
  <c r="AB41" i="39" s="1"/>
  <c r="AB34" i="39"/>
  <c r="J19" i="40"/>
  <c r="AC19" i="40" s="1"/>
  <c r="J50" i="40"/>
  <c r="H103" i="9"/>
  <c r="D8" i="53" s="1"/>
  <c r="B16" i="53"/>
  <c r="B33" i="72" s="1"/>
  <c r="C7" i="36"/>
  <c r="C46" i="36" s="1"/>
  <c r="D46" i="36" s="1"/>
  <c r="E46" i="36" s="1"/>
  <c r="F46" i="36" s="1"/>
  <c r="G46" i="36" s="1"/>
  <c r="H46" i="36" s="1"/>
  <c r="I46" i="36" s="1"/>
  <c r="A118" i="9"/>
  <c r="A4" i="52"/>
  <c r="B41" i="72" s="1"/>
  <c r="J11" i="39"/>
  <c r="W11" i="39" s="1"/>
  <c r="F11" i="39"/>
  <c r="S11" i="39" s="1"/>
  <c r="G4" i="4"/>
  <c r="I4" i="4"/>
  <c r="A2" i="9"/>
  <c r="F61" i="43"/>
  <c r="H64" i="43" s="1"/>
  <c r="G64" i="43" s="1"/>
  <c r="M64" i="43" s="1"/>
  <c r="N64" i="43" s="1"/>
  <c r="G546" i="3"/>
  <c r="G303" i="3"/>
  <c r="G310" i="3"/>
  <c r="G319" i="3"/>
  <c r="BA324" i="3"/>
  <c r="BL325" i="3"/>
  <c r="G326" i="3"/>
  <c r="G356" i="3"/>
  <c r="BL357" i="3"/>
  <c r="BA359" i="3"/>
  <c r="BA360" i="3"/>
  <c r="G370" i="3"/>
  <c r="G372" i="3"/>
  <c r="G379" i="3"/>
  <c r="G388" i="3"/>
  <c r="BL389" i="3"/>
  <c r="G390" i="3"/>
  <c r="BL391" i="3"/>
  <c r="BA393" i="3"/>
  <c r="G117" i="3"/>
  <c r="BL120" i="3"/>
  <c r="G121" i="3"/>
  <c r="BA123" i="3"/>
  <c r="BL124" i="3"/>
  <c r="G125" i="3"/>
  <c r="G133" i="3"/>
  <c r="G137" i="3"/>
  <c r="G141" i="3"/>
  <c r="BL144" i="3"/>
  <c r="G145" i="3"/>
  <c r="G149" i="3"/>
  <c r="BA151" i="3"/>
  <c r="BL152" i="3"/>
  <c r="G153" i="3"/>
  <c r="G165" i="3"/>
  <c r="G169" i="3"/>
  <c r="BA171" i="3"/>
  <c r="BL172" i="3"/>
  <c r="G173" i="3"/>
  <c r="BL176" i="3"/>
  <c r="G177" i="3"/>
  <c r="G181" i="3"/>
  <c r="G185" i="3"/>
  <c r="BA187" i="3"/>
  <c r="G189" i="3"/>
  <c r="BL196" i="3"/>
  <c r="G197" i="3"/>
  <c r="BA199" i="3"/>
  <c r="BL200" i="3"/>
  <c r="G201" i="3"/>
  <c r="G530" i="3"/>
  <c r="G522" i="3"/>
  <c r="G516" i="3"/>
  <c r="G494" i="3"/>
  <c r="G16" i="3"/>
  <c r="G306" i="3"/>
  <c r="G317" i="3"/>
  <c r="BL318" i="3"/>
  <c r="BA320" i="3"/>
  <c r="BL321" i="3"/>
  <c r="G322" i="3"/>
  <c r="G325" i="3"/>
  <c r="BL326" i="3"/>
  <c r="G333" i="3"/>
  <c r="G338" i="3"/>
  <c r="G341" i="3"/>
  <c r="BA347" i="3"/>
  <c r="G350" i="3"/>
  <c r="G354" i="3"/>
  <c r="G357" i="3"/>
  <c r="BL364" i="3"/>
  <c r="G365" i="3"/>
  <c r="G383" i="3"/>
  <c r="G391" i="3"/>
  <c r="BA306" i="3"/>
  <c r="BL307" i="3"/>
  <c r="G308" i="3"/>
  <c r="G312" i="3"/>
  <c r="BA314" i="3"/>
  <c r="G316" i="3"/>
  <c r="G324" i="3"/>
  <c r="G332" i="3"/>
  <c r="BL335" i="3"/>
  <c r="BA338" i="3"/>
  <c r="BL339" i="3"/>
  <c r="G340" i="3"/>
  <c r="G342" i="3"/>
  <c r="G359" i="3"/>
  <c r="BA361" i="3"/>
  <c r="AZ361" i="3" s="1"/>
  <c r="G363" i="3"/>
  <c r="G367" i="3"/>
  <c r="G371" i="3"/>
  <c r="G375" i="3"/>
  <c r="G381" i="3"/>
  <c r="BL392" i="3"/>
  <c r="BF5" i="3"/>
  <c r="G548" i="3"/>
  <c r="G502" i="3"/>
  <c r="G17" i="3"/>
  <c r="BA17" i="3"/>
  <c r="U36" i="40"/>
  <c r="F83" i="43"/>
  <c r="H85" i="43" s="1"/>
  <c r="F50" i="43"/>
  <c r="H54" i="43" s="1"/>
  <c r="G54" i="43" s="1"/>
  <c r="F72" i="43"/>
  <c r="H75" i="43" s="1"/>
  <c r="U43" i="21"/>
  <c r="AC35" i="21"/>
  <c r="W37" i="37"/>
  <c r="S15" i="37"/>
  <c r="J37" i="33"/>
  <c r="W37" i="33" s="1"/>
  <c r="AC17" i="34"/>
  <c r="F106" i="33"/>
  <c r="G106" i="33" s="1"/>
  <c r="H106" i="33" s="1"/>
  <c r="I106" i="33" s="1"/>
  <c r="J106" i="33" s="1"/>
  <c r="K106" i="33" s="1"/>
  <c r="L106" i="33" s="1"/>
  <c r="M106" i="33" s="1"/>
  <c r="J34" i="33"/>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AC14" i="35"/>
  <c r="H20" i="35"/>
  <c r="F20" i="35"/>
  <c r="AA20" i="35" s="1"/>
  <c r="H32" i="37"/>
  <c r="AB32"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F20" i="36"/>
  <c r="J33" i="34"/>
  <c r="AC33" i="34" s="1"/>
  <c r="H23" i="39"/>
  <c r="U23" i="39" s="1"/>
  <c r="D48" i="9"/>
  <c r="M52" i="9" s="1"/>
  <c r="K9" i="1"/>
  <c r="M9" i="1" s="1"/>
  <c r="W12" i="33"/>
  <c r="AC12" i="33"/>
  <c r="BL14" i="3"/>
  <c r="F12" i="33"/>
  <c r="B12" i="1"/>
  <c r="E12" i="1" s="1"/>
  <c r="B10" i="1"/>
  <c r="E10" i="1" s="1"/>
  <c r="K12" i="1"/>
  <c r="M12" i="1" s="1"/>
  <c r="S13" i="1"/>
  <c r="AR13" i="1" s="1"/>
  <c r="R13" i="1"/>
  <c r="AB37" i="40"/>
  <c r="S35" i="40"/>
  <c r="U35" i="40"/>
  <c r="AC36" i="40"/>
  <c r="W38" i="40"/>
  <c r="S17" i="40"/>
  <c r="S23" i="40"/>
  <c r="AC17" i="40"/>
  <c r="AC15" i="40"/>
  <c r="AB27" i="40"/>
  <c r="AA19" i="40"/>
  <c r="S28" i="40"/>
  <c r="U21" i="40"/>
  <c r="AB19" i="40"/>
  <c r="F32" i="39"/>
  <c r="F106" i="39"/>
  <c r="G106" i="39" s="1"/>
  <c r="H106" i="39" s="1"/>
  <c r="I106" i="39" s="1"/>
  <c r="J106" i="39" s="1"/>
  <c r="K106" i="39" s="1"/>
  <c r="L106" i="39" s="1"/>
  <c r="M106" i="39" s="1"/>
  <c r="J21" i="39"/>
  <c r="W21" i="39" s="1"/>
  <c r="F21" i="39"/>
  <c r="S21" i="39" s="1"/>
  <c r="G94" i="39"/>
  <c r="H21" i="39"/>
  <c r="W19" i="39"/>
  <c r="U19" i="39"/>
  <c r="S9" i="39"/>
  <c r="U14" i="39"/>
  <c r="AA26" i="36"/>
  <c r="AA22" i="36"/>
  <c r="W14" i="36"/>
  <c r="AB14" i="36"/>
  <c r="U22" i="36"/>
  <c r="S16" i="36"/>
  <c r="AA25" i="36"/>
  <c r="S24" i="36"/>
  <c r="AB20" i="36"/>
  <c r="U16" i="36"/>
  <c r="W24" i="35"/>
  <c r="AB13" i="35"/>
  <c r="U28" i="35"/>
  <c r="AB27" i="35"/>
  <c r="AA33" i="35"/>
  <c r="AC30" i="35"/>
  <c r="S32" i="35"/>
  <c r="S28" i="35"/>
  <c r="AB16" i="35"/>
  <c r="U22" i="35"/>
  <c r="S22" i="35"/>
  <c r="U14" i="35"/>
  <c r="AC9" i="35"/>
  <c r="W9" i="35"/>
  <c r="AC12" i="35"/>
  <c r="W13" i="35"/>
  <c r="F9" i="35"/>
  <c r="S9" i="35" s="1"/>
  <c r="H9" i="35"/>
  <c r="U9" i="35" s="1"/>
  <c r="W27" i="37"/>
  <c r="AC29" i="37"/>
  <c r="U29" i="37"/>
  <c r="AB31" i="37"/>
  <c r="W39" i="37"/>
  <c r="S30" i="37"/>
  <c r="S37" i="37"/>
  <c r="J17" i="37"/>
  <c r="W17" i="37" s="1"/>
  <c r="F17" i="37"/>
  <c r="AA17"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AB8" i="34"/>
  <c r="U43" i="34"/>
  <c r="W41" i="34"/>
  <c r="AC42" i="34"/>
  <c r="AB35" i="34"/>
  <c r="AA45" i="34"/>
  <c r="AA25" i="34"/>
  <c r="U15" i="34"/>
  <c r="H10" i="34"/>
  <c r="AB10" i="34" s="1"/>
  <c r="F11" i="34"/>
  <c r="S11" i="34" s="1"/>
  <c r="F70" i="34"/>
  <c r="G70" i="34" s="1"/>
  <c r="W38" i="33"/>
  <c r="H41" i="33"/>
  <c r="U41" i="33" s="1"/>
  <c r="F121" i="33"/>
  <c r="G121" i="33" s="1"/>
  <c r="H121" i="33" s="1"/>
  <c r="I121" i="33" s="1"/>
  <c r="J121" i="33" s="1"/>
  <c r="K121" i="33" s="1"/>
  <c r="L121" i="33" s="1"/>
  <c r="M121" i="33" s="1"/>
  <c r="G108" i="33"/>
  <c r="H108" i="33" s="1"/>
  <c r="I108" i="33" s="1"/>
  <c r="J108" i="33" s="1"/>
  <c r="K108" i="33" s="1"/>
  <c r="L108" i="33" s="1"/>
  <c r="M108" i="33" s="1"/>
  <c r="J35" i="33"/>
  <c r="AC35" i="33" s="1"/>
  <c r="J32" i="33"/>
  <c r="AC32" i="33" s="1"/>
  <c r="S46" i="33"/>
  <c r="H27" i="33"/>
  <c r="AB27" i="33" s="1"/>
  <c r="F25" i="33"/>
  <c r="S25" i="33" s="1"/>
  <c r="J23" i="33"/>
  <c r="AC23" i="33" s="1"/>
  <c r="H23" i="33"/>
  <c r="AB23" i="33" s="1"/>
  <c r="F81" i="33"/>
  <c r="G81" i="33" s="1"/>
  <c r="F19" i="33"/>
  <c r="S19" i="33" s="1"/>
  <c r="J17" i="33"/>
  <c r="AC17" i="33" s="1"/>
  <c r="J10" i="33"/>
  <c r="W10" i="33" s="1"/>
  <c r="H10" i="33"/>
  <c r="U10" i="33" s="1"/>
  <c r="W43" i="21"/>
  <c r="W36" i="21"/>
  <c r="W41" i="21"/>
  <c r="AB39" i="21"/>
  <c r="AA43" i="21"/>
  <c r="S39" i="21"/>
  <c r="AA38" i="21"/>
  <c r="AA36" i="21"/>
  <c r="J15" i="21"/>
  <c r="AC15" i="21" s="1"/>
  <c r="F77" i="21"/>
  <c r="G77" i="21" s="1"/>
  <c r="F23" i="21"/>
  <c r="AA23" i="21" s="1"/>
  <c r="E85" i="21"/>
  <c r="G13" i="3"/>
  <c r="BL17" i="3"/>
  <c r="AZ17" i="3" s="1"/>
  <c r="BL13" i="3"/>
  <c r="J56" i="9"/>
  <c r="J57" i="9" s="1"/>
  <c r="J59" i="9" s="1"/>
  <c r="J61" i="9" s="1"/>
  <c r="A24" i="51"/>
  <c r="B18" i="72" s="1"/>
  <c r="U29" i="34"/>
  <c r="E32" i="6"/>
  <c r="G26" i="12"/>
  <c r="C6" i="43"/>
  <c r="A4" i="51"/>
  <c r="B6" i="72" s="1"/>
  <c r="L20" i="6"/>
  <c r="B6" i="1"/>
  <c r="E6" i="1" s="1"/>
  <c r="K11" i="1"/>
  <c r="M11" i="1" s="1"/>
  <c r="O11" i="1" s="1"/>
  <c r="B9" i="1"/>
  <c r="E9" i="1" s="1"/>
  <c r="G1" i="15"/>
  <c r="G1" i="69"/>
  <c r="G1" i="67"/>
  <c r="U32" i="40"/>
  <c r="AB28" i="40"/>
  <c r="W28" i="40"/>
  <c r="W34" i="40"/>
  <c r="W19" i="40"/>
  <c r="S36" i="40"/>
  <c r="W37" i="40"/>
  <c r="AA15" i="40"/>
  <c r="U11" i="40"/>
  <c r="AB13" i="40"/>
  <c r="U15" i="40"/>
  <c r="AB17" i="40"/>
  <c r="U8" i="40"/>
  <c r="S8" i="40"/>
  <c r="S14" i="39"/>
  <c r="AA14" i="39"/>
  <c r="AB11" i="39"/>
  <c r="U11" i="39"/>
  <c r="W34" i="39"/>
  <c r="S8" i="39"/>
  <c r="W29" i="36"/>
  <c r="AB28" i="36"/>
  <c r="AA13" i="36"/>
  <c r="W9" i="36"/>
  <c r="W22" i="36"/>
  <c r="AA16" i="35"/>
  <c r="AA35" i="37"/>
  <c r="W36" i="37"/>
  <c r="U36" i="37"/>
  <c r="AB37" i="37"/>
  <c r="AA31" i="37"/>
  <c r="U19" i="37"/>
  <c r="AA29" i="37"/>
  <c r="AB40" i="34"/>
  <c r="U25" i="34"/>
  <c r="U38" i="34"/>
  <c r="AC40" i="34"/>
  <c r="W40" i="34"/>
  <c r="AA19" i="34"/>
  <c r="AA36" i="34"/>
  <c r="S36" i="34"/>
  <c r="AA8" i="34"/>
  <c r="S8" i="34"/>
  <c r="U32" i="34"/>
  <c r="AB32" i="34"/>
  <c r="AC43" i="34"/>
  <c r="W43" i="34"/>
  <c r="W23" i="34"/>
  <c r="AC23" i="34"/>
  <c r="AC35" i="34"/>
  <c r="W35" i="34"/>
  <c r="S33" i="33"/>
  <c r="AA31" i="33"/>
  <c r="W13" i="33"/>
  <c r="AC13" i="33"/>
  <c r="U15" i="33"/>
  <c r="S11" i="33"/>
  <c r="W9" i="33"/>
  <c r="S44" i="21"/>
  <c r="AB42" i="21"/>
  <c r="U28" i="21"/>
  <c r="F33" i="21"/>
  <c r="AA33" i="21" s="1"/>
  <c r="J33" i="21"/>
  <c r="AC33" i="21" s="1"/>
  <c r="H33" i="21"/>
  <c r="AB33" i="21" s="1"/>
  <c r="F37" i="21"/>
  <c r="AB46" i="21"/>
  <c r="U40" i="21"/>
  <c r="U13" i="21"/>
  <c r="AB13" i="21"/>
  <c r="S35" i="21"/>
  <c r="J37" i="21"/>
  <c r="W37" i="21" s="1"/>
  <c r="H15" i="21"/>
  <c r="U15" i="21" s="1"/>
  <c r="J17" i="21"/>
  <c r="AC17" i="21" s="1"/>
  <c r="W30" i="21"/>
  <c r="S46" i="21"/>
  <c r="H45" i="21"/>
  <c r="U45" i="21" s="1"/>
  <c r="F29" i="21"/>
  <c r="AA29" i="21" s="1"/>
  <c r="F13" i="21"/>
  <c r="AA13" i="21" s="1"/>
  <c r="AC38" i="21"/>
  <c r="H32" i="21"/>
  <c r="U32" i="21" s="1"/>
  <c r="J9" i="21"/>
  <c r="AC9" i="21" s="1"/>
  <c r="J32" i="21"/>
  <c r="W32" i="21" s="1"/>
  <c r="F32" i="21"/>
  <c r="AA32" i="21" s="1"/>
  <c r="K141" i="21"/>
  <c r="K144" i="21"/>
  <c r="K143" i="21"/>
  <c r="U27" i="21"/>
  <c r="AB25" i="21"/>
  <c r="W13" i="21"/>
  <c r="AC45" i="21"/>
  <c r="F10" i="21"/>
  <c r="AA10" i="21" s="1"/>
  <c r="K145" i="21"/>
  <c r="W17" i="21"/>
  <c r="AC27" i="21"/>
  <c r="AC26" i="21"/>
  <c r="S28" i="21"/>
  <c r="AC34" i="21"/>
  <c r="AB36" i="21"/>
  <c r="W30" i="40"/>
  <c r="C19" i="39"/>
  <c r="C15" i="40"/>
  <c r="C21" i="40"/>
  <c r="B54" i="43"/>
  <c r="B65" i="43"/>
  <c r="B69" i="43"/>
  <c r="D23" i="15"/>
  <c r="D22" i="15"/>
  <c r="E4" i="4"/>
  <c r="B5" i="62" s="1"/>
  <c r="B73" i="72" s="1"/>
  <c r="C4" i="4"/>
  <c r="S12" i="33"/>
  <c r="AA12" i="33"/>
  <c r="J32" i="39"/>
  <c r="H32" i="39"/>
  <c r="AB32" i="39" s="1"/>
  <c r="AC17" i="37"/>
  <c r="J19" i="37"/>
  <c r="W19" i="37" s="1"/>
  <c r="AA19" i="37"/>
  <c r="J23" i="37"/>
  <c r="AC23" i="37" s="1"/>
  <c r="J10" i="37"/>
  <c r="W10" i="37" s="1"/>
  <c r="H11" i="37"/>
  <c r="AB11" i="37" s="1"/>
  <c r="H11" i="34"/>
  <c r="U11" i="34" s="1"/>
  <c r="J10" i="34"/>
  <c r="AC10" i="34" s="1"/>
  <c r="J23" i="21"/>
  <c r="AC23" i="21" s="1"/>
  <c r="F85" i="21"/>
  <c r="G85" i="21" s="1"/>
  <c r="H23" i="21"/>
  <c r="U23" i="21" s="1"/>
  <c r="S13" i="21"/>
  <c r="AP7" i="1"/>
  <c r="AB32" i="21"/>
  <c r="U32" i="39"/>
  <c r="J11" i="37"/>
  <c r="AC11" i="37" s="1"/>
  <c r="H70" i="34"/>
  <c r="I70" i="34" s="1"/>
  <c r="J70" i="34" s="1"/>
  <c r="K70" i="34" s="1"/>
  <c r="L70" i="34" s="1"/>
  <c r="M70" i="34" s="1"/>
  <c r="J11" i="34"/>
  <c r="W11" i="34" s="1"/>
  <c r="H109" i="9"/>
  <c r="X23" i="71"/>
  <c r="Y19" i="71"/>
  <c r="Z19" i="71" s="1"/>
  <c r="B7" i="76"/>
  <c r="F40" i="15"/>
  <c r="B12" i="76"/>
  <c r="F16" i="15"/>
  <c r="C76" i="15"/>
  <c r="M29" i="15"/>
  <c r="L47" i="15"/>
  <c r="E8" i="76"/>
  <c r="M28" i="15"/>
  <c r="E13" i="76"/>
  <c r="E9" i="76"/>
  <c r="B8" i="76"/>
  <c r="B13" i="76"/>
  <c r="F36" i="15"/>
  <c r="B11" i="76"/>
  <c r="E10" i="76"/>
  <c r="B9" i="76"/>
  <c r="F38" i="15"/>
  <c r="E2" i="69"/>
  <c r="AO13" i="1"/>
  <c r="E11" i="76"/>
  <c r="F9" i="15"/>
  <c r="E7" i="76"/>
  <c r="E2" i="68"/>
  <c r="E12" i="76"/>
  <c r="M24" i="15"/>
  <c r="F38" i="67"/>
  <c r="B10" i="76"/>
  <c r="F42" i="15"/>
  <c r="F20" i="31"/>
  <c r="J23" i="39" l="1"/>
  <c r="AC23" i="39" s="1"/>
  <c r="G90" i="39"/>
  <c r="H17" i="39"/>
  <c r="U17" i="39" s="1"/>
  <c r="F17" i="39"/>
  <c r="AA17" i="39" s="1"/>
  <c r="J17" i="39"/>
  <c r="AC17" i="39" s="1"/>
  <c r="AA21" i="39"/>
  <c r="AA27" i="39"/>
  <c r="S15" i="39"/>
  <c r="AC13" i="39"/>
  <c r="U42" i="39"/>
  <c r="S42" i="39"/>
  <c r="U41" i="39"/>
  <c r="AA41" i="39"/>
  <c r="U40" i="39"/>
  <c r="AB39" i="39"/>
  <c r="U38" i="39"/>
  <c r="K64" i="43"/>
  <c r="J64" i="43" s="1"/>
  <c r="G22" i="68"/>
  <c r="G22" i="69"/>
  <c r="G22" i="11"/>
  <c r="E1" i="73"/>
  <c r="AA33" i="40"/>
  <c r="S33" i="40"/>
  <c r="S29" i="34"/>
  <c r="AA29" i="34"/>
  <c r="AC35" i="35"/>
  <c r="W35" i="35"/>
  <c r="AZ514" i="3"/>
  <c r="AB34" i="35"/>
  <c r="U34" i="35"/>
  <c r="AA44" i="34"/>
  <c r="S44" i="34"/>
  <c r="AC39" i="21"/>
  <c r="W39" i="21"/>
  <c r="AA13" i="39"/>
  <c r="S13" i="39"/>
  <c r="AA27" i="37"/>
  <c r="S27" i="37"/>
  <c r="F31" i="40"/>
  <c r="H31" i="40"/>
  <c r="X19" i="71"/>
  <c r="S37" i="33"/>
  <c r="AA37" i="33"/>
  <c r="BA547" i="3"/>
  <c r="AZ547" i="3" s="1"/>
  <c r="BL498" i="3"/>
  <c r="AZ498" i="3" s="1"/>
  <c r="W31" i="40"/>
  <c r="U31" i="36"/>
  <c r="F43" i="33"/>
  <c r="AA43" i="33" s="1"/>
  <c r="J43" i="33"/>
  <c r="AC43" i="33" s="1"/>
  <c r="AA31" i="35"/>
  <c r="S31" i="35"/>
  <c r="G501" i="3"/>
  <c r="BA496" i="3"/>
  <c r="AZ496" i="3" s="1"/>
  <c r="AB22" i="71"/>
  <c r="AA31" i="34"/>
  <c r="AB29" i="36"/>
  <c r="AC32" i="37"/>
  <c r="W32" i="37"/>
  <c r="F30" i="34"/>
  <c r="J30" i="34"/>
  <c r="AC41" i="33"/>
  <c r="W41" i="33"/>
  <c r="G547" i="3"/>
  <c r="BA546" i="3"/>
  <c r="AZ546" i="3" s="1"/>
  <c r="Y20" i="71"/>
  <c r="Z20" i="71" s="1"/>
  <c r="AB17" i="21"/>
  <c r="U17" i="21"/>
  <c r="H35" i="35"/>
  <c r="J29" i="34"/>
  <c r="BA537" i="3"/>
  <c r="W19" i="34"/>
  <c r="AB43" i="39"/>
  <c r="U35" i="39"/>
  <c r="U26" i="37"/>
  <c r="AB24" i="35"/>
  <c r="U24" i="35"/>
  <c r="H43" i="33"/>
  <c r="AB43" i="33" s="1"/>
  <c r="BL525" i="3"/>
  <c r="AZ525" i="3" s="1"/>
  <c r="BL573" i="3"/>
  <c r="AZ573" i="3" s="1"/>
  <c r="F35" i="35"/>
  <c r="BL556" i="3"/>
  <c r="BA391" i="3"/>
  <c r="BL527" i="3"/>
  <c r="BL575" i="3"/>
  <c r="J13" i="34"/>
  <c r="BA309" i="3"/>
  <c r="AZ309" i="3" s="1"/>
  <c r="BA341" i="3"/>
  <c r="AZ341" i="3" s="1"/>
  <c r="U35" i="37"/>
  <c r="AB35" i="37"/>
  <c r="AC35" i="40"/>
  <c r="W35" i="40"/>
  <c r="AA23" i="35"/>
  <c r="S23" i="35"/>
  <c r="W44" i="34"/>
  <c r="U14" i="40"/>
  <c r="BL531" i="3"/>
  <c r="AZ531" i="3" s="1"/>
  <c r="BL579" i="3"/>
  <c r="S34" i="36"/>
  <c r="AA34" i="36"/>
  <c r="C18" i="9"/>
  <c r="D18" i="9" s="1"/>
  <c r="B7" i="1"/>
  <c r="E7" i="1" s="1"/>
  <c r="G1" i="68"/>
  <c r="K1" i="12"/>
  <c r="K7" i="1"/>
  <c r="M7" i="1" s="1"/>
  <c r="O7" i="1" s="1"/>
  <c r="P7" i="1" s="1"/>
  <c r="AA17" i="34"/>
  <c r="S17" i="34"/>
  <c r="S45" i="39"/>
  <c r="AA45" i="39"/>
  <c r="AC14" i="33"/>
  <c r="W14" i="33"/>
  <c r="AA19" i="71"/>
  <c r="C64" i="71"/>
  <c r="D64" i="71" s="1"/>
  <c r="D63" i="71"/>
  <c r="AA20" i="71"/>
  <c r="U14" i="33"/>
  <c r="AB14" i="33"/>
  <c r="AC42" i="33"/>
  <c r="W42" i="33"/>
  <c r="H38" i="37"/>
  <c r="F38" i="37"/>
  <c r="J38" i="37"/>
  <c r="BA561" i="3"/>
  <c r="AB9" i="34"/>
  <c r="U9" i="34"/>
  <c r="AC22" i="35"/>
  <c r="W22" i="35"/>
  <c r="J12" i="40"/>
  <c r="F12" i="40"/>
  <c r="H12" i="40"/>
  <c r="J33" i="40"/>
  <c r="H33" i="40"/>
  <c r="BA579" i="3"/>
  <c r="G515" i="3"/>
  <c r="BA510" i="3"/>
  <c r="BA505" i="3"/>
  <c r="BL493" i="3"/>
  <c r="AA40" i="37"/>
  <c r="S40" i="37"/>
  <c r="B94" i="43"/>
  <c r="B51" i="43"/>
  <c r="G561" i="3"/>
  <c r="BA523" i="3"/>
  <c r="AZ523" i="3" s="1"/>
  <c r="BN5" i="3"/>
  <c r="T72" i="71"/>
  <c r="D72" i="71"/>
  <c r="AC45" i="34"/>
  <c r="U17" i="37"/>
  <c r="AB17" i="37"/>
  <c r="BL553" i="3"/>
  <c r="BL571" i="3"/>
  <c r="U9" i="40"/>
  <c r="BA581" i="3"/>
  <c r="BA527" i="3"/>
  <c r="AZ527" i="3" s="1"/>
  <c r="F13" i="34"/>
  <c r="W18" i="35"/>
  <c r="AC18" i="35"/>
  <c r="AA35" i="71"/>
  <c r="S25" i="37"/>
  <c r="AC40" i="21"/>
  <c r="U36" i="34"/>
  <c r="AB36" i="34"/>
  <c r="U25" i="36"/>
  <c r="AA37" i="40"/>
  <c r="S37" i="40"/>
  <c r="AA11" i="40"/>
  <c r="S11" i="40"/>
  <c r="H30" i="34"/>
  <c r="S19" i="39"/>
  <c r="BA13" i="3"/>
  <c r="AZ13" i="3" s="1"/>
  <c r="BS5" i="3"/>
  <c r="AZ544" i="3"/>
  <c r="AB35" i="21"/>
  <c r="U35" i="21"/>
  <c r="AB29" i="35"/>
  <c r="U29" i="35"/>
  <c r="AB21" i="39"/>
  <c r="U21" i="39"/>
  <c r="AC9" i="39"/>
  <c r="W9" i="39"/>
  <c r="H31" i="39"/>
  <c r="J31" i="39"/>
  <c r="F31" i="39"/>
  <c r="A126" i="9"/>
  <c r="A12" i="52" s="1"/>
  <c r="B56" i="72" s="1"/>
  <c r="H112" i="9"/>
  <c r="D21" i="53" s="1"/>
  <c r="B39" i="72" s="1"/>
  <c r="H111" i="9"/>
  <c r="D126" i="9" s="1"/>
  <c r="D12" i="52" s="1"/>
  <c r="B19" i="53"/>
  <c r="B37" i="72" s="1"/>
  <c r="S26" i="21"/>
  <c r="AA26" i="21"/>
  <c r="AC25" i="37"/>
  <c r="W25" i="37"/>
  <c r="AC31" i="34"/>
  <c r="W31" i="34"/>
  <c r="S13" i="33"/>
  <c r="AA13" i="33"/>
  <c r="AC8" i="34"/>
  <c r="W8" i="34"/>
  <c r="J14" i="34"/>
  <c r="H14" i="34"/>
  <c r="BL572" i="3"/>
  <c r="X3" i="71"/>
  <c r="AZ320" i="3"/>
  <c r="BL558" i="3"/>
  <c r="BA556" i="3"/>
  <c r="AZ556" i="3" s="1"/>
  <c r="G529" i="3"/>
  <c r="D68" i="71"/>
  <c r="C67" i="71"/>
  <c r="D67" i="71" s="1"/>
  <c r="AC25" i="39"/>
  <c r="W25" i="39"/>
  <c r="W25" i="36"/>
  <c r="AC25" i="36"/>
  <c r="AC9" i="34"/>
  <c r="W9" i="34"/>
  <c r="AC40" i="39"/>
  <c r="W40" i="39"/>
  <c r="BL576" i="3"/>
  <c r="BA565" i="3"/>
  <c r="G538" i="3"/>
  <c r="BL516" i="3"/>
  <c r="AZ516" i="3" s="1"/>
  <c r="P68" i="71"/>
  <c r="U68" i="71"/>
  <c r="L1" i="73"/>
  <c r="J1" i="73"/>
  <c r="S32" i="39"/>
  <c r="AA32" i="39"/>
  <c r="U20" i="35"/>
  <c r="AB20" i="35"/>
  <c r="AC16" i="35"/>
  <c r="W16" i="35"/>
  <c r="AA9" i="40"/>
  <c r="AC31" i="21"/>
  <c r="W31" i="21"/>
  <c r="BA558" i="3"/>
  <c r="AZ558" i="3" s="1"/>
  <c r="BA535" i="3"/>
  <c r="AZ535" i="3" s="1"/>
  <c r="BA531" i="3"/>
  <c r="U19" i="34"/>
  <c r="AA20" i="36"/>
  <c r="S20" i="36"/>
  <c r="AC44" i="21"/>
  <c r="W44" i="21"/>
  <c r="BA357" i="3"/>
  <c r="AZ357" i="3" s="1"/>
  <c r="AB40" i="37"/>
  <c r="U32" i="35"/>
  <c r="BL529" i="3"/>
  <c r="BL577" i="3"/>
  <c r="AC18" i="36"/>
  <c r="W18" i="36"/>
  <c r="AA14" i="35"/>
  <c r="S14" i="35"/>
  <c r="B87" i="43"/>
  <c r="C23" i="40"/>
  <c r="S43" i="34"/>
  <c r="S14" i="21"/>
  <c r="AA14" i="21"/>
  <c r="AC19" i="33"/>
  <c r="W19" i="33"/>
  <c r="AA19" i="21"/>
  <c r="S19" i="21"/>
  <c r="BA119" i="3"/>
  <c r="BA135" i="3"/>
  <c r="BA167" i="3"/>
  <c r="BA183" i="3"/>
  <c r="BA50" i="3"/>
  <c r="G103" i="3"/>
  <c r="C42" i="1"/>
  <c r="C24" i="12" s="1"/>
  <c r="G23" i="43"/>
  <c r="C23" i="43" s="1"/>
  <c r="J51" i="67"/>
  <c r="C7" i="33"/>
  <c r="AZ360" i="3"/>
  <c r="AZ549" i="3"/>
  <c r="AZ530" i="3"/>
  <c r="D24" i="71"/>
  <c r="U24" i="71" s="1"/>
  <c r="T24" i="71"/>
  <c r="AA43" i="39"/>
  <c r="S43" i="39"/>
  <c r="U45" i="34"/>
  <c r="AB45" i="34"/>
  <c r="AB13" i="36"/>
  <c r="U13" i="36"/>
  <c r="AZ326" i="3"/>
  <c r="W15" i="37"/>
  <c r="AC15" i="37"/>
  <c r="AB13" i="37"/>
  <c r="U13" i="37"/>
  <c r="A122" i="9"/>
  <c r="A8" i="52" s="1"/>
  <c r="B54" i="72" s="1"/>
  <c r="B13" i="53"/>
  <c r="B29" i="72" s="1"/>
  <c r="BL512" i="3"/>
  <c r="AA36" i="37"/>
  <c r="S36" i="37"/>
  <c r="BL503" i="3"/>
  <c r="AB32" i="36"/>
  <c r="U32" i="36"/>
  <c r="J39" i="40"/>
  <c r="F39" i="40"/>
  <c r="BA570" i="3"/>
  <c r="AZ570" i="3" s="1"/>
  <c r="BL544" i="3"/>
  <c r="BA533" i="3"/>
  <c r="W34" i="33"/>
  <c r="AC34" i="33"/>
  <c r="BL505" i="3"/>
  <c r="AZ505" i="3" s="1"/>
  <c r="BL502" i="3"/>
  <c r="AZ502" i="3" s="1"/>
  <c r="AB23" i="37"/>
  <c r="U23" i="37"/>
  <c r="U72" i="71"/>
  <c r="E71" i="71"/>
  <c r="E70" i="71" s="1"/>
  <c r="BA554" i="3"/>
  <c r="AZ554" i="3" s="1"/>
  <c r="BL552" i="3"/>
  <c r="BA512" i="3"/>
  <c r="AZ512" i="3" s="1"/>
  <c r="BA508" i="3"/>
  <c r="AZ508" i="3" s="1"/>
  <c r="AZ377" i="3"/>
  <c r="AB20" i="71"/>
  <c r="AB19" i="71"/>
  <c r="S23" i="34"/>
  <c r="AC26" i="36"/>
  <c r="AA24" i="35"/>
  <c r="S24" i="35"/>
  <c r="E125" i="33"/>
  <c r="F125" i="33" s="1"/>
  <c r="G125" i="33" s="1"/>
  <c r="AA37" i="39"/>
  <c r="S37" i="39"/>
  <c r="AB17" i="39"/>
  <c r="AA15" i="21"/>
  <c r="U8" i="37"/>
  <c r="S17" i="21"/>
  <c r="BL511" i="3"/>
  <c r="AZ511" i="3" s="1"/>
  <c r="F14" i="34"/>
  <c r="AB45" i="21"/>
  <c r="AC41" i="39"/>
  <c r="B62" i="43"/>
  <c r="S37" i="34"/>
  <c r="W23" i="40"/>
  <c r="U39" i="34"/>
  <c r="F36" i="35"/>
  <c r="W45" i="33"/>
  <c r="AC45" i="33"/>
  <c r="F9" i="21"/>
  <c r="H9" i="21"/>
  <c r="BA15" i="3"/>
  <c r="BP5" i="3"/>
  <c r="H30" i="21"/>
  <c r="F30" i="21"/>
  <c r="G556" i="3"/>
  <c r="M20" i="15"/>
  <c r="F34" i="67"/>
  <c r="F62" i="67" s="1"/>
  <c r="BA356" i="3"/>
  <c r="BL136" i="3"/>
  <c r="BL515" i="3"/>
  <c r="AZ515" i="3" s="1"/>
  <c r="BA555" i="3"/>
  <c r="BA16" i="3"/>
  <c r="G419" i="3"/>
  <c r="BL208" i="3"/>
  <c r="BL210" i="3"/>
  <c r="AA14" i="36"/>
  <c r="S14" i="36"/>
  <c r="BL517" i="3"/>
  <c r="AZ517" i="3" s="1"/>
  <c r="J14" i="40"/>
  <c r="F32" i="34"/>
  <c r="W11" i="33"/>
  <c r="AC11" i="33"/>
  <c r="S12" i="36"/>
  <c r="AC27" i="39"/>
  <c r="W27" i="39"/>
  <c r="J37" i="39"/>
  <c r="H37" i="39"/>
  <c r="BA532" i="3"/>
  <c r="AZ532" i="3" s="1"/>
  <c r="G528" i="3"/>
  <c r="BA526" i="3"/>
  <c r="BL524" i="3"/>
  <c r="G509" i="3"/>
  <c r="BA504" i="3"/>
  <c r="AZ504" i="3" s="1"/>
  <c r="BA503" i="3"/>
  <c r="G401" i="3"/>
  <c r="G417" i="3"/>
  <c r="BL465" i="3"/>
  <c r="BA473" i="3"/>
  <c r="G474" i="3"/>
  <c r="BL490" i="3"/>
  <c r="G309" i="3"/>
  <c r="BA322" i="3"/>
  <c r="AZ322" i="3" s="1"/>
  <c r="G373" i="3"/>
  <c r="G382" i="3"/>
  <c r="G217" i="3"/>
  <c r="G283" i="3"/>
  <c r="G292" i="3"/>
  <c r="BA115" i="3"/>
  <c r="G143" i="3"/>
  <c r="G175" i="3"/>
  <c r="G42" i="3"/>
  <c r="G74" i="3"/>
  <c r="AB30" i="40"/>
  <c r="U30" i="40"/>
  <c r="AB25" i="35"/>
  <c r="U25" i="35"/>
  <c r="AA34" i="39"/>
  <c r="S34" i="39"/>
  <c r="BA574" i="3"/>
  <c r="AZ574" i="3" s="1"/>
  <c r="G519" i="3"/>
  <c r="G496" i="3"/>
  <c r="BA308" i="3"/>
  <c r="BL334" i="3"/>
  <c r="BL366" i="3"/>
  <c r="BA372" i="3"/>
  <c r="BL184" i="3"/>
  <c r="B58" i="43"/>
  <c r="F14" i="40"/>
  <c r="S25" i="35"/>
  <c r="AA25" i="35"/>
  <c r="W32" i="34"/>
  <c r="AC32" i="34"/>
  <c r="AA45" i="21"/>
  <c r="S45" i="21"/>
  <c r="W34" i="37"/>
  <c r="AC34" i="37"/>
  <c r="H31" i="21"/>
  <c r="F31" i="21"/>
  <c r="B99" i="43"/>
  <c r="B56" i="43"/>
  <c r="J12" i="39"/>
  <c r="H12" i="39"/>
  <c r="AB12" i="39" s="1"/>
  <c r="F12" i="39"/>
  <c r="BL506" i="3"/>
  <c r="AZ506" i="3" s="1"/>
  <c r="AC25" i="40"/>
  <c r="W25" i="40"/>
  <c r="AB28" i="34"/>
  <c r="U28" i="34"/>
  <c r="BL495" i="3"/>
  <c r="AZ495" i="3" s="1"/>
  <c r="BL519" i="3"/>
  <c r="AZ519" i="3" s="1"/>
  <c r="AA27" i="21"/>
  <c r="S27" i="21"/>
  <c r="AC11" i="40"/>
  <c r="W15" i="34"/>
  <c r="AC15" i="34"/>
  <c r="H46" i="34"/>
  <c r="U46" i="34" s="1"/>
  <c r="F46" i="34"/>
  <c r="J46" i="34"/>
  <c r="BL584" i="3"/>
  <c r="AZ584" i="3" s="1"/>
  <c r="G569" i="3"/>
  <c r="BA564" i="3"/>
  <c r="AZ564" i="3" s="1"/>
  <c r="G560" i="3"/>
  <c r="BA545" i="3"/>
  <c r="BA513" i="3"/>
  <c r="AZ513" i="3" s="1"/>
  <c r="BA313" i="3"/>
  <c r="AZ313" i="3" s="1"/>
  <c r="BL323" i="3"/>
  <c r="BA345" i="3"/>
  <c r="BL371" i="3"/>
  <c r="AZ371" i="3" s="1"/>
  <c r="BL116" i="3"/>
  <c r="BA163" i="3"/>
  <c r="BA179" i="3"/>
  <c r="H23" i="36"/>
  <c r="F23" i="36"/>
  <c r="H44" i="39"/>
  <c r="F44" i="39"/>
  <c r="BA583" i="3"/>
  <c r="G570" i="3"/>
  <c r="G533" i="3"/>
  <c r="G505" i="3"/>
  <c r="BA500" i="3"/>
  <c r="AZ500" i="3" s="1"/>
  <c r="J27" i="34"/>
  <c r="H27" i="34"/>
  <c r="J28" i="37"/>
  <c r="F28" i="37"/>
  <c r="H28" i="37"/>
  <c r="AB28" i="37" s="1"/>
  <c r="BL580" i="3"/>
  <c r="BL520" i="3"/>
  <c r="S32" i="40"/>
  <c r="AA32" i="40"/>
  <c r="F34" i="15"/>
  <c r="F62" i="15" s="1"/>
  <c r="AB45" i="39"/>
  <c r="BL497" i="3"/>
  <c r="U13" i="39"/>
  <c r="AB13" i="39"/>
  <c r="H44" i="21"/>
  <c r="G587" i="3"/>
  <c r="J47" i="34"/>
  <c r="H47" i="34"/>
  <c r="F47" i="34"/>
  <c r="W35" i="37"/>
  <c r="AC35" i="37"/>
  <c r="BA568" i="3"/>
  <c r="BA536" i="3"/>
  <c r="BL528" i="3"/>
  <c r="BA507" i="3"/>
  <c r="BA494" i="3"/>
  <c r="AZ494" i="3" s="1"/>
  <c r="BR5" i="3"/>
  <c r="G28" i="6" s="1"/>
  <c r="G30" i="6" s="1"/>
  <c r="G31" i="6" s="1"/>
  <c r="BA437" i="3"/>
  <c r="G440" i="3"/>
  <c r="G456" i="3"/>
  <c r="BA336" i="3"/>
  <c r="BL180" i="3"/>
  <c r="BL81" i="3"/>
  <c r="AC21" i="37"/>
  <c r="BL513" i="3"/>
  <c r="AA40" i="33"/>
  <c r="S40" i="33"/>
  <c r="BA528" i="3"/>
  <c r="BA340" i="3"/>
  <c r="AA21" i="34"/>
  <c r="S21" i="34"/>
  <c r="B41" i="1"/>
  <c r="BL537" i="3"/>
  <c r="G565" i="3"/>
  <c r="BA560" i="3"/>
  <c r="E19" i="69"/>
  <c r="E19" i="68"/>
  <c r="E19" i="11"/>
  <c r="BL373" i="3"/>
  <c r="AZ373" i="3" s="1"/>
  <c r="BL74" i="3"/>
  <c r="B67" i="43"/>
  <c r="M20" i="67"/>
  <c r="W42" i="21"/>
  <c r="D93" i="9"/>
  <c r="BL499" i="3"/>
  <c r="J44" i="39"/>
  <c r="F27" i="33"/>
  <c r="AA27" i="33" s="1"/>
  <c r="J27" i="33"/>
  <c r="AC27" i="33" s="1"/>
  <c r="BA572" i="3"/>
  <c r="BA553" i="3"/>
  <c r="BA549" i="3"/>
  <c r="BL532" i="3"/>
  <c r="BA521" i="3"/>
  <c r="BA498" i="3"/>
  <c r="C21" i="11"/>
  <c r="C40" i="11"/>
  <c r="BA14" i="3"/>
  <c r="BB5" i="3"/>
  <c r="E13" i="6" s="1"/>
  <c r="G438" i="3"/>
  <c r="G463" i="3"/>
  <c r="G314" i="3"/>
  <c r="G330" i="3"/>
  <c r="BL337" i="3"/>
  <c r="AZ337" i="3" s="1"/>
  <c r="BA375" i="3"/>
  <c r="G387" i="3"/>
  <c r="BL394" i="3"/>
  <c r="AZ394" i="3" s="1"/>
  <c r="BA210" i="3"/>
  <c r="AZ210" i="3" s="1"/>
  <c r="G256" i="3"/>
  <c r="BA177" i="3"/>
  <c r="G180" i="3"/>
  <c r="G205" i="3"/>
  <c r="G31" i="3"/>
  <c r="BL79" i="3"/>
  <c r="C86" i="71"/>
  <c r="D86" i="71" s="1"/>
  <c r="D87" i="71"/>
  <c r="G495" i="3"/>
  <c r="BL443" i="3"/>
  <c r="BL310" i="3"/>
  <c r="BL252" i="3"/>
  <c r="BA260" i="3"/>
  <c r="AZ260" i="3" s="1"/>
  <c r="G261" i="3"/>
  <c r="Y35" i="71"/>
  <c r="Z35" i="71" s="1"/>
  <c r="B44" i="71"/>
  <c r="S44" i="71" s="1"/>
  <c r="F17" i="33"/>
  <c r="S17" i="33" s="1"/>
  <c r="U34" i="36"/>
  <c r="BL543" i="3"/>
  <c r="AZ543" i="3" s="1"/>
  <c r="BL561" i="3"/>
  <c r="S38" i="39"/>
  <c r="F32" i="36"/>
  <c r="J32" i="36"/>
  <c r="W32" i="36" s="1"/>
  <c r="H5" i="3"/>
  <c r="BL243" i="3"/>
  <c r="BL541" i="3"/>
  <c r="BL559" i="3"/>
  <c r="AZ559" i="3" s="1"/>
  <c r="H17" i="33"/>
  <c r="U17" i="33" s="1"/>
  <c r="W46" i="33"/>
  <c r="AA11" i="35"/>
  <c r="BL545" i="3"/>
  <c r="BL563" i="3"/>
  <c r="F13" i="35"/>
  <c r="J14" i="21"/>
  <c r="H14" i="21"/>
  <c r="H9" i="33"/>
  <c r="AB9" i="33" s="1"/>
  <c r="F9" i="33"/>
  <c r="AA9" i="33" s="1"/>
  <c r="G499" i="3"/>
  <c r="E44" i="71"/>
  <c r="U44" i="71" s="1"/>
  <c r="S33" i="36"/>
  <c r="BL521" i="3"/>
  <c r="BL547" i="3"/>
  <c r="BL565" i="3"/>
  <c r="F29" i="33"/>
  <c r="S29" i="33" s="1"/>
  <c r="U38" i="21"/>
  <c r="AB38" i="21"/>
  <c r="AC31" i="37"/>
  <c r="W31" i="37"/>
  <c r="AC8" i="39"/>
  <c r="W8" i="39"/>
  <c r="AB19" i="21"/>
  <c r="U19" i="21"/>
  <c r="X36" i="71"/>
  <c r="U26" i="36"/>
  <c r="AB27" i="39"/>
  <c r="G521" i="3"/>
  <c r="BL567" i="3"/>
  <c r="H29" i="33"/>
  <c r="U29" i="33" s="1"/>
  <c r="BL560" i="3"/>
  <c r="BL546" i="3"/>
  <c r="G273" i="3"/>
  <c r="BL570" i="3"/>
  <c r="BL510" i="3"/>
  <c r="U34" i="34"/>
  <c r="U30" i="37"/>
  <c r="J12" i="37"/>
  <c r="F12" i="37"/>
  <c r="S12" i="37" s="1"/>
  <c r="H19" i="33"/>
  <c r="U19" i="33" s="1"/>
  <c r="W25" i="21"/>
  <c r="AC19" i="21"/>
  <c r="F23" i="33"/>
  <c r="S23" i="39"/>
  <c r="AB41" i="34"/>
  <c r="W30" i="37"/>
  <c r="AC20" i="35"/>
  <c r="BL551" i="3"/>
  <c r="BL569" i="3"/>
  <c r="AA35" i="39"/>
  <c r="S35" i="39"/>
  <c r="J29" i="21"/>
  <c r="AC29" i="21" s="1"/>
  <c r="H29" i="21"/>
  <c r="BL578" i="3"/>
  <c r="AZ578" i="3" s="1"/>
  <c r="BL518" i="3"/>
  <c r="BA493" i="3"/>
  <c r="G115" i="3"/>
  <c r="BL140" i="3"/>
  <c r="G188" i="3"/>
  <c r="BA201" i="3"/>
  <c r="BL204" i="3"/>
  <c r="BA97" i="3"/>
  <c r="G98" i="3"/>
  <c r="X31" i="71"/>
  <c r="BL308" i="3"/>
  <c r="BL324" i="3"/>
  <c r="AZ324" i="3" s="1"/>
  <c r="AB34" i="71"/>
  <c r="F44" i="71"/>
  <c r="V44" i="71" s="1"/>
  <c r="F47" i="71"/>
  <c r="F48" i="71" s="1"/>
  <c r="V48" i="71" s="1"/>
  <c r="BL535" i="3"/>
  <c r="BL581" i="3"/>
  <c r="BL430" i="3"/>
  <c r="G128" i="3"/>
  <c r="BA148" i="3"/>
  <c r="AZ148" i="3" s="1"/>
  <c r="G95" i="3"/>
  <c r="BL462" i="3"/>
  <c r="G489" i="3"/>
  <c r="BL212" i="3"/>
  <c r="BA125" i="3"/>
  <c r="G190" i="3"/>
  <c r="B55" i="71"/>
  <c r="B56" i="71" s="1"/>
  <c r="S56" i="71" s="1"/>
  <c r="BL539" i="3"/>
  <c r="BL557" i="3"/>
  <c r="AZ557" i="3" s="1"/>
  <c r="G421" i="3"/>
  <c r="G478" i="3"/>
  <c r="G329" i="3"/>
  <c r="G212" i="3"/>
  <c r="G221" i="3"/>
  <c r="G239" i="3"/>
  <c r="G48" i="3"/>
  <c r="E51" i="71"/>
  <c r="E52" i="71" s="1"/>
  <c r="U52" i="71" s="1"/>
  <c r="H25" i="33"/>
  <c r="U25" i="33" s="1"/>
  <c r="J25" i="33"/>
  <c r="AC25" i="33" s="1"/>
  <c r="AC30" i="33"/>
  <c r="F91" i="33"/>
  <c r="G91" i="33" s="1"/>
  <c r="H91" i="33" s="1"/>
  <c r="I91" i="33" s="1"/>
  <c r="J91" i="33" s="1"/>
  <c r="K91" i="33" s="1"/>
  <c r="L91" i="33" s="1"/>
  <c r="M91" i="33" s="1"/>
  <c r="AB33" i="36"/>
  <c r="U33" i="36"/>
  <c r="AC12" i="39"/>
  <c r="W12" i="39"/>
  <c r="U25" i="37"/>
  <c r="AB25" i="37"/>
  <c r="AA27" i="40"/>
  <c r="AB33" i="34"/>
  <c r="D120" i="9"/>
  <c r="D121" i="9" s="1"/>
  <c r="D7" i="52" s="1"/>
  <c r="AC39" i="34"/>
  <c r="U25" i="39"/>
  <c r="AA34" i="33"/>
  <c r="AZ338" i="3"/>
  <c r="AZ327" i="3"/>
  <c r="AZ304" i="3"/>
  <c r="AZ380" i="3"/>
  <c r="AZ497" i="3"/>
  <c r="AZ521" i="3"/>
  <c r="AZ533" i="3"/>
  <c r="AZ561" i="3"/>
  <c r="AZ569" i="3"/>
  <c r="AZ577" i="3"/>
  <c r="AZ565" i="3"/>
  <c r="AZ520" i="3"/>
  <c r="AZ528" i="3"/>
  <c r="AA14" i="33"/>
  <c r="H23" i="35"/>
  <c r="F6" i="1"/>
  <c r="AZ499" i="3"/>
  <c r="AZ541" i="3"/>
  <c r="AZ563" i="3"/>
  <c r="AZ536" i="3"/>
  <c r="AC11" i="35"/>
  <c r="AB23" i="21"/>
  <c r="S32" i="21"/>
  <c r="AA33" i="34"/>
  <c r="AZ310" i="3"/>
  <c r="G398" i="3"/>
  <c r="AZ379" i="3"/>
  <c r="B79" i="43"/>
  <c r="BA402" i="3"/>
  <c r="BL402" i="3"/>
  <c r="BA406" i="3"/>
  <c r="BL406" i="3"/>
  <c r="G413" i="3"/>
  <c r="BL416" i="3"/>
  <c r="G418" i="3"/>
  <c r="BA419" i="3"/>
  <c r="AZ419" i="3" s="1"/>
  <c r="G422" i="3"/>
  <c r="G428" i="3"/>
  <c r="G432" i="3"/>
  <c r="G436" i="3"/>
  <c r="BA448" i="3"/>
  <c r="G449" i="3"/>
  <c r="G453" i="3"/>
  <c r="G457" i="3"/>
  <c r="G461" i="3"/>
  <c r="G471" i="3"/>
  <c r="BL487" i="3"/>
  <c r="G488" i="3"/>
  <c r="G492" i="3"/>
  <c r="G318" i="3"/>
  <c r="G358" i="3"/>
  <c r="G362" i="3"/>
  <c r="G392" i="3"/>
  <c r="BL395" i="3"/>
  <c r="G396" i="3"/>
  <c r="G215" i="3"/>
  <c r="BL226" i="3"/>
  <c r="G227" i="3"/>
  <c r="G231" i="3"/>
  <c r="BA233" i="3"/>
  <c r="G241" i="3"/>
  <c r="G249" i="3"/>
  <c r="BA252" i="3"/>
  <c r="AZ252" i="3" s="1"/>
  <c r="G254" i="3"/>
  <c r="G258" i="3"/>
  <c r="BA275" i="3"/>
  <c r="G276" i="3"/>
  <c r="BA277" i="3"/>
  <c r="BL277" i="3"/>
  <c r="BL280" i="3"/>
  <c r="BA286" i="3"/>
  <c r="G289" i="3"/>
  <c r="G299" i="3"/>
  <c r="G127" i="3"/>
  <c r="G136" i="3"/>
  <c r="G144" i="3"/>
  <c r="BA149" i="3"/>
  <c r="G152" i="3"/>
  <c r="G172" i="3"/>
  <c r="BL175" i="3"/>
  <c r="AZ175" i="3" s="1"/>
  <c r="G176" i="3"/>
  <c r="G19" i="3"/>
  <c r="BL23" i="3"/>
  <c r="BA25" i="3"/>
  <c r="BA26" i="3"/>
  <c r="G28" i="3"/>
  <c r="BL28" i="3"/>
  <c r="BA29" i="3"/>
  <c r="G32" i="3"/>
  <c r="G33" i="3"/>
  <c r="BA33" i="3"/>
  <c r="BA47" i="3"/>
  <c r="BL47" i="3"/>
  <c r="G49" i="3"/>
  <c r="G50" i="3"/>
  <c r="BA55" i="3"/>
  <c r="G62" i="3"/>
  <c r="BL110" i="3"/>
  <c r="G111" i="3"/>
  <c r="O68" i="71"/>
  <c r="B39" i="71"/>
  <c r="B40" i="71" s="1"/>
  <c r="S40" i="71" s="1"/>
  <c r="AA3" i="71"/>
  <c r="T68" i="71"/>
  <c r="AA38" i="71"/>
  <c r="B51" i="71"/>
  <c r="B52" i="71" s="1"/>
  <c r="S52" i="71" s="1"/>
  <c r="B59" i="71"/>
  <c r="B60" i="71" s="1"/>
  <c r="S60" i="71" s="1"/>
  <c r="B79" i="71"/>
  <c r="B78" i="71" s="1"/>
  <c r="G403" i="3"/>
  <c r="G411" i="3"/>
  <c r="G415" i="3"/>
  <c r="G420" i="3"/>
  <c r="BL423" i="3"/>
  <c r="BL458" i="3"/>
  <c r="BA462" i="3"/>
  <c r="AZ462" i="3" s="1"/>
  <c r="BA470" i="3"/>
  <c r="AZ470" i="3" s="1"/>
  <c r="BL484" i="3"/>
  <c r="BA319" i="3"/>
  <c r="AZ319" i="3" s="1"/>
  <c r="BL359" i="3"/>
  <c r="AZ359" i="3" s="1"/>
  <c r="BL367" i="3"/>
  <c r="BL375" i="3"/>
  <c r="BL385" i="3"/>
  <c r="BA220" i="3"/>
  <c r="BL224" i="3"/>
  <c r="BA231" i="3"/>
  <c r="BL237" i="3"/>
  <c r="BL238" i="3"/>
  <c r="BA302" i="3"/>
  <c r="BL122" i="3"/>
  <c r="BA145" i="3"/>
  <c r="BA156" i="3"/>
  <c r="AZ156" i="3" s="1"/>
  <c r="BL161" i="3"/>
  <c r="BL167" i="3"/>
  <c r="AZ167" i="3" s="1"/>
  <c r="BL173" i="3"/>
  <c r="BL198" i="3"/>
  <c r="BA70" i="3"/>
  <c r="AB21" i="33"/>
  <c r="U29" i="39"/>
  <c r="B68" i="43"/>
  <c r="BA407" i="3"/>
  <c r="AZ407" i="3" s="1"/>
  <c r="G410" i="3"/>
  <c r="BA420" i="3"/>
  <c r="BA422" i="3"/>
  <c r="G433" i="3"/>
  <c r="G441" i="3"/>
  <c r="G484" i="3"/>
  <c r="BA488" i="3"/>
  <c r="AZ488" i="3" s="1"/>
  <c r="BL488" i="3"/>
  <c r="G323" i="3"/>
  <c r="G343" i="3"/>
  <c r="G347" i="3"/>
  <c r="BL350" i="3"/>
  <c r="G351" i="3"/>
  <c r="BA366" i="3"/>
  <c r="AZ366" i="3" s="1"/>
  <c r="BL383" i="3"/>
  <c r="AZ383" i="3" s="1"/>
  <c r="G220" i="3"/>
  <c r="G228" i="3"/>
  <c r="G232" i="3"/>
  <c r="BL236" i="3"/>
  <c r="G237" i="3"/>
  <c r="BA240" i="3"/>
  <c r="BL254" i="3"/>
  <c r="BL262" i="3"/>
  <c r="G263" i="3"/>
  <c r="BL289" i="3"/>
  <c r="G290" i="3"/>
  <c r="BA134" i="3"/>
  <c r="BL138" i="3"/>
  <c r="BA140" i="3"/>
  <c r="BL181" i="3"/>
  <c r="BL205" i="3"/>
  <c r="G60" i="3"/>
  <c r="BA62" i="3"/>
  <c r="BL62" i="3"/>
  <c r="BL63" i="3"/>
  <c r="BA88" i="3"/>
  <c r="BA109" i="3"/>
  <c r="J51" i="15"/>
  <c r="L59" i="15" s="1"/>
  <c r="B57" i="43"/>
  <c r="Y29" i="71"/>
  <c r="Z29" i="71" s="1"/>
  <c r="X34" i="71"/>
  <c r="AA37" i="71"/>
  <c r="Y38" i="71"/>
  <c r="Z38" i="71" s="1"/>
  <c r="C59" i="71"/>
  <c r="S76" i="71"/>
  <c r="U33" i="33"/>
  <c r="F111" i="33"/>
  <c r="G111" i="33" s="1"/>
  <c r="H111" i="33" s="1"/>
  <c r="I111" i="33" s="1"/>
  <c r="J111" i="33" s="1"/>
  <c r="K111" i="33" s="1"/>
  <c r="L111" i="33" s="1"/>
  <c r="M111" i="33" s="1"/>
  <c r="J36" i="33"/>
  <c r="W36" i="33" s="1"/>
  <c r="F36" i="33"/>
  <c r="AA36" i="33" s="1"/>
  <c r="K54" i="43"/>
  <c r="M54" i="43"/>
  <c r="N54" i="43" s="1"/>
  <c r="W23" i="21"/>
  <c r="S32" i="37"/>
  <c r="S20" i="35"/>
  <c r="AZ387" i="3"/>
  <c r="AZ389" i="3"/>
  <c r="AZ356" i="3"/>
  <c r="AZ336" i="3"/>
  <c r="AZ305" i="3"/>
  <c r="AZ501" i="3"/>
  <c r="AZ509" i="3"/>
  <c r="AZ503" i="3"/>
  <c r="AZ575" i="3"/>
  <c r="S45" i="33"/>
  <c r="U46" i="33"/>
  <c r="W23" i="37"/>
  <c r="W9" i="21"/>
  <c r="E7" i="33"/>
  <c r="I7" i="33"/>
  <c r="G7" i="33"/>
  <c r="G29" i="6"/>
  <c r="AZ369" i="3"/>
  <c r="AZ524" i="3"/>
  <c r="AZ566" i="3"/>
  <c r="AZ582" i="3"/>
  <c r="AZ540" i="3"/>
  <c r="AZ560" i="3"/>
  <c r="U12" i="39"/>
  <c r="AZ362" i="3"/>
  <c r="AZ390" i="3"/>
  <c r="AZ351" i="3"/>
  <c r="AZ342" i="3"/>
  <c r="AZ510" i="3"/>
  <c r="AZ552" i="3"/>
  <c r="S11" i="36"/>
  <c r="J26" i="33"/>
  <c r="W26" i="33" s="1"/>
  <c r="F26" i="33"/>
  <c r="AA26" i="33" s="1"/>
  <c r="J12" i="34"/>
  <c r="H12" i="34"/>
  <c r="F12" i="34"/>
  <c r="S12" i="34" s="1"/>
  <c r="G551" i="3"/>
  <c r="G542" i="3"/>
  <c r="BA400" i="3"/>
  <c r="BL409" i="3"/>
  <c r="BL449" i="3"/>
  <c r="BL450" i="3"/>
  <c r="BL453" i="3"/>
  <c r="BL454" i="3"/>
  <c r="BA456" i="3"/>
  <c r="BL456" i="3"/>
  <c r="G464" i="3"/>
  <c r="BL475" i="3"/>
  <c r="BL479" i="3"/>
  <c r="BA217" i="3"/>
  <c r="BA228" i="3"/>
  <c r="BA245" i="3"/>
  <c r="G255" i="3"/>
  <c r="BA255" i="3"/>
  <c r="BL264" i="3"/>
  <c r="BA268" i="3"/>
  <c r="BL278" i="3"/>
  <c r="BA283" i="3"/>
  <c r="BA291" i="3"/>
  <c r="BL291" i="3"/>
  <c r="BL298" i="3"/>
  <c r="BL300" i="3"/>
  <c r="BA120" i="3"/>
  <c r="AZ120" i="3" s="1"/>
  <c r="F38" i="33"/>
  <c r="G566" i="3"/>
  <c r="G14" i="3"/>
  <c r="BA401" i="3"/>
  <c r="BA404" i="3"/>
  <c r="BA405" i="3"/>
  <c r="G407" i="3"/>
  <c r="G408" i="3"/>
  <c r="G409" i="3"/>
  <c r="BL412" i="3"/>
  <c r="BL438" i="3"/>
  <c r="BL439" i="3"/>
  <c r="AZ439" i="3" s="1"/>
  <c r="BA443" i="3"/>
  <c r="AZ443" i="3" s="1"/>
  <c r="BA465" i="3"/>
  <c r="BA478" i="3"/>
  <c r="BA489" i="3"/>
  <c r="BL316" i="3"/>
  <c r="G366" i="3"/>
  <c r="BA392" i="3"/>
  <c r="AZ392" i="3" s="1"/>
  <c r="BL211" i="3"/>
  <c r="BL219" i="3"/>
  <c r="BL230" i="3"/>
  <c r="BL242" i="3"/>
  <c r="G243" i="3"/>
  <c r="BA248" i="3"/>
  <c r="G253" i="3"/>
  <c r="BA258" i="3"/>
  <c r="G266" i="3"/>
  <c r="BL267" i="3"/>
  <c r="G270" i="3"/>
  <c r="G271" i="3"/>
  <c r="G281" i="3"/>
  <c r="G285" i="3"/>
  <c r="BA288" i="3"/>
  <c r="BL290" i="3"/>
  <c r="G302" i="3"/>
  <c r="G116" i="3"/>
  <c r="BA117" i="3"/>
  <c r="G126" i="3"/>
  <c r="BA157" i="3"/>
  <c r="G585" i="3"/>
  <c r="H38" i="33"/>
  <c r="BL399" i="3"/>
  <c r="BA403" i="3"/>
  <c r="BA410" i="3"/>
  <c r="AZ410" i="3" s="1"/>
  <c r="BL410" i="3"/>
  <c r="G412" i="3"/>
  <c r="BL419" i="3"/>
  <c r="BA424" i="3"/>
  <c r="BL427" i="3"/>
  <c r="G429" i="3"/>
  <c r="G430" i="3"/>
  <c r="BA431" i="3"/>
  <c r="BL433" i="3"/>
  <c r="BL434" i="3"/>
  <c r="G437" i="3"/>
  <c r="G447" i="3"/>
  <c r="BL447" i="3"/>
  <c r="BA452" i="3"/>
  <c r="AZ452" i="3" s="1"/>
  <c r="BL455" i="3"/>
  <c r="BA467" i="3"/>
  <c r="AZ467" i="3" s="1"/>
  <c r="BA468" i="3"/>
  <c r="BL471" i="3"/>
  <c r="BA477" i="3"/>
  <c r="BA481" i="3"/>
  <c r="BA487" i="3"/>
  <c r="BL340" i="3"/>
  <c r="AZ340" i="3" s="1"/>
  <c r="BA348" i="3"/>
  <c r="BA350" i="3"/>
  <c r="AZ350" i="3" s="1"/>
  <c r="BA354" i="3"/>
  <c r="BL381" i="3"/>
  <c r="AZ381" i="3" s="1"/>
  <c r="BA214" i="3"/>
  <c r="BL216" i="3"/>
  <c r="BL222" i="3"/>
  <c r="G223" i="3"/>
  <c r="BA225" i="3"/>
  <c r="AZ225" i="3" s="1"/>
  <c r="BL227" i="3"/>
  <c r="G229" i="3"/>
  <c r="G236" i="3"/>
  <c r="G246" i="3"/>
  <c r="G250" i="3"/>
  <c r="G251" i="3"/>
  <c r="BA254" i="3"/>
  <c r="BA257" i="3"/>
  <c r="BL266" i="3"/>
  <c r="A15" i="62"/>
  <c r="B61" i="72" s="1"/>
  <c r="BA413" i="3"/>
  <c r="BL431" i="3"/>
  <c r="BL440" i="3"/>
  <c r="BA441" i="3"/>
  <c r="G444" i="3"/>
  <c r="G445" i="3"/>
  <c r="BL445" i="3"/>
  <c r="AZ445" i="3" s="1"/>
  <c r="BL446" i="3"/>
  <c r="BL451" i="3"/>
  <c r="G455" i="3"/>
  <c r="BA458" i="3"/>
  <c r="G466" i="3"/>
  <c r="BA466" i="3"/>
  <c r="BL469" i="3"/>
  <c r="BA476" i="3"/>
  <c r="BA480" i="3"/>
  <c r="BA485" i="3"/>
  <c r="BA491" i="3"/>
  <c r="BA331" i="3"/>
  <c r="AZ331" i="3" s="1"/>
  <c r="BA335" i="3"/>
  <c r="AZ335" i="3" s="1"/>
  <c r="BA339" i="3"/>
  <c r="AZ339" i="3" s="1"/>
  <c r="BA385" i="3"/>
  <c r="AZ385" i="3" s="1"/>
  <c r="BL386" i="3"/>
  <c r="BA397" i="3"/>
  <c r="BL397" i="3"/>
  <c r="BA212" i="3"/>
  <c r="BL214" i="3"/>
  <c r="G216" i="3"/>
  <c r="G218" i="3"/>
  <c r="BL225" i="3"/>
  <c r="BA246" i="3"/>
  <c r="BA250" i="3"/>
  <c r="BA256" i="3"/>
  <c r="BL256" i="3"/>
  <c r="BL259" i="3"/>
  <c r="BA265" i="3"/>
  <c r="BL269" i="3"/>
  <c r="BL272" i="3"/>
  <c r="BL273" i="3"/>
  <c r="G284" i="3"/>
  <c r="BL286" i="3"/>
  <c r="BA293" i="3"/>
  <c r="BL293" i="3"/>
  <c r="BL294" i="3"/>
  <c r="BA297" i="3"/>
  <c r="BL297" i="3"/>
  <c r="BA301" i="3"/>
  <c r="BL127" i="3"/>
  <c r="AZ127" i="3" s="1"/>
  <c r="BA130" i="3"/>
  <c r="BL130" i="3"/>
  <c r="D59" i="71"/>
  <c r="C60" i="71"/>
  <c r="X25" i="71"/>
  <c r="BA133" i="3"/>
  <c r="BL135" i="3"/>
  <c r="AZ135" i="3" s="1"/>
  <c r="BA137" i="3"/>
  <c r="G140" i="3"/>
  <c r="BL143" i="3"/>
  <c r="AZ143" i="3" s="1"/>
  <c r="BA162" i="3"/>
  <c r="BL169" i="3"/>
  <c r="BA194" i="3"/>
  <c r="G23" i="3"/>
  <c r="BA40" i="3"/>
  <c r="AZ40" i="3" s="1"/>
  <c r="G44" i="3"/>
  <c r="BL44" i="3"/>
  <c r="BL52" i="3"/>
  <c r="BL57" i="3"/>
  <c r="G59" i="3"/>
  <c r="BA77" i="3"/>
  <c r="BL77" i="3"/>
  <c r="BL93" i="3"/>
  <c r="BL96" i="3"/>
  <c r="G106" i="3"/>
  <c r="C7" i="21"/>
  <c r="P27" i="6"/>
  <c r="E66" i="71"/>
  <c r="D76" i="71"/>
  <c r="C38" i="71"/>
  <c r="D38" i="71" s="1"/>
  <c r="C30" i="71"/>
  <c r="D30" i="71" s="1"/>
  <c r="Y26" i="71"/>
  <c r="Z26" i="71" s="1"/>
  <c r="AB36" i="71"/>
  <c r="E47" i="71"/>
  <c r="E48" i="71" s="1"/>
  <c r="U48" i="71" s="1"/>
  <c r="B23" i="71"/>
  <c r="B22" i="71" s="1"/>
  <c r="B21" i="71" s="1"/>
  <c r="B20" i="71" s="1"/>
  <c r="BA132" i="3"/>
  <c r="AZ132" i="3" s="1"/>
  <c r="BL163" i="3"/>
  <c r="AZ163" i="3" s="1"/>
  <c r="G164" i="3"/>
  <c r="G174" i="3"/>
  <c r="BA185" i="3"/>
  <c r="AZ185" i="3" s="1"/>
  <c r="BA189" i="3"/>
  <c r="BL191" i="3"/>
  <c r="AZ191" i="3" s="1"/>
  <c r="G192" i="3"/>
  <c r="BA193" i="3"/>
  <c r="AZ193" i="3" s="1"/>
  <c r="BL195" i="3"/>
  <c r="AZ195" i="3" s="1"/>
  <c r="G202" i="3"/>
  <c r="G203" i="3"/>
  <c r="BA205" i="3"/>
  <c r="AZ205" i="3" s="1"/>
  <c r="G18" i="3"/>
  <c r="BA22" i="3"/>
  <c r="BL35" i="3"/>
  <c r="BA36" i="3"/>
  <c r="BL38" i="3"/>
  <c r="BA39" i="3"/>
  <c r="G43" i="3"/>
  <c r="BA43" i="3"/>
  <c r="BA53" i="3"/>
  <c r="BA54" i="3"/>
  <c r="BA65" i="3"/>
  <c r="BL65" i="3"/>
  <c r="BL66" i="3"/>
  <c r="G68" i="3"/>
  <c r="BA68" i="3"/>
  <c r="AZ68" i="3" s="1"/>
  <c r="BL76" i="3"/>
  <c r="BL82" i="3"/>
  <c r="AZ82" i="3" s="1"/>
  <c r="BL86" i="3"/>
  <c r="G87" i="3"/>
  <c r="G88" i="3"/>
  <c r="BA92" i="3"/>
  <c r="G101" i="3"/>
  <c r="BA101" i="3"/>
  <c r="G108" i="3"/>
  <c r="G109" i="3"/>
  <c r="AC21" i="21"/>
  <c r="C29" i="39"/>
  <c r="B88" i="43"/>
  <c r="D80" i="71"/>
  <c r="C75" i="71"/>
  <c r="Q68" i="71"/>
  <c r="AA34" i="71"/>
  <c r="C43" i="71"/>
  <c r="D43" i="71" s="1"/>
  <c r="C51" i="71"/>
  <c r="D51" i="71" s="1"/>
  <c r="B71" i="71"/>
  <c r="B70" i="71" s="1"/>
  <c r="G134" i="3"/>
  <c r="G138" i="3"/>
  <c r="BL146" i="3"/>
  <c r="G147" i="3"/>
  <c r="BL158" i="3"/>
  <c r="G159" i="3"/>
  <c r="G163" i="3"/>
  <c r="BL166" i="3"/>
  <c r="G167" i="3"/>
  <c r="BA168" i="3"/>
  <c r="AZ168" i="3" s="1"/>
  <c r="G171" i="3"/>
  <c r="G178" i="3"/>
  <c r="BL178" i="3"/>
  <c r="BA180" i="3"/>
  <c r="AZ180" i="3" s="1"/>
  <c r="BL182" i="3"/>
  <c r="G183" i="3"/>
  <c r="BL186" i="3"/>
  <c r="BA188" i="3"/>
  <c r="AZ188" i="3" s="1"/>
  <c r="G195" i="3"/>
  <c r="BA196" i="3"/>
  <c r="AZ196" i="3" s="1"/>
  <c r="G206" i="3"/>
  <c r="BA207" i="3"/>
  <c r="AZ207" i="3" s="1"/>
  <c r="G20" i="3"/>
  <c r="BL20" i="3"/>
  <c r="BA21" i="3"/>
  <c r="BL24" i="3"/>
  <c r="BA30" i="3"/>
  <c r="AZ30" i="3" s="1"/>
  <c r="G34" i="3"/>
  <c r="BL34" i="3"/>
  <c r="G41" i="3"/>
  <c r="G51" i="3"/>
  <c r="G52" i="3"/>
  <c r="BA52" i="3"/>
  <c r="AZ52" i="3" s="1"/>
  <c r="BL64" i="3"/>
  <c r="G65" i="3"/>
  <c r="BA67" i="3"/>
  <c r="BL69" i="3"/>
  <c r="G70" i="3"/>
  <c r="G76" i="3"/>
  <c r="BL83" i="3"/>
  <c r="G86" i="3"/>
  <c r="BL91" i="3"/>
  <c r="BA95" i="3"/>
  <c r="BA98" i="3"/>
  <c r="G99" i="3"/>
  <c r="BL103" i="3"/>
  <c r="G107" i="3"/>
  <c r="G112" i="3"/>
  <c r="BL112" i="3"/>
  <c r="Y27" i="71"/>
  <c r="Z27" i="71" s="1"/>
  <c r="N68" i="71"/>
  <c r="F35" i="71"/>
  <c r="F36" i="71" s="1"/>
  <c r="V36" i="71" s="1"/>
  <c r="S68" i="71"/>
  <c r="V68" i="71"/>
  <c r="F71" i="71"/>
  <c r="F70" i="71" s="1"/>
  <c r="C23" i="71"/>
  <c r="AA29" i="33"/>
  <c r="AA30" i="33"/>
  <c r="U30" i="33"/>
  <c r="AB44" i="33"/>
  <c r="F7" i="1"/>
  <c r="G7" i="1" s="1"/>
  <c r="AA44" i="33"/>
  <c r="AC44" i="33"/>
  <c r="S39" i="33"/>
  <c r="W39" i="33"/>
  <c r="S41" i="33"/>
  <c r="AB41" i="33"/>
  <c r="U40" i="33"/>
  <c r="S32" i="33"/>
  <c r="AB28" i="33"/>
  <c r="U23" i="33"/>
  <c r="AC21" i="33"/>
  <c r="W17" i="33"/>
  <c r="AA17" i="33"/>
  <c r="W15" i="33"/>
  <c r="S15" i="33"/>
  <c r="U37" i="33"/>
  <c r="AC37" i="33"/>
  <c r="U39" i="33"/>
  <c r="S42" i="33"/>
  <c r="U42" i="33"/>
  <c r="W35" i="33"/>
  <c r="U35" i="33"/>
  <c r="AA35" i="33"/>
  <c r="AB34" i="33"/>
  <c r="W32" i="33"/>
  <c r="U32" i="33"/>
  <c r="AB29" i="33"/>
  <c r="AC28" i="33"/>
  <c r="S28" i="33"/>
  <c r="S27" i="33"/>
  <c r="U27" i="33"/>
  <c r="W27" i="33"/>
  <c r="AB26" i="33"/>
  <c r="W25" i="33"/>
  <c r="AA25" i="33"/>
  <c r="AB25" i="33"/>
  <c r="U11" i="33"/>
  <c r="W8" i="33"/>
  <c r="M47" i="9"/>
  <c r="C7" i="35"/>
  <c r="C48" i="35" s="1"/>
  <c r="D48" i="35" s="1"/>
  <c r="C7" i="34"/>
  <c r="C7" i="40"/>
  <c r="C63" i="40" s="1"/>
  <c r="C7" i="37"/>
  <c r="C52" i="37" s="1"/>
  <c r="D52" i="37" s="1"/>
  <c r="E52" i="37" s="1"/>
  <c r="F52" i="37" s="1"/>
  <c r="G52" i="37" s="1"/>
  <c r="H52" i="37" s="1"/>
  <c r="I52" i="37" s="1"/>
  <c r="J52" i="37" s="1"/>
  <c r="K52" i="37" s="1"/>
  <c r="L52" i="37" s="1"/>
  <c r="M52" i="37" s="1"/>
  <c r="N52" i="37" s="1"/>
  <c r="O52" i="37" s="1"/>
  <c r="C7" i="39"/>
  <c r="C67" i="39" s="1"/>
  <c r="D67" i="39" s="1"/>
  <c r="D69" i="39" s="1"/>
  <c r="AB15" i="21"/>
  <c r="W32" i="39"/>
  <c r="AC32" i="39"/>
  <c r="AA37" i="21"/>
  <c r="S37" i="21"/>
  <c r="AA23" i="37"/>
  <c r="S17" i="37"/>
  <c r="W33" i="34"/>
  <c r="AA40" i="34"/>
  <c r="W27" i="40"/>
  <c r="S23" i="21"/>
  <c r="W15" i="21"/>
  <c r="U32" i="37"/>
  <c r="S30" i="40"/>
  <c r="AZ14" i="3"/>
  <c r="AZ345" i="3"/>
  <c r="AZ334" i="3"/>
  <c r="AZ372" i="3"/>
  <c r="AZ347" i="3"/>
  <c r="AZ376" i="3"/>
  <c r="AA11" i="39"/>
  <c r="AZ571" i="3"/>
  <c r="AZ579" i="3"/>
  <c r="AB46" i="34"/>
  <c r="G586" i="3"/>
  <c r="AZ539" i="3"/>
  <c r="AZ529" i="3"/>
  <c r="AZ537" i="3"/>
  <c r="AZ518" i="3"/>
  <c r="AZ526" i="3"/>
  <c r="AZ580" i="3"/>
  <c r="AB45" i="33"/>
  <c r="S14" i="37"/>
  <c r="S29" i="35"/>
  <c r="AA29" i="35"/>
  <c r="U17" i="34"/>
  <c r="AB17" i="34"/>
  <c r="AA19" i="33"/>
  <c r="AC20" i="36"/>
  <c r="AA39" i="39"/>
  <c r="AC11" i="39"/>
  <c r="F29" i="6"/>
  <c r="E29" i="6" s="1"/>
  <c r="K15" i="1" s="1"/>
  <c r="AZ391" i="3"/>
  <c r="AZ318" i="3"/>
  <c r="AZ364" i="3"/>
  <c r="AZ329" i="3"/>
  <c r="AZ306" i="3"/>
  <c r="F28" i="34"/>
  <c r="J28" i="34"/>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BA409" i="3"/>
  <c r="BA411" i="3"/>
  <c r="BL414" i="3"/>
  <c r="BL415" i="3"/>
  <c r="BA417" i="3"/>
  <c r="BL421" i="3"/>
  <c r="BL422" i="3"/>
  <c r="BL425" i="3"/>
  <c r="BL426" i="3"/>
  <c r="BA428" i="3"/>
  <c r="BA429" i="3"/>
  <c r="BA430" i="3"/>
  <c r="BA432" i="3"/>
  <c r="BA434" i="3"/>
  <c r="BA436" i="3"/>
  <c r="BA438" i="3"/>
  <c r="AZ438" i="3" s="1"/>
  <c r="G442" i="3"/>
  <c r="G443" i="3"/>
  <c r="BA446" i="3"/>
  <c r="BA450" i="3"/>
  <c r="AZ450" i="3" s="1"/>
  <c r="G452" i="3"/>
  <c r="BL452" i="3"/>
  <c r="G454" i="3"/>
  <c r="BA464" i="3"/>
  <c r="BA469" i="3"/>
  <c r="AZ469" i="3" s="1"/>
  <c r="BL472" i="3"/>
  <c r="S34" i="40"/>
  <c r="J23" i="36"/>
  <c r="H39" i="40"/>
  <c r="BL550" i="3"/>
  <c r="BL15" i="3"/>
  <c r="AZ15" i="3" s="1"/>
  <c r="BA398" i="3"/>
  <c r="BA399" i="3"/>
  <c r="BL401" i="3"/>
  <c r="BL404" i="3"/>
  <c r="BL405" i="3"/>
  <c r="BL407" i="3"/>
  <c r="BA412" i="3"/>
  <c r="BA414" i="3"/>
  <c r="BA415" i="3"/>
  <c r="BA416" i="3"/>
  <c r="BA418" i="3"/>
  <c r="BA421" i="3"/>
  <c r="BA423" i="3"/>
  <c r="AZ423" i="3" s="1"/>
  <c r="BA425" i="3"/>
  <c r="BA426" i="3"/>
  <c r="AZ426" i="3" s="1"/>
  <c r="BA427" i="3"/>
  <c r="AZ427" i="3" s="1"/>
  <c r="BA433" i="3"/>
  <c r="AZ433" i="3" s="1"/>
  <c r="BA435" i="3"/>
  <c r="BL437" i="3"/>
  <c r="G439" i="3"/>
  <c r="BL441" i="3"/>
  <c r="BL442" i="3"/>
  <c r="BL444" i="3"/>
  <c r="AZ444" i="3" s="1"/>
  <c r="G446" i="3"/>
  <c r="BL448" i="3"/>
  <c r="AZ448" i="3" s="1"/>
  <c r="G450" i="3"/>
  <c r="BA451" i="3"/>
  <c r="AZ451" i="3" s="1"/>
  <c r="BA463" i="3"/>
  <c r="AZ463" i="3" s="1"/>
  <c r="G467" i="3"/>
  <c r="S27" i="35"/>
  <c r="U9" i="39"/>
  <c r="BL587" i="3"/>
  <c r="AZ587" i="3" s="1"/>
  <c r="BL586" i="3"/>
  <c r="AZ586" i="3" s="1"/>
  <c r="G574" i="3"/>
  <c r="BL16" i="3"/>
  <c r="BA551" i="3"/>
  <c r="BA550" i="3"/>
  <c r="BL548" i="3"/>
  <c r="AZ548" i="3" s="1"/>
  <c r="G399" i="3"/>
  <c r="BL400" i="3"/>
  <c r="BL408" i="3"/>
  <c r="BL411" i="3"/>
  <c r="BL413" i="3"/>
  <c r="AZ413" i="3" s="1"/>
  <c r="G416" i="3"/>
  <c r="BL417" i="3"/>
  <c r="BL418" i="3"/>
  <c r="BL420" i="3"/>
  <c r="AZ420" i="3" s="1"/>
  <c r="G423" i="3"/>
  <c r="BL424" i="3"/>
  <c r="G427" i="3"/>
  <c r="BL428" i="3"/>
  <c r="BL429" i="3"/>
  <c r="BL432" i="3"/>
  <c r="BL435" i="3"/>
  <c r="BL436" i="3"/>
  <c r="BA439" i="3"/>
  <c r="BA440" i="3"/>
  <c r="BA442" i="3"/>
  <c r="BA445" i="3"/>
  <c r="BA447" i="3"/>
  <c r="AZ447" i="3" s="1"/>
  <c r="BA449" i="3"/>
  <c r="G458" i="3"/>
  <c r="BL459" i="3"/>
  <c r="G462" i="3"/>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AZ386" i="3" s="1"/>
  <c r="G397" i="3"/>
  <c r="G210" i="3"/>
  <c r="BA216" i="3"/>
  <c r="BA218" i="3"/>
  <c r="BL218" i="3"/>
  <c r="BL220" i="3"/>
  <c r="AZ220" i="3" s="1"/>
  <c r="BL221" i="3"/>
  <c r="AZ221" i="3" s="1"/>
  <c r="G222" i="3"/>
  <c r="BL223" i="3"/>
  <c r="G224" i="3"/>
  <c r="BA227" i="3"/>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BL275" i="3"/>
  <c r="G277" i="3"/>
  <c r="G280" i="3"/>
  <c r="G282" i="3"/>
  <c r="BL285" i="3"/>
  <c r="BL287" i="3"/>
  <c r="BA290" i="3"/>
  <c r="AZ290" i="3" s="1"/>
  <c r="G297" i="3"/>
  <c r="BL299" i="3"/>
  <c r="G300" i="3"/>
  <c r="BL113" i="3"/>
  <c r="BL115" i="3"/>
  <c r="AZ115" i="3" s="1"/>
  <c r="BA118" i="3"/>
  <c r="BL118" i="3"/>
  <c r="BA122" i="3"/>
  <c r="BL125" i="3"/>
  <c r="AZ125" i="3" s="1"/>
  <c r="BL126" i="3"/>
  <c r="G130" i="3"/>
  <c r="BA239" i="3"/>
  <c r="BL239" i="3"/>
  <c r="BA241" i="3"/>
  <c r="BL241" i="3"/>
  <c r="BA244" i="3"/>
  <c r="BL244" i="3"/>
  <c r="BA282" i="3"/>
  <c r="BL282" i="3"/>
  <c r="BA284" i="3"/>
  <c r="BA150" i="3"/>
  <c r="BA453" i="3"/>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AZ238" i="3" s="1"/>
  <c r="BA243" i="3"/>
  <c r="AZ243" i="3" s="1"/>
  <c r="BL248" i="3"/>
  <c r="BL250" i="3"/>
  <c r="BA259" i="3"/>
  <c r="BL261" i="3"/>
  <c r="BA263" i="3"/>
  <c r="BA267" i="3"/>
  <c r="BA269" i="3"/>
  <c r="BA271" i="3"/>
  <c r="BL271" i="3"/>
  <c r="BA274" i="3"/>
  <c r="BL274" i="3"/>
  <c r="BA276" i="3"/>
  <c r="BA279" i="3"/>
  <c r="BA281" i="3"/>
  <c r="G291" i="3"/>
  <c r="BA296" i="3"/>
  <c r="BA116" i="3"/>
  <c r="BA121" i="3"/>
  <c r="BL121" i="3"/>
  <c r="BA124" i="3"/>
  <c r="AZ124" i="3" s="1"/>
  <c r="BA126" i="3"/>
  <c r="BA129" i="3"/>
  <c r="BL133" i="3"/>
  <c r="BL139" i="3"/>
  <c r="AZ139" i="3" s="1"/>
  <c r="BL141" i="3"/>
  <c r="G451" i="3"/>
  <c r="BA454" i="3"/>
  <c r="BA457" i="3"/>
  <c r="AZ457" i="3" s="1"/>
  <c r="BA459" i="3"/>
  <c r="BA460" i="3"/>
  <c r="AZ460" i="3" s="1"/>
  <c r="BA461" i="3"/>
  <c r="AZ461" i="3" s="1"/>
  <c r="BL464" i="3"/>
  <c r="BL466" i="3"/>
  <c r="G468" i="3"/>
  <c r="G469" i="3"/>
  <c r="BL476" i="3"/>
  <c r="BL477" i="3"/>
  <c r="BL478" i="3"/>
  <c r="AZ478" i="3" s="1"/>
  <c r="G479" i="3"/>
  <c r="G480" i="3"/>
  <c r="BL480" i="3"/>
  <c r="AZ480" i="3" s="1"/>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BL240" i="3"/>
  <c r="BA242" i="3"/>
  <c r="BL245" i="3"/>
  <c r="G247" i="3"/>
  <c r="BL255" i="3"/>
  <c r="G257" i="3"/>
  <c r="BL257" i="3"/>
  <c r="AZ257" i="3" s="1"/>
  <c r="BL258" i="3"/>
  <c r="G259" i="3"/>
  <c r="BA262" i="3"/>
  <c r="G265" i="3"/>
  <c r="BL265" i="3"/>
  <c r="G267" i="3"/>
  <c r="G269" i="3"/>
  <c r="BA273" i="3"/>
  <c r="AZ273" i="3" s="1"/>
  <c r="BA278" i="3"/>
  <c r="BA280" i="3"/>
  <c r="AZ280" i="3" s="1"/>
  <c r="BL283" i="3"/>
  <c r="BL284" i="3"/>
  <c r="G288" i="3"/>
  <c r="BL292" i="3"/>
  <c r="BA294" i="3"/>
  <c r="AZ294" i="3" s="1"/>
  <c r="BL295" i="3"/>
  <c r="BA298" i="3"/>
  <c r="AZ298" i="3" s="1"/>
  <c r="BL301" i="3"/>
  <c r="AZ301" i="3" s="1"/>
  <c r="BL302" i="3"/>
  <c r="AZ302" i="3" s="1"/>
  <c r="BA114" i="3"/>
  <c r="BL123" i="3"/>
  <c r="AZ123" i="3" s="1"/>
  <c r="BA128" i="3"/>
  <c r="AZ128" i="3" s="1"/>
  <c r="BL134" i="3"/>
  <c r="AZ134" i="3" s="1"/>
  <c r="BL137" i="3"/>
  <c r="AZ137" i="3" s="1"/>
  <c r="BA146" i="3"/>
  <c r="AZ146" i="3" s="1"/>
  <c r="BL154" i="3"/>
  <c r="G156" i="3"/>
  <c r="BL157" i="3"/>
  <c r="BL159" i="3"/>
  <c r="AZ159" i="3" s="1"/>
  <c r="G160" i="3"/>
  <c r="BL177" i="3"/>
  <c r="G179" i="3"/>
  <c r="BL183" i="3"/>
  <c r="AZ183" i="3" s="1"/>
  <c r="BA186" i="3"/>
  <c r="BA190" i="3"/>
  <c r="G196" i="3"/>
  <c r="BA197" i="3"/>
  <c r="BL201" i="3"/>
  <c r="AZ201" i="3" s="1"/>
  <c r="BL203" i="3"/>
  <c r="AZ203" i="3" s="1"/>
  <c r="BA204" i="3"/>
  <c r="AZ204" i="3" s="1"/>
  <c r="BA18" i="3"/>
  <c r="G21" i="3"/>
  <c r="BL21" i="3"/>
  <c r="G29" i="3"/>
  <c r="BL29" i="3"/>
  <c r="AZ29" i="3" s="1"/>
  <c r="BA37" i="3"/>
  <c r="G39" i="3"/>
  <c r="BL39" i="3"/>
  <c r="AZ39" i="3" s="1"/>
  <c r="BA45" i="3"/>
  <c r="BA46" i="3"/>
  <c r="BL49" i="3"/>
  <c r="BL50" i="3"/>
  <c r="AZ50" i="3" s="1"/>
  <c r="BL51" i="3"/>
  <c r="G53" i="3"/>
  <c r="BL53" i="3"/>
  <c r="AZ53" i="3" s="1"/>
  <c r="BA56" i="3"/>
  <c r="AZ56" i="3" s="1"/>
  <c r="BA57" i="3"/>
  <c r="BL58" i="3"/>
  <c r="BA60" i="3"/>
  <c r="BA63" i="3"/>
  <c r="BA66" i="3"/>
  <c r="BL67" i="3"/>
  <c r="AZ67" i="3" s="1"/>
  <c r="BA72" i="3"/>
  <c r="BA73" i="3"/>
  <c r="BA79" i="3"/>
  <c r="G82" i="3"/>
  <c r="G83" i="3"/>
  <c r="BA84" i="3"/>
  <c r="BL88" i="3"/>
  <c r="AZ88" i="3" s="1"/>
  <c r="BL90" i="3"/>
  <c r="BA94" i="3"/>
  <c r="BL99" i="3"/>
  <c r="BA105" i="3"/>
  <c r="F40" i="68"/>
  <c r="C21" i="68"/>
  <c r="V24" i="71"/>
  <c r="E23" i="71"/>
  <c r="E22" i="71" s="1"/>
  <c r="E21" i="71" s="1"/>
  <c r="E20" i="71" s="1"/>
  <c r="C40" i="68"/>
  <c r="BA144" i="3"/>
  <c r="AZ144" i="3" s="1"/>
  <c r="BA153" i="3"/>
  <c r="BL155" i="3"/>
  <c r="AZ155" i="3" s="1"/>
  <c r="BA164" i="3"/>
  <c r="AZ164" i="3" s="1"/>
  <c r="BA166" i="3"/>
  <c r="BA169" i="3"/>
  <c r="BL171" i="3"/>
  <c r="AZ171" i="3" s="1"/>
  <c r="BA176" i="3"/>
  <c r="AZ176" i="3" s="1"/>
  <c r="BA178" i="3"/>
  <c r="BA184" i="3"/>
  <c r="AZ184" i="3" s="1"/>
  <c r="BL187" i="3"/>
  <c r="AZ187" i="3" s="1"/>
  <c r="BL189" i="3"/>
  <c r="AZ189" i="3" s="1"/>
  <c r="BL190" i="3"/>
  <c r="G191" i="3"/>
  <c r="BA192" i="3"/>
  <c r="AZ192" i="3" s="1"/>
  <c r="BL197" i="3"/>
  <c r="BL199" i="3"/>
  <c r="AZ199" i="3" s="1"/>
  <c r="BA200" i="3"/>
  <c r="AZ200" i="3" s="1"/>
  <c r="BA202" i="3"/>
  <c r="BL207" i="3"/>
  <c r="BL18" i="3"/>
  <c r="BL19" i="3"/>
  <c r="BA20" i="3"/>
  <c r="BL25" i="3"/>
  <c r="BL27" i="3"/>
  <c r="BA28" i="3"/>
  <c r="AZ28" i="3" s="1"/>
  <c r="BA31" i="3"/>
  <c r="BA32" i="3"/>
  <c r="G38" i="3"/>
  <c r="BA38" i="3"/>
  <c r="AZ38" i="3" s="1"/>
  <c r="BA41" i="3"/>
  <c r="BA42" i="3"/>
  <c r="G47" i="3"/>
  <c r="BL48" i="3"/>
  <c r="BL54" i="3"/>
  <c r="AZ54" i="3" s="1"/>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BA174" i="3"/>
  <c r="BL179" i="3"/>
  <c r="AZ179" i="3" s="1"/>
  <c r="BA181" i="3"/>
  <c r="AZ181" i="3" s="1"/>
  <c r="BA182" i="3"/>
  <c r="BL185" i="3"/>
  <c r="G186" i="3"/>
  <c r="G187" i="3"/>
  <c r="BL193" i="3"/>
  <c r="G194" i="3"/>
  <c r="BL194" i="3"/>
  <c r="BA198" i="3"/>
  <c r="AZ198" i="3" s="1"/>
  <c r="G199" i="3"/>
  <c r="G204" i="3"/>
  <c r="BL206" i="3"/>
  <c r="BA19" i="3"/>
  <c r="AZ19" i="3" s="1"/>
  <c r="G22" i="3"/>
  <c r="G24" i="3"/>
  <c r="G25" i="3"/>
  <c r="G27" i="3"/>
  <c r="BA27" i="3"/>
  <c r="G30" i="3"/>
  <c r="BL30" i="3"/>
  <c r="BL31" i="3"/>
  <c r="G35" i="3"/>
  <c r="G36" i="3"/>
  <c r="G37" i="3"/>
  <c r="G40" i="3"/>
  <c r="BL40" i="3"/>
  <c r="BL41" i="3"/>
  <c r="G45" i="3"/>
  <c r="BL45" i="3"/>
  <c r="BA48" i="3"/>
  <c r="AZ48" i="3" s="1"/>
  <c r="BA49" i="3"/>
  <c r="BA51" i="3"/>
  <c r="G54" i="3"/>
  <c r="G55" i="3"/>
  <c r="BL56" i="3"/>
  <c r="BA58" i="3"/>
  <c r="AZ58" i="3" s="1"/>
  <c r="BL59" i="3"/>
  <c r="BL60" i="3"/>
  <c r="BA61" i="3"/>
  <c r="BL70" i="3"/>
  <c r="AZ70" i="3" s="1"/>
  <c r="BL71" i="3"/>
  <c r="BA78" i="3"/>
  <c r="BA80" i="3"/>
  <c r="G84" i="3"/>
  <c r="BL84" i="3"/>
  <c r="BA89" i="3"/>
  <c r="BL100" i="3"/>
  <c r="C55" i="71"/>
  <c r="D54" i="71"/>
  <c r="N67" i="71"/>
  <c r="B66" i="71"/>
  <c r="F66" i="71"/>
  <c r="Q66" i="71" s="1"/>
  <c r="Q67" i="71"/>
  <c r="BL68" i="3"/>
  <c r="BA69" i="3"/>
  <c r="G72" i="3"/>
  <c r="BL73" i="3"/>
  <c r="BA74" i="3"/>
  <c r="BA75" i="3"/>
  <c r="G81" i="3"/>
  <c r="G85" i="3"/>
  <c r="BL85" i="3"/>
  <c r="BA86" i="3"/>
  <c r="BA87" i="3"/>
  <c r="BA91" i="3"/>
  <c r="AZ91" i="3" s="1"/>
  <c r="G96" i="3"/>
  <c r="BL97" i="3"/>
  <c r="AZ97" i="3" s="1"/>
  <c r="BL101" i="3"/>
  <c r="AZ101" i="3" s="1"/>
  <c r="BL102" i="3"/>
  <c r="G104" i="3"/>
  <c r="G105" i="3"/>
  <c r="BL106" i="3"/>
  <c r="BA108" i="3"/>
  <c r="BA110" i="3"/>
  <c r="F3" i="35"/>
  <c r="S21" i="33"/>
  <c r="S21" i="37"/>
  <c r="W29" i="39"/>
  <c r="B77" i="43"/>
  <c r="AA18" i="35"/>
  <c r="AA28" i="71"/>
  <c r="AB27" i="71"/>
  <c r="E75" i="71"/>
  <c r="E74" i="71" s="1"/>
  <c r="AB25" i="71"/>
  <c r="X26" i="71"/>
  <c r="Y25" i="71"/>
  <c r="Z25" i="71" s="1"/>
  <c r="X38" i="71"/>
  <c r="C35" i="71"/>
  <c r="E38" i="71"/>
  <c r="E39" i="71" s="1"/>
  <c r="E40" i="71" s="1"/>
  <c r="U40" i="71" s="1"/>
  <c r="B34" i="71"/>
  <c r="B35" i="71" s="1"/>
  <c r="B36" i="71" s="1"/>
  <c r="S36" i="71" s="1"/>
  <c r="AB32" i="71"/>
  <c r="X33" i="71"/>
  <c r="AB37" i="71"/>
  <c r="BA103" i="3"/>
  <c r="BA104" i="3"/>
  <c r="BA106" i="3"/>
  <c r="AZ106" i="3" s="1"/>
  <c r="BL108" i="3"/>
  <c r="G110" i="3"/>
  <c r="BL111" i="3"/>
  <c r="C66" i="71"/>
  <c r="AA27" i="71"/>
  <c r="AB26" i="71"/>
  <c r="S28" i="71"/>
  <c r="C83" i="71"/>
  <c r="C79" i="71"/>
  <c r="C71" i="71"/>
  <c r="Y28" i="71"/>
  <c r="Z28" i="71" s="1"/>
  <c r="C28" i="71"/>
  <c r="Y37" i="71"/>
  <c r="Z37" i="71" s="1"/>
  <c r="X35" i="71"/>
  <c r="Y30" i="71"/>
  <c r="Z30" i="71" s="1"/>
  <c r="X28" i="71"/>
  <c r="X32" i="71"/>
  <c r="F40" i="71"/>
  <c r="V40" i="71" s="1"/>
  <c r="AB38" i="71"/>
  <c r="AA39" i="71"/>
  <c r="F75" i="71"/>
  <c r="F74" i="71" s="1"/>
  <c r="BA90" i="3"/>
  <c r="BL94" i="3"/>
  <c r="BA100" i="3"/>
  <c r="BA102" i="3"/>
  <c r="BL105" i="3"/>
  <c r="BL107" i="3"/>
  <c r="BA111" i="3"/>
  <c r="K13" i="1"/>
  <c r="M13" i="1" s="1"/>
  <c r="O13" i="1" s="1"/>
  <c r="P13" i="1" s="1"/>
  <c r="S18" i="36"/>
  <c r="AB28" i="71"/>
  <c r="AB33" i="71"/>
  <c r="AA30" i="71"/>
  <c r="E35" i="71"/>
  <c r="E36" i="71" s="1"/>
  <c r="U36" i="71" s="1"/>
  <c r="AB31" i="71"/>
  <c r="AA36" i="71"/>
  <c r="B47" i="71"/>
  <c r="B48" i="71" s="1"/>
  <c r="S48" i="71" s="1"/>
  <c r="F9" i="1"/>
  <c r="G9" i="1" s="1"/>
  <c r="F10" i="1"/>
  <c r="G10" i="1" s="1"/>
  <c r="F8" i="1"/>
  <c r="G8" i="1" s="1"/>
  <c r="H69" i="43"/>
  <c r="G69" i="43" s="1"/>
  <c r="S23" i="33"/>
  <c r="AA23" i="33"/>
  <c r="E19" i="71"/>
  <c r="E18" i="71" s="1"/>
  <c r="E17" i="71" s="1"/>
  <c r="E16" i="71" s="1"/>
  <c r="V20" i="71"/>
  <c r="AB17" i="33"/>
  <c r="S29" i="21"/>
  <c r="AB44" i="34"/>
  <c r="S39" i="34"/>
  <c r="AZ382" i="3"/>
  <c r="AZ321" i="3"/>
  <c r="AZ343" i="3"/>
  <c r="AZ562" i="3"/>
  <c r="AC13" i="36"/>
  <c r="W13" i="36"/>
  <c r="AB31" i="33"/>
  <c r="U31" i="33"/>
  <c r="S15" i="34"/>
  <c r="AB33" i="35"/>
  <c r="U33" i="35"/>
  <c r="U43" i="33"/>
  <c r="AZ545" i="3"/>
  <c r="AZ555" i="3"/>
  <c r="AZ581" i="3"/>
  <c r="AB33" i="37"/>
  <c r="U33" i="37"/>
  <c r="AC19" i="37"/>
  <c r="W23" i="33"/>
  <c r="AB13" i="34"/>
  <c r="S41" i="34"/>
  <c r="AA41" i="34"/>
  <c r="AZ567" i="3"/>
  <c r="AC14" i="37"/>
  <c r="W14" i="37"/>
  <c r="W30" i="34"/>
  <c r="AC30" i="34"/>
  <c r="AC29" i="33"/>
  <c r="W29" i="33"/>
  <c r="W46" i="21"/>
  <c r="AC46" i="21"/>
  <c r="D16" i="53"/>
  <c r="B34" i="72" s="1"/>
  <c r="BL507" i="3"/>
  <c r="AZ507" i="3" s="1"/>
  <c r="BQ5" i="3"/>
  <c r="AB35" i="35"/>
  <c r="U35" i="35"/>
  <c r="S13" i="35"/>
  <c r="AA13" i="35"/>
  <c r="AB31" i="34"/>
  <c r="U31" i="34"/>
  <c r="S12" i="21"/>
  <c r="AA12" i="21"/>
  <c r="S12" i="35"/>
  <c r="AA12" i="35"/>
  <c r="AC45" i="39"/>
  <c r="S34" i="21"/>
  <c r="J34" i="35"/>
  <c r="F34" i="35"/>
  <c r="J26" i="37"/>
  <c r="F26" i="37"/>
  <c r="F40" i="40"/>
  <c r="G578" i="3"/>
  <c r="AZ431" i="3"/>
  <c r="AZ442" i="3"/>
  <c r="AZ449" i="3"/>
  <c r="AZ456" i="3"/>
  <c r="AZ468" i="3"/>
  <c r="W35" i="39"/>
  <c r="F27" i="34"/>
  <c r="C21" i="39"/>
  <c r="U9" i="36"/>
  <c r="U14" i="37"/>
  <c r="H12" i="21"/>
  <c r="G526" i="3"/>
  <c r="AZ424" i="3"/>
  <c r="AZ434" i="3"/>
  <c r="AZ436" i="3"/>
  <c r="AZ446" i="3"/>
  <c r="U26" i="21"/>
  <c r="W36" i="39"/>
  <c r="U23" i="40"/>
  <c r="AA39" i="37"/>
  <c r="AC16" i="36"/>
  <c r="AB12" i="33"/>
  <c r="C27" i="39"/>
  <c r="U40" i="40"/>
  <c r="AC9" i="40"/>
  <c r="W36" i="35"/>
  <c r="J12" i="21"/>
  <c r="B73" i="43"/>
  <c r="B76" i="43"/>
  <c r="F9" i="36"/>
  <c r="J40" i="40"/>
  <c r="G562" i="3"/>
  <c r="AZ212" i="3"/>
  <c r="AZ231" i="3"/>
  <c r="AZ255" i="3"/>
  <c r="AZ293" i="3"/>
  <c r="BA472" i="3"/>
  <c r="AZ472" i="3" s="1"/>
  <c r="G476" i="3"/>
  <c r="AZ477" i="3"/>
  <c r="BA479" i="3"/>
  <c r="BA490" i="3"/>
  <c r="BL312" i="3"/>
  <c r="AZ312" i="3" s="1"/>
  <c r="G313" i="3"/>
  <c r="BA316" i="3"/>
  <c r="AZ316" i="3" s="1"/>
  <c r="BA317" i="3"/>
  <c r="BA323" i="3"/>
  <c r="G327" i="3"/>
  <c r="BL330" i="3"/>
  <c r="AZ330" i="3" s="1"/>
  <c r="G331" i="3"/>
  <c r="BL333" i="3"/>
  <c r="AZ333" i="3" s="1"/>
  <c r="G334" i="3"/>
  <c r="G345" i="3"/>
  <c r="BL348" i="3"/>
  <c r="AZ348" i="3" s="1"/>
  <c r="BA352" i="3"/>
  <c r="AZ352" i="3" s="1"/>
  <c r="BL354" i="3"/>
  <c r="G378" i="3"/>
  <c r="G395" i="3"/>
  <c r="G208" i="3"/>
  <c r="G211" i="3"/>
  <c r="BA213" i="3"/>
  <c r="BA215" i="3"/>
  <c r="G219" i="3"/>
  <c r="G230" i="3"/>
  <c r="BA232" i="3"/>
  <c r="BA234" i="3"/>
  <c r="G248" i="3"/>
  <c r="AZ258" i="3"/>
  <c r="BL268" i="3"/>
  <c r="G278" i="3"/>
  <c r="BA474" i="3"/>
  <c r="BA475" i="3"/>
  <c r="AZ475" i="3" s="1"/>
  <c r="BL481" i="3"/>
  <c r="AZ481" i="3" s="1"/>
  <c r="BL482" i="3"/>
  <c r="G483" i="3"/>
  <c r="BL485" i="3"/>
  <c r="BL486" i="3"/>
  <c r="G487" i="3"/>
  <c r="BA492" i="3"/>
  <c r="AZ492" i="3" s="1"/>
  <c r="BL363" i="3"/>
  <c r="AZ363" i="3" s="1"/>
  <c r="G369" i="3"/>
  <c r="BL393" i="3"/>
  <c r="AZ393" i="3" s="1"/>
  <c r="BL396" i="3"/>
  <c r="AZ396" i="3" s="1"/>
  <c r="BL209" i="3"/>
  <c r="G240" i="3"/>
  <c r="G242" i="3"/>
  <c r="G245" i="3"/>
  <c r="BL246" i="3"/>
  <c r="BL253" i="3"/>
  <c r="AZ253" i="3" s="1"/>
  <c r="BA261" i="3"/>
  <c r="AZ261" i="3" s="1"/>
  <c r="BA264" i="3"/>
  <c r="BA266" i="3"/>
  <c r="AZ266" i="3" s="1"/>
  <c r="G272" i="3"/>
  <c r="G275" i="3"/>
  <c r="BL276" i="3"/>
  <c r="AZ276" i="3" s="1"/>
  <c r="BL279" i="3"/>
  <c r="AZ279" i="3" s="1"/>
  <c r="BL281" i="3"/>
  <c r="AZ281" i="3" s="1"/>
  <c r="BA285" i="3"/>
  <c r="AZ285" i="3" s="1"/>
  <c r="BA287" i="3"/>
  <c r="BA289" i="3"/>
  <c r="G293" i="3"/>
  <c r="G296" i="3"/>
  <c r="BL296" i="3"/>
  <c r="AZ296" i="3" s="1"/>
  <c r="G301" i="3"/>
  <c r="G114" i="3"/>
  <c r="BL114" i="3"/>
  <c r="BL117" i="3"/>
  <c r="AZ117" i="3" s="1"/>
  <c r="G118" i="3"/>
  <c r="BL119" i="3"/>
  <c r="AZ119" i="3" s="1"/>
  <c r="G120" i="3"/>
  <c r="G124" i="3"/>
  <c r="BL129" i="3"/>
  <c r="BL131" i="3"/>
  <c r="AZ131" i="3" s="1"/>
  <c r="G132" i="3"/>
  <c r="G139" i="3"/>
  <c r="G142" i="3"/>
  <c r="BL142" i="3"/>
  <c r="BL153" i="3"/>
  <c r="BA158" i="3"/>
  <c r="AZ158" i="3" s="1"/>
  <c r="BA161" i="3"/>
  <c r="BA172" i="3"/>
  <c r="AZ172" i="3" s="1"/>
  <c r="AZ18" i="3"/>
  <c r="BL288" i="3"/>
  <c r="AZ288" i="3" s="1"/>
  <c r="BA292" i="3"/>
  <c r="AZ292" i="3" s="1"/>
  <c r="BA295" i="3"/>
  <c r="AZ295" i="3" s="1"/>
  <c r="G298" i="3"/>
  <c r="BA299" i="3"/>
  <c r="AZ299" i="3" s="1"/>
  <c r="BA300" i="3"/>
  <c r="AZ300" i="3" s="1"/>
  <c r="BA113" i="3"/>
  <c r="AZ113" i="3" s="1"/>
  <c r="G119" i="3"/>
  <c r="G122" i="3"/>
  <c r="G131" i="3"/>
  <c r="BA136" i="3"/>
  <c r="BA138" i="3"/>
  <c r="AZ138" i="3" s="1"/>
  <c r="BA141" i="3"/>
  <c r="BL145" i="3"/>
  <c r="BL147" i="3"/>
  <c r="AZ147" i="3" s="1"/>
  <c r="G148" i="3"/>
  <c r="BL151" i="3"/>
  <c r="AZ151" i="3" s="1"/>
  <c r="BA165" i="3"/>
  <c r="AZ165" i="3" s="1"/>
  <c r="G168" i="3"/>
  <c r="BA170" i="3"/>
  <c r="AZ170" i="3" s="1"/>
  <c r="BL174" i="3"/>
  <c r="AZ174" i="3" s="1"/>
  <c r="BL202" i="3"/>
  <c r="BL36" i="3"/>
  <c r="AZ73" i="3"/>
  <c r="G200" i="3"/>
  <c r="G207" i="3"/>
  <c r="BA23" i="3"/>
  <c r="BA24" i="3"/>
  <c r="AZ24" i="3" s="1"/>
  <c r="BL26" i="3"/>
  <c r="BL32" i="3"/>
  <c r="AZ32" i="3" s="1"/>
  <c r="BA34" i="3"/>
  <c r="BA35" i="3"/>
  <c r="BL37" i="3"/>
  <c r="BL42" i="3"/>
  <c r="BA44" i="3"/>
  <c r="AZ60" i="3"/>
  <c r="BA206" i="3"/>
  <c r="AZ206" i="3" s="1"/>
  <c r="BL22" i="3"/>
  <c r="BL33" i="3"/>
  <c r="AZ33" i="3" s="1"/>
  <c r="BL43" i="3"/>
  <c r="AZ43" i="3" s="1"/>
  <c r="BL46" i="3"/>
  <c r="AZ46" i="3" s="1"/>
  <c r="AZ90" i="3"/>
  <c r="AZ92" i="3"/>
  <c r="BL78" i="3"/>
  <c r="AZ78" i="3" s="1"/>
  <c r="BA83" i="3"/>
  <c r="G91" i="3"/>
  <c r="BL95" i="3"/>
  <c r="BL98" i="3"/>
  <c r="BL109" i="3"/>
  <c r="AB21" i="21"/>
  <c r="G77" i="3"/>
  <c r="BA81" i="3"/>
  <c r="BA85" i="3"/>
  <c r="AZ85" i="3" s="1"/>
  <c r="BL89" i="3"/>
  <c r="AZ89" i="3" s="1"/>
  <c r="G94" i="3"/>
  <c r="G97" i="3"/>
  <c r="G100" i="3"/>
  <c r="BA107" i="3"/>
  <c r="AZ107" i="3" s="1"/>
  <c r="BA112" i="3"/>
  <c r="AC21" i="34"/>
  <c r="E27" i="71"/>
  <c r="E26" i="71" s="1"/>
  <c r="V28" i="71"/>
  <c r="BA76" i="3"/>
  <c r="BL80" i="3"/>
  <c r="BL87" i="3"/>
  <c r="BA93" i="3"/>
  <c r="AZ93" i="3" s="1"/>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AB1" i="90" s="1"/>
  <c r="I24" i="43"/>
  <c r="C24" i="43" s="1"/>
  <c r="H67" i="43"/>
  <c r="G67" i="43" s="1"/>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21" i="69"/>
  <c r="J84" i="43"/>
  <c r="J85" i="43"/>
  <c r="J86" i="43"/>
  <c r="J87" i="43"/>
  <c r="J88" i="43"/>
  <c r="J89" i="43"/>
  <c r="J90" i="43"/>
  <c r="D83" i="43"/>
  <c r="E83" i="43" s="1"/>
  <c r="B81" i="43" s="1"/>
  <c r="D64" i="43"/>
  <c r="D67" i="43"/>
  <c r="D63" i="43"/>
  <c r="D73" i="43"/>
  <c r="D75" i="43"/>
  <c r="D79" i="43"/>
  <c r="D22" i="67"/>
  <c r="AQ13" i="1"/>
  <c r="E11" i="6"/>
  <c r="E60" i="39" s="1"/>
  <c r="E10" i="6"/>
  <c r="P6" i="1"/>
  <c r="P11" i="1"/>
  <c r="D9" i="11"/>
  <c r="C9" i="11" s="1"/>
  <c r="D19" i="12"/>
  <c r="C19" i="12" s="1"/>
  <c r="O9" i="1"/>
  <c r="P9" i="1" s="1"/>
  <c r="O12" i="1"/>
  <c r="P12" i="1" s="1"/>
  <c r="O8" i="1"/>
  <c r="P8" i="1" s="1"/>
  <c r="H73" i="43"/>
  <c r="H90" i="43"/>
  <c r="O23" i="43"/>
  <c r="I18" i="43"/>
  <c r="E17" i="43" s="1"/>
  <c r="C17" i="43" s="1"/>
  <c r="A1" i="79"/>
  <c r="H55" i="43"/>
  <c r="G55" i="43" s="1"/>
  <c r="H86" i="43"/>
  <c r="H87" i="43"/>
  <c r="H89" i="43"/>
  <c r="H88" i="43"/>
  <c r="H84" i="43"/>
  <c r="T35" i="4"/>
  <c r="A19" i="51" s="1"/>
  <c r="B14" i="72" s="1"/>
  <c r="H110" i="9"/>
  <c r="D18" i="53" s="1"/>
  <c r="B35" i="72" s="1"/>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F66" i="67"/>
  <c r="F66" i="15"/>
  <c r="F64" i="15"/>
  <c r="B13" i="70"/>
  <c r="F68" i="15"/>
  <c r="C36" i="68"/>
  <c r="D9" i="69"/>
  <c r="C36" i="69"/>
  <c r="D9" i="68"/>
  <c r="L48" i="67"/>
  <c r="F37" i="15"/>
  <c r="M26" i="67"/>
  <c r="M26" i="15"/>
  <c r="F26" i="15"/>
  <c r="F43" i="67"/>
  <c r="F42" i="67"/>
  <c r="D6" i="73"/>
  <c r="F40" i="67"/>
  <c r="F16" i="67"/>
  <c r="D7" i="73"/>
  <c r="M22" i="15"/>
  <c r="M9" i="15"/>
  <c r="F36" i="67"/>
  <c r="F13" i="15"/>
  <c r="L48" i="15"/>
  <c r="F37" i="67"/>
  <c r="J15" i="15"/>
  <c r="F9" i="67"/>
  <c r="C76" i="67"/>
  <c r="D3" i="73"/>
  <c r="M28" i="67"/>
  <c r="F8" i="67"/>
  <c r="F8" i="15"/>
  <c r="M23" i="67"/>
  <c r="M23" i="15"/>
  <c r="L47" i="67"/>
  <c r="M6" i="67"/>
  <c r="F6" i="67"/>
  <c r="C16" i="15"/>
  <c r="M22" i="67"/>
  <c r="J15" i="67"/>
  <c r="F13" i="67"/>
  <c r="F26" i="67"/>
  <c r="F7" i="15"/>
  <c r="M29" i="67"/>
  <c r="M8" i="67"/>
  <c r="M24" i="67"/>
  <c r="M9" i="67"/>
  <c r="D4" i="73"/>
  <c r="F7" i="67"/>
  <c r="M8" i="15"/>
  <c r="F43" i="15"/>
  <c r="W23" i="39" l="1"/>
  <c r="S17" i="39"/>
  <c r="W17" i="39"/>
  <c r="K67" i="43"/>
  <c r="J67" i="43" s="1"/>
  <c r="M67" i="43"/>
  <c r="N67" i="43" s="1"/>
  <c r="K61" i="43"/>
  <c r="J61" i="43" s="1"/>
  <c r="M61" i="43"/>
  <c r="M68" i="43"/>
  <c r="N68" i="43" s="1"/>
  <c r="K68" i="43"/>
  <c r="J68" i="43" s="1"/>
  <c r="D68" i="43" s="1"/>
  <c r="M66" i="43"/>
  <c r="N66" i="43" s="1"/>
  <c r="K66" i="43"/>
  <c r="K63" i="43"/>
  <c r="J63" i="43" s="1"/>
  <c r="M63" i="43"/>
  <c r="N63" i="43" s="1"/>
  <c r="K65" i="43"/>
  <c r="M65" i="43"/>
  <c r="N65" i="43" s="1"/>
  <c r="M62" i="43"/>
  <c r="K62" i="43"/>
  <c r="J62" i="43" s="1"/>
  <c r="K69" i="43"/>
  <c r="J69" i="43" s="1"/>
  <c r="M69" i="43"/>
  <c r="M7" i="15"/>
  <c r="F50" i="15"/>
  <c r="AZ112" i="3"/>
  <c r="E15" i="6"/>
  <c r="E64" i="39" s="1"/>
  <c r="AB19" i="33"/>
  <c r="AA32" i="36"/>
  <c r="S32" i="36"/>
  <c r="S47" i="34"/>
  <c r="AA47" i="34"/>
  <c r="AZ353" i="3"/>
  <c r="AZ403" i="3"/>
  <c r="E8" i="6"/>
  <c r="F27" i="6" s="1"/>
  <c r="T64" i="71"/>
  <c r="AZ114" i="3"/>
  <c r="C52" i="71"/>
  <c r="AZ216" i="3"/>
  <c r="U44" i="21"/>
  <c r="AB44" i="21"/>
  <c r="S30" i="34"/>
  <c r="AA30" i="34"/>
  <c r="AZ104" i="3"/>
  <c r="AZ111" i="3"/>
  <c r="C44" i="71"/>
  <c r="D44" i="71" s="1"/>
  <c r="AZ271" i="3"/>
  <c r="AZ416" i="3"/>
  <c r="AC38" i="37"/>
  <c r="W38" i="37"/>
  <c r="AZ99" i="3"/>
  <c r="AZ141" i="3"/>
  <c r="AZ133" i="3"/>
  <c r="AZ269" i="3"/>
  <c r="AZ275" i="3"/>
  <c r="S38" i="37"/>
  <c r="AA38" i="37"/>
  <c r="AZ272" i="3"/>
  <c r="AZ412" i="3"/>
  <c r="AA44" i="39"/>
  <c r="S44" i="39"/>
  <c r="W14" i="40"/>
  <c r="AC14" i="40"/>
  <c r="AC39" i="40"/>
  <c r="W39" i="40"/>
  <c r="AZ74" i="3"/>
  <c r="AZ178" i="3"/>
  <c r="AZ487" i="3"/>
  <c r="AZ25" i="3"/>
  <c r="AZ63" i="3"/>
  <c r="AZ157" i="3"/>
  <c r="AZ245" i="3"/>
  <c r="AZ259" i="3"/>
  <c r="AZ453" i="3"/>
  <c r="AZ441" i="3"/>
  <c r="AZ405" i="3"/>
  <c r="D6" i="52"/>
  <c r="S43" i="33"/>
  <c r="AZ458" i="3"/>
  <c r="AA23" i="36"/>
  <c r="S23" i="36"/>
  <c r="AA46" i="34"/>
  <c r="S46" i="34"/>
  <c r="AB31" i="39"/>
  <c r="U31" i="39"/>
  <c r="AB31" i="21"/>
  <c r="U31" i="21"/>
  <c r="AA35" i="35"/>
  <c r="S35" i="35"/>
  <c r="AZ26" i="3"/>
  <c r="AZ277" i="3"/>
  <c r="E12" i="6"/>
  <c r="E57" i="40" s="1"/>
  <c r="AZ265" i="3"/>
  <c r="U47" i="34"/>
  <c r="AB47" i="34"/>
  <c r="AC37" i="39"/>
  <c r="W37" i="39"/>
  <c r="AZ232" i="3"/>
  <c r="U28" i="37"/>
  <c r="W12" i="37"/>
  <c r="AC12" i="37"/>
  <c r="AZ486" i="3"/>
  <c r="AZ103" i="3"/>
  <c r="AZ49" i="3"/>
  <c r="AZ186" i="3"/>
  <c r="W14" i="21"/>
  <c r="AC14" i="21"/>
  <c r="AZ145" i="3"/>
  <c r="AZ485" i="3"/>
  <c r="C69" i="39"/>
  <c r="F28" i="6"/>
  <c r="C39" i="71"/>
  <c r="C40" i="71" s="1"/>
  <c r="AZ473" i="3"/>
  <c r="AZ422" i="3"/>
  <c r="AZ62" i="3"/>
  <c r="AZ47" i="3"/>
  <c r="S30" i="21"/>
  <c r="AA30" i="21"/>
  <c r="U31" i="40"/>
  <c r="AB31" i="40"/>
  <c r="AZ109" i="3"/>
  <c r="AZ44" i="3"/>
  <c r="AZ36" i="3"/>
  <c r="AZ100" i="3"/>
  <c r="AZ110" i="3"/>
  <c r="AZ66" i="3"/>
  <c r="AZ476" i="3"/>
  <c r="AZ455" i="3"/>
  <c r="AZ551" i="3"/>
  <c r="F48" i="9"/>
  <c r="O52" i="9" s="1"/>
  <c r="F30" i="68"/>
  <c r="F30" i="11"/>
  <c r="F28" i="67"/>
  <c r="C28" i="67" s="1"/>
  <c r="F31" i="12"/>
  <c r="C31" i="12" s="1"/>
  <c r="F52" i="9"/>
  <c r="M18" i="15"/>
  <c r="F28" i="15"/>
  <c r="C28" i="15" s="1"/>
  <c r="M18" i="67"/>
  <c r="F30" i="69"/>
  <c r="F54" i="9"/>
  <c r="F32" i="67"/>
  <c r="F60" i="67" s="1"/>
  <c r="F32" i="15"/>
  <c r="F60" i="15" s="1"/>
  <c r="D68" i="9"/>
  <c r="U44" i="39"/>
  <c r="AB44" i="39"/>
  <c r="W46" i="34"/>
  <c r="AC46" i="34"/>
  <c r="AC29" i="34"/>
  <c r="W29" i="34"/>
  <c r="AZ474" i="3"/>
  <c r="N59" i="15"/>
  <c r="D127" i="9"/>
  <c r="D13" i="52" s="1"/>
  <c r="AZ76" i="3"/>
  <c r="AZ95" i="3"/>
  <c r="AZ37" i="3"/>
  <c r="AZ202" i="3"/>
  <c r="AZ490" i="3"/>
  <c r="AA12" i="34"/>
  <c r="AZ194" i="3"/>
  <c r="AZ20" i="3"/>
  <c r="AZ21" i="3"/>
  <c r="AZ283" i="3"/>
  <c r="AZ242" i="3"/>
  <c r="AZ250" i="3"/>
  <c r="AZ227" i="3"/>
  <c r="AZ404" i="3"/>
  <c r="AZ286" i="3"/>
  <c r="AZ140" i="3"/>
  <c r="AZ375" i="3"/>
  <c r="AC44" i="39"/>
  <c r="W44" i="39"/>
  <c r="AB23" i="36"/>
  <c r="U23" i="36"/>
  <c r="U9" i="21"/>
  <c r="AB9" i="21"/>
  <c r="U33" i="40"/>
  <c r="AB33" i="40"/>
  <c r="S12" i="40"/>
  <c r="AA12" i="40"/>
  <c r="AA28" i="37"/>
  <c r="S28" i="37"/>
  <c r="S36" i="35"/>
  <c r="AA36" i="35"/>
  <c r="AC12" i="40"/>
  <c r="W12" i="40"/>
  <c r="AZ459" i="3"/>
  <c r="AC28" i="37"/>
  <c r="W28" i="37"/>
  <c r="AZ23" i="3"/>
  <c r="AB27" i="34"/>
  <c r="U27" i="34"/>
  <c r="Q65" i="71"/>
  <c r="O67" i="71"/>
  <c r="AZ454" i="3"/>
  <c r="AZ430" i="3"/>
  <c r="AC47" i="34"/>
  <c r="W47" i="34"/>
  <c r="AZ262" i="3"/>
  <c r="U29" i="21"/>
  <c r="AB29" i="21"/>
  <c r="AZ440" i="3"/>
  <c r="AZ493" i="3"/>
  <c r="AZ482" i="3"/>
  <c r="AZ215" i="3"/>
  <c r="W29" i="21"/>
  <c r="AA14" i="40"/>
  <c r="S14" i="40"/>
  <c r="S14" i="34"/>
  <c r="AA14" i="34"/>
  <c r="S39" i="40"/>
  <c r="AA39" i="40"/>
  <c r="U30" i="34"/>
  <c r="AB30" i="34"/>
  <c r="AB38" i="37"/>
  <c r="U38" i="37"/>
  <c r="AZ136" i="3"/>
  <c r="AZ142" i="3"/>
  <c r="AZ246" i="3"/>
  <c r="AZ213" i="3"/>
  <c r="AZ102" i="3"/>
  <c r="AZ122" i="3"/>
  <c r="U9" i="33"/>
  <c r="AZ254" i="3"/>
  <c r="AZ572" i="3"/>
  <c r="S12" i="39"/>
  <c r="AA12" i="39"/>
  <c r="U30" i="21"/>
  <c r="AB30" i="21"/>
  <c r="AB14" i="34"/>
  <c r="U14" i="34"/>
  <c r="AC31" i="39"/>
  <c r="W31" i="39"/>
  <c r="AZ553" i="3"/>
  <c r="W13" i="34"/>
  <c r="AC13" i="34"/>
  <c r="C44" i="43"/>
  <c r="E14" i="6"/>
  <c r="AZ80" i="3"/>
  <c r="D19" i="53"/>
  <c r="C13" i="12"/>
  <c r="AZ35" i="3"/>
  <c r="AZ268" i="3"/>
  <c r="AZ479" i="3"/>
  <c r="AZ69" i="3"/>
  <c r="AZ169" i="3"/>
  <c r="AZ240" i="3"/>
  <c r="AZ466" i="3"/>
  <c r="AZ116" i="3"/>
  <c r="AZ248" i="3"/>
  <c r="AZ16" i="3"/>
  <c r="AZ437" i="3"/>
  <c r="AZ401" i="3"/>
  <c r="S9" i="21"/>
  <c r="AA9" i="21"/>
  <c r="W33" i="40"/>
  <c r="AC33" i="40"/>
  <c r="AB37" i="39"/>
  <c r="U37" i="39"/>
  <c r="B20" i="31"/>
  <c r="B21" i="31" s="1"/>
  <c r="AZ234" i="3"/>
  <c r="AZ182" i="3"/>
  <c r="W27" i="34"/>
  <c r="AC27" i="34"/>
  <c r="AZ484" i="3"/>
  <c r="U14" i="21"/>
  <c r="AB14" i="21"/>
  <c r="AZ86" i="3"/>
  <c r="AA13" i="34"/>
  <c r="S13" i="34"/>
  <c r="AZ22" i="3"/>
  <c r="AZ161" i="3"/>
  <c r="AZ264" i="3"/>
  <c r="AZ173" i="3"/>
  <c r="AZ79" i="3"/>
  <c r="AZ400" i="3"/>
  <c r="S9" i="33"/>
  <c r="AZ81" i="3"/>
  <c r="AZ323" i="3"/>
  <c r="AZ402" i="3"/>
  <c r="AZ153" i="3"/>
  <c r="AZ317" i="3"/>
  <c r="AZ177" i="3"/>
  <c r="AZ267" i="3"/>
  <c r="S32" i="34"/>
  <c r="AA32" i="34"/>
  <c r="AA31" i="39"/>
  <c r="S31" i="39"/>
  <c r="AA31" i="40"/>
  <c r="S31" i="40"/>
  <c r="C77" i="9"/>
  <c r="C74" i="9" s="1"/>
  <c r="AZ87" i="3"/>
  <c r="AZ289" i="3"/>
  <c r="W14" i="34"/>
  <c r="AC14" i="34"/>
  <c r="M59" i="15"/>
  <c r="N94" i="46"/>
  <c r="AZ98" i="3"/>
  <c r="AZ42" i="3"/>
  <c r="K120" i="9"/>
  <c r="A18" i="62" s="1"/>
  <c r="B64" i="72" s="1"/>
  <c r="C8" i="74"/>
  <c r="F53" i="9"/>
  <c r="AZ83" i="3"/>
  <c r="AZ34" i="3"/>
  <c r="AZ129" i="3"/>
  <c r="AZ287" i="3"/>
  <c r="AZ209" i="3"/>
  <c r="AZ354" i="3"/>
  <c r="AZ166" i="3"/>
  <c r="AZ57" i="3"/>
  <c r="AZ278" i="3"/>
  <c r="AZ237" i="3"/>
  <c r="AZ368" i="3"/>
  <c r="AZ399" i="3"/>
  <c r="AZ409" i="3"/>
  <c r="W43" i="33"/>
  <c r="AZ465" i="3"/>
  <c r="S31" i="21"/>
  <c r="AA31" i="21"/>
  <c r="AZ308" i="3"/>
  <c r="AB12" i="40"/>
  <c r="U12" i="40"/>
  <c r="J53" i="15"/>
  <c r="Q52" i="15" s="1"/>
  <c r="J57" i="15"/>
  <c r="J55" i="15" s="1"/>
  <c r="J58" i="15" s="1"/>
  <c r="Q50" i="15" s="1"/>
  <c r="I54" i="15"/>
  <c r="L58" i="15"/>
  <c r="Q60" i="15" s="1"/>
  <c r="AZ282" i="3"/>
  <c r="AZ249" i="3"/>
  <c r="AZ65" i="3"/>
  <c r="AZ51" i="3"/>
  <c r="AZ41" i="3"/>
  <c r="U23" i="35"/>
  <c r="AB23" i="35"/>
  <c r="AZ75" i="3"/>
  <c r="AZ425" i="3"/>
  <c r="AZ397" i="3"/>
  <c r="AZ406" i="3"/>
  <c r="AC36" i="33"/>
  <c r="S36" i="33"/>
  <c r="AC26" i="33"/>
  <c r="S26" i="33"/>
  <c r="F50" i="67"/>
  <c r="M7" i="67"/>
  <c r="J6" i="67" s="1"/>
  <c r="M56" i="43"/>
  <c r="N56" i="43" s="1"/>
  <c r="K56" i="43"/>
  <c r="M50" i="43"/>
  <c r="N50" i="43" s="1"/>
  <c r="K50" i="43"/>
  <c r="AZ223" i="3"/>
  <c r="AZ251" i="3"/>
  <c r="AZ247" i="3"/>
  <c r="AZ421" i="3"/>
  <c r="AZ429" i="3"/>
  <c r="C31" i="71"/>
  <c r="AZ130" i="3"/>
  <c r="AZ297" i="3"/>
  <c r="AZ256" i="3"/>
  <c r="AZ214" i="3"/>
  <c r="AZ291" i="3"/>
  <c r="U12" i="34"/>
  <c r="AB12" i="34"/>
  <c r="J54" i="43"/>
  <c r="D54" i="43"/>
  <c r="M52" i="43"/>
  <c r="N52" i="43" s="1"/>
  <c r="K52" i="43"/>
  <c r="K57" i="43"/>
  <c r="J57" i="43" s="1"/>
  <c r="D57" i="43" s="1"/>
  <c r="M57" i="43"/>
  <c r="N57" i="43" s="1"/>
  <c r="M51" i="43"/>
  <c r="N51" i="43" s="1"/>
  <c r="K51" i="43"/>
  <c r="T60" i="71"/>
  <c r="D60" i="71"/>
  <c r="W12" i="34"/>
  <c r="AC12" i="34"/>
  <c r="M58" i="43"/>
  <c r="N58" i="43" s="1"/>
  <c r="K58" i="43"/>
  <c r="C22" i="71"/>
  <c r="D23" i="71"/>
  <c r="B19" i="71"/>
  <c r="B18" i="71" s="1"/>
  <c r="B17" i="71" s="1"/>
  <c r="B16" i="71" s="1"/>
  <c r="S20" i="71"/>
  <c r="AB38" i="33"/>
  <c r="U38" i="33"/>
  <c r="M53" i="43"/>
  <c r="N53" i="43" s="1"/>
  <c r="K53" i="43"/>
  <c r="K55" i="43"/>
  <c r="M55" i="43"/>
  <c r="N55" i="43" s="1"/>
  <c r="AZ121" i="3"/>
  <c r="AZ274" i="3"/>
  <c r="AZ241" i="3"/>
  <c r="AZ118" i="3"/>
  <c r="AZ229" i="3"/>
  <c r="AZ218" i="3"/>
  <c r="AZ408" i="3"/>
  <c r="D75" i="71"/>
  <c r="C74" i="71"/>
  <c r="D74" i="71" s="1"/>
  <c r="P65" i="71"/>
  <c r="P66" i="71"/>
  <c r="AZ77" i="3"/>
  <c r="AA38" i="33"/>
  <c r="S38" i="33"/>
  <c r="F26" i="43"/>
  <c r="H16" i="1"/>
  <c r="J26" i="43"/>
  <c r="N370" i="46"/>
  <c r="G26" i="43"/>
  <c r="E26" i="43"/>
  <c r="Q16" i="1"/>
  <c r="F65" i="15"/>
  <c r="F71" i="67"/>
  <c r="F65" i="67"/>
  <c r="C27" i="15"/>
  <c r="L56" i="67"/>
  <c r="I54" i="67"/>
  <c r="J53" i="67"/>
  <c r="F1" i="67" s="1"/>
  <c r="J57" i="67"/>
  <c r="J55" i="67" s="1"/>
  <c r="J58" i="67" s="1"/>
  <c r="Q50" i="67" s="1"/>
  <c r="F64" i="67"/>
  <c r="Q71" i="67"/>
  <c r="L58" i="67"/>
  <c r="Q60" i="67" s="1"/>
  <c r="M59" i="67"/>
  <c r="N59" i="67"/>
  <c r="L59" i="67"/>
  <c r="Q74" i="67" s="1"/>
  <c r="F51" i="15"/>
  <c r="F71" i="15"/>
  <c r="C27" i="67"/>
  <c r="F68" i="67"/>
  <c r="F31" i="67"/>
  <c r="F51" i="67"/>
  <c r="C6" i="67"/>
  <c r="D83" i="71"/>
  <c r="C82" i="71"/>
  <c r="D82" i="71" s="1"/>
  <c r="O65" i="71"/>
  <c r="D66" i="71"/>
  <c r="O66" i="71"/>
  <c r="C36" i="71"/>
  <c r="D35" i="71"/>
  <c r="AZ108" i="3"/>
  <c r="AZ61" i="3"/>
  <c r="AZ59" i="3"/>
  <c r="AZ126" i="3"/>
  <c r="AZ263" i="3"/>
  <c r="AZ244" i="3"/>
  <c r="AZ239" i="3"/>
  <c r="AZ332" i="3"/>
  <c r="AZ550" i="3"/>
  <c r="AZ415" i="3"/>
  <c r="AZ398" i="3"/>
  <c r="AC23" i="36"/>
  <c r="W23" i="36"/>
  <c r="AZ428" i="3"/>
  <c r="AZ411" i="3"/>
  <c r="C56" i="71"/>
  <c r="D55" i="71"/>
  <c r="AZ27" i="3"/>
  <c r="AZ105" i="3"/>
  <c r="AZ45" i="3"/>
  <c r="AZ197" i="3"/>
  <c r="AZ483" i="3"/>
  <c r="AZ414" i="3"/>
  <c r="AZ432" i="3"/>
  <c r="AZ417" i="3"/>
  <c r="AB24" i="36"/>
  <c r="U24" i="36"/>
  <c r="G5" i="3"/>
  <c r="B3" i="3" s="1"/>
  <c r="E539" i="3" s="1"/>
  <c r="C70" i="71"/>
  <c r="D70" i="71" s="1"/>
  <c r="D71" i="71"/>
  <c r="N65" i="71"/>
  <c r="N66" i="71"/>
  <c r="AZ84" i="3"/>
  <c r="AZ418" i="3"/>
  <c r="AZ464" i="3"/>
  <c r="AB36" i="35"/>
  <c r="U36" i="35"/>
  <c r="AC28" i="34"/>
  <c r="W28" i="34"/>
  <c r="G16" i="1"/>
  <c r="AA10" i="39" s="1"/>
  <c r="T28" i="71"/>
  <c r="D28" i="71"/>
  <c r="U28" i="71" s="1"/>
  <c r="C27" i="71"/>
  <c r="D79" i="71"/>
  <c r="C78" i="71"/>
  <c r="D78" i="71" s="1"/>
  <c r="AZ71" i="3"/>
  <c r="AZ31" i="3"/>
  <c r="T52" i="71"/>
  <c r="D52" i="71"/>
  <c r="AZ94" i="3"/>
  <c r="AZ72" i="3"/>
  <c r="AZ190" i="3"/>
  <c r="AZ150" i="3"/>
  <c r="AZ284" i="3"/>
  <c r="AZ435" i="3"/>
  <c r="U39" i="40"/>
  <c r="AB39" i="40"/>
  <c r="AA28" i="34"/>
  <c r="S28" i="34"/>
  <c r="J7" i="37"/>
  <c r="W7" i="37" s="1"/>
  <c r="E264" i="3"/>
  <c r="E534" i="3"/>
  <c r="E342" i="3"/>
  <c r="E543" i="3"/>
  <c r="E108" i="3"/>
  <c r="E38" i="3"/>
  <c r="E137" i="3"/>
  <c r="E460" i="3"/>
  <c r="E155" i="3"/>
  <c r="E500" i="3"/>
  <c r="E47" i="3"/>
  <c r="AD6" i="3"/>
  <c r="E136" i="3"/>
  <c r="E168" i="3"/>
  <c r="E359" i="3"/>
  <c r="E285" i="3"/>
  <c r="E523" i="3"/>
  <c r="E298" i="3"/>
  <c r="E304" i="3"/>
  <c r="E302" i="3"/>
  <c r="E303" i="3"/>
  <c r="E280" i="3"/>
  <c r="AA6" i="3"/>
  <c r="E177" i="3"/>
  <c r="E330" i="3"/>
  <c r="E481" i="3"/>
  <c r="E496" i="3"/>
  <c r="E203" i="3"/>
  <c r="E448" i="3"/>
  <c r="P6" i="3"/>
  <c r="E404" i="3"/>
  <c r="E88" i="3"/>
  <c r="E121" i="3"/>
  <c r="E316" i="3"/>
  <c r="E334" i="3"/>
  <c r="E480" i="3"/>
  <c r="E366" i="3"/>
  <c r="E282" i="3"/>
  <c r="N6" i="3"/>
  <c r="E569" i="3"/>
  <c r="E396" i="3"/>
  <c r="E229" i="3"/>
  <c r="E407" i="3"/>
  <c r="E294" i="3"/>
  <c r="E130" i="3"/>
  <c r="E114" i="3"/>
  <c r="E260" i="3"/>
  <c r="E550" i="3"/>
  <c r="E117" i="3"/>
  <c r="E245" i="3"/>
  <c r="E382" i="3"/>
  <c r="E518" i="3"/>
  <c r="E336" i="3"/>
  <c r="E253" i="3"/>
  <c r="E453" i="3"/>
  <c r="E511" i="3"/>
  <c r="E573" i="3"/>
  <c r="E458" i="3"/>
  <c r="E457" i="3"/>
  <c r="E571" i="3"/>
  <c r="E433" i="3"/>
  <c r="E72" i="3"/>
  <c r="E279" i="3"/>
  <c r="E351" i="3"/>
  <c r="E318" i="3"/>
  <c r="E549" i="3"/>
  <c r="E269" i="3"/>
  <c r="E107" i="3"/>
  <c r="E515" i="3"/>
  <c r="E414" i="3"/>
  <c r="E447" i="3"/>
  <c r="E27" i="3"/>
  <c r="E210" i="3"/>
  <c r="E331" i="3"/>
  <c r="E384" i="3"/>
  <c r="E44" i="3"/>
  <c r="E441" i="3"/>
  <c r="E175" i="3"/>
  <c r="E530" i="3"/>
  <c r="E343" i="3"/>
  <c r="E305" i="3"/>
  <c r="E508" i="3"/>
  <c r="E388" i="3"/>
  <c r="E555" i="3"/>
  <c r="E143" i="3"/>
  <c r="E270" i="3"/>
  <c r="E533" i="3"/>
  <c r="AR6" i="3"/>
  <c r="E561" i="3"/>
  <c r="E538" i="3"/>
  <c r="E439" i="3"/>
  <c r="E380" i="3"/>
  <c r="E231" i="3"/>
  <c r="E216" i="3"/>
  <c r="E185" i="3"/>
  <c r="E261" i="3"/>
  <c r="E528" i="3"/>
  <c r="E183" i="3"/>
  <c r="E180" i="3"/>
  <c r="E91" i="3"/>
  <c r="E134" i="3"/>
  <c r="E301" i="3"/>
  <c r="E350" i="3"/>
  <c r="E586" i="3"/>
  <c r="E495" i="3"/>
  <c r="E124" i="3"/>
  <c r="E399" i="3"/>
  <c r="E347" i="3"/>
  <c r="E77" i="3"/>
  <c r="E568" i="3"/>
  <c r="E181" i="3"/>
  <c r="E545" i="3"/>
  <c r="E277" i="3"/>
  <c r="E133" i="3"/>
  <c r="K6" i="3"/>
  <c r="E560" i="3"/>
  <c r="E472" i="3"/>
  <c r="E406" i="3"/>
  <c r="E465" i="3"/>
  <c r="E587" i="3"/>
  <c r="E577" i="3"/>
  <c r="E468" i="3"/>
  <c r="E454" i="3"/>
  <c r="E106" i="3"/>
  <c r="E146" i="3"/>
  <c r="E171" i="3"/>
  <c r="E362" i="3"/>
  <c r="E74" i="3"/>
  <c r="E227" i="3"/>
  <c r="E368" i="3"/>
  <c r="E89" i="3"/>
  <c r="E204" i="3"/>
  <c r="E327" i="3"/>
  <c r="Z6" i="3"/>
  <c r="AO6" i="3"/>
  <c r="E485" i="3"/>
  <c r="E400" i="3"/>
  <c r="E345" i="3"/>
  <c r="E557" i="3"/>
  <c r="E531" i="3"/>
  <c r="E70" i="3"/>
  <c r="E182" i="3"/>
  <c r="E211" i="3"/>
  <c r="E273" i="3"/>
  <c r="E377" i="3"/>
  <c r="E572" i="3"/>
  <c r="E109" i="3"/>
  <c r="E217" i="3"/>
  <c r="E526" i="3"/>
  <c r="E268" i="3"/>
  <c r="E322" i="3"/>
  <c r="AJ6" i="3"/>
  <c r="E509" i="3"/>
  <c r="E579" i="3"/>
  <c r="E201" i="3"/>
  <c r="E311" i="3"/>
  <c r="E514" i="3"/>
  <c r="E570" i="3"/>
  <c r="M6" i="3"/>
  <c r="AB6" i="3"/>
  <c r="E387" i="3"/>
  <c r="E335" i="3"/>
  <c r="E215" i="3"/>
  <c r="E189" i="3"/>
  <c r="E69" i="3"/>
  <c r="E278" i="3"/>
  <c r="E563" i="3"/>
  <c r="E172" i="3"/>
  <c r="E161" i="3"/>
  <c r="E135" i="3"/>
  <c r="E191" i="3"/>
  <c r="E263" i="3"/>
  <c r="E423" i="3"/>
  <c r="AI6" i="3"/>
  <c r="E385" i="3"/>
  <c r="E246" i="3"/>
  <c r="X6" i="3"/>
  <c r="E100" i="3"/>
  <c r="E200" i="3"/>
  <c r="E148" i="3"/>
  <c r="E119" i="3"/>
  <c r="E132" i="3"/>
  <c r="E242" i="3"/>
  <c r="E483" i="3"/>
  <c r="AA26" i="37"/>
  <c r="S26" i="37"/>
  <c r="BA5" i="3"/>
  <c r="E27"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H7" i="37"/>
  <c r="AB7" i="37" s="1"/>
  <c r="T42" i="37" s="1"/>
  <c r="G42" i="37" s="1"/>
  <c r="H7" i="33"/>
  <c r="J7" i="33"/>
  <c r="D65" i="40"/>
  <c r="E63" i="40"/>
  <c r="F48" i="35"/>
  <c r="AC7" i="37"/>
  <c r="F7" i="33"/>
  <c r="E58" i="21"/>
  <c r="AC7" i="36"/>
  <c r="V36" i="36" s="1"/>
  <c r="I36" i="36" s="1"/>
  <c r="W7" i="36"/>
  <c r="F7" i="37"/>
  <c r="P28" i="43"/>
  <c r="B66" i="40" s="1"/>
  <c r="P25" i="43"/>
  <c r="P29" i="43"/>
  <c r="P27" i="43"/>
  <c r="B70" i="39" s="1"/>
  <c r="Q74" i="15"/>
  <c r="Q61" i="15"/>
  <c r="AE11" i="1"/>
  <c r="AE9" i="1"/>
  <c r="AE7" i="1"/>
  <c r="AE8" i="1"/>
  <c r="AE12" i="1"/>
  <c r="AE10" i="1"/>
  <c r="D5" i="73"/>
  <c r="F3" i="73"/>
  <c r="F7" i="73"/>
  <c r="F6" i="73"/>
  <c r="F4" i="73"/>
  <c r="F5" i="73"/>
  <c r="C16" i="67"/>
  <c r="N69" i="43" l="1"/>
  <c r="D69" i="43"/>
  <c r="J66" i="43"/>
  <c r="D66" i="43"/>
  <c r="N61" i="43"/>
  <c r="D61" i="43"/>
  <c r="J65" i="43"/>
  <c r="D65" i="43"/>
  <c r="N62" i="43"/>
  <c r="D62" i="43"/>
  <c r="K1" i="73"/>
  <c r="D26" i="43"/>
  <c r="C25" i="43" s="1"/>
  <c r="C32" i="67"/>
  <c r="C49" i="15"/>
  <c r="I1" i="73"/>
  <c r="B39" i="1" s="1"/>
  <c r="AA7" i="36"/>
  <c r="R36" i="36" s="1"/>
  <c r="E16" i="6"/>
  <c r="J18" i="67"/>
  <c r="E275" i="3"/>
  <c r="E535" i="3"/>
  <c r="E247" i="3"/>
  <c r="E28" i="3"/>
  <c r="E315" i="3"/>
  <c r="E228" i="3"/>
  <c r="E503" i="3"/>
  <c r="E337" i="3"/>
  <c r="E476" i="3"/>
  <c r="E45" i="3"/>
  <c r="E551" i="3"/>
  <c r="E252" i="3"/>
  <c r="E546" i="3"/>
  <c r="E76" i="3"/>
  <c r="AZ5" i="3"/>
  <c r="AY6" i="3" s="1"/>
  <c r="E63" i="39"/>
  <c r="E59" i="40"/>
  <c r="F48" i="69"/>
  <c r="C48" i="69"/>
  <c r="C30" i="69"/>
  <c r="T44" i="71"/>
  <c r="E296" i="3"/>
  <c r="E445" i="3"/>
  <c r="E431" i="3"/>
  <c r="E489" i="3"/>
  <c r="E214" i="3"/>
  <c r="AK6" i="3"/>
  <c r="E361" i="3"/>
  <c r="E410" i="3"/>
  <c r="E477" i="3"/>
  <c r="E99" i="3"/>
  <c r="E559" i="3"/>
  <c r="E580" i="3"/>
  <c r="E547" i="3"/>
  <c r="E363" i="3"/>
  <c r="B38" i="72"/>
  <c r="D20" i="53"/>
  <c r="B40" i="72" s="1"/>
  <c r="F30" i="6"/>
  <c r="F31" i="6" s="1"/>
  <c r="E28" i="6"/>
  <c r="K26" i="6"/>
  <c r="M26" i="6" s="1"/>
  <c r="I26" i="6" s="1"/>
  <c r="S26" i="6" s="1"/>
  <c r="C48" i="11"/>
  <c r="C30" i="11"/>
  <c r="D39" i="71"/>
  <c r="F48" i="68"/>
  <c r="C48" i="68"/>
  <c r="C30" i="68"/>
  <c r="M17" i="67"/>
  <c r="F1" i="15"/>
  <c r="F59" i="15"/>
  <c r="F59" i="67"/>
  <c r="E186" i="3"/>
  <c r="E505" i="3"/>
  <c r="E585" i="3"/>
  <c r="E567" i="3"/>
  <c r="E111" i="3"/>
  <c r="E562" i="3"/>
  <c r="E519" i="3"/>
  <c r="E85" i="3"/>
  <c r="E293" i="3"/>
  <c r="E61" i="3"/>
  <c r="E415" i="3"/>
  <c r="E320" i="3"/>
  <c r="E358" i="3"/>
  <c r="E239" i="3"/>
  <c r="E125" i="3"/>
  <c r="E295" i="3"/>
  <c r="E581" i="3"/>
  <c r="E32" i="3"/>
  <c r="E429" i="3"/>
  <c r="E434" i="3"/>
  <c r="E221" i="3"/>
  <c r="E321" i="3"/>
  <c r="E53" i="3"/>
  <c r="E306" i="3"/>
  <c r="E297" i="3"/>
  <c r="E340" i="3"/>
  <c r="E486" i="3"/>
  <c r="E140" i="3"/>
  <c r="E510" i="3"/>
  <c r="F67" i="39"/>
  <c r="Q73" i="15"/>
  <c r="L56" i="15"/>
  <c r="E162" i="3"/>
  <c r="AS6" i="3"/>
  <c r="E478" i="3"/>
  <c r="E271" i="3"/>
  <c r="E31" i="3"/>
  <c r="E150" i="3"/>
  <c r="E450" i="3"/>
  <c r="E527" i="3"/>
  <c r="E193" i="3"/>
  <c r="E314" i="3"/>
  <c r="E583" i="3"/>
  <c r="E578" i="3"/>
  <c r="E290" i="3"/>
  <c r="E395" i="3"/>
  <c r="E230" i="3"/>
  <c r="V6" i="3"/>
  <c r="E151" i="3"/>
  <c r="E516" i="3"/>
  <c r="E553" i="3"/>
  <c r="E30" i="3"/>
  <c r="E166" i="3"/>
  <c r="E444" i="3"/>
  <c r="E164" i="3"/>
  <c r="E256" i="3"/>
  <c r="E424" i="3"/>
  <c r="E128" i="3"/>
  <c r="E402" i="3"/>
  <c r="E565" i="3"/>
  <c r="E506" i="3"/>
  <c r="E319" i="3"/>
  <c r="E257" i="3"/>
  <c r="E488" i="3"/>
  <c r="E57" i="3"/>
  <c r="E50" i="3"/>
  <c r="E202" i="3"/>
  <c r="E370" i="3"/>
  <c r="E21" i="3"/>
  <c r="E199" i="3"/>
  <c r="U7" i="36"/>
  <c r="C49" i="67"/>
  <c r="D31" i="71"/>
  <c r="C32" i="71"/>
  <c r="J56" i="43"/>
  <c r="D56" i="43"/>
  <c r="J51" i="43"/>
  <c r="D51" i="43"/>
  <c r="J52" i="43"/>
  <c r="D52" i="43"/>
  <c r="E558" i="3"/>
  <c r="AG6" i="3"/>
  <c r="E236" i="3"/>
  <c r="E394" i="3"/>
  <c r="E73" i="3"/>
  <c r="AE6" i="3"/>
  <c r="E437" i="3"/>
  <c r="E120" i="3"/>
  <c r="E238" i="3"/>
  <c r="E353" i="3"/>
  <c r="E159" i="3"/>
  <c r="E17" i="3"/>
  <c r="E237" i="3"/>
  <c r="E338" i="3"/>
  <c r="S6" i="3"/>
  <c r="E328" i="3"/>
  <c r="E317" i="3"/>
  <c r="E379" i="3"/>
  <c r="E288" i="3"/>
  <c r="E98" i="3"/>
  <c r="E259" i="3"/>
  <c r="E19" i="3"/>
  <c r="E51" i="3"/>
  <c r="E101" i="3"/>
  <c r="E52" i="3"/>
  <c r="E43" i="3"/>
  <c r="E498" i="3"/>
  <c r="E223" i="3"/>
  <c r="E104" i="3"/>
  <c r="E522" i="3"/>
  <c r="E23" i="3"/>
  <c r="E435" i="3"/>
  <c r="J55" i="43"/>
  <c r="D55" i="43"/>
  <c r="C21" i="71"/>
  <c r="D22" i="71"/>
  <c r="J50" i="43"/>
  <c r="D50" i="43"/>
  <c r="E443" i="3"/>
  <c r="E576" i="3"/>
  <c r="I6" i="3"/>
  <c r="E274" i="3"/>
  <c r="E55" i="3"/>
  <c r="E344" i="3"/>
  <c r="Q6" i="3"/>
  <c r="E262" i="3"/>
  <c r="E156" i="3"/>
  <c r="AN6" i="3"/>
  <c r="E254" i="3"/>
  <c r="E213" i="3"/>
  <c r="E169" i="3"/>
  <c r="E418" i="3"/>
  <c r="E390" i="3"/>
  <c r="E426" i="3"/>
  <c r="E291" i="3"/>
  <c r="E207" i="3"/>
  <c r="E474" i="3"/>
  <c r="E187" i="3"/>
  <c r="E374" i="3"/>
  <c r="E48" i="3"/>
  <c r="E24" i="3"/>
  <c r="E365" i="3"/>
  <c r="E392" i="3"/>
  <c r="L6" i="3"/>
  <c r="AH6" i="3"/>
  <c r="E16" i="3"/>
  <c r="E452" i="3"/>
  <c r="E129" i="3"/>
  <c r="E300" i="3"/>
  <c r="I3" i="6"/>
  <c r="J53" i="43"/>
  <c r="D53" i="43"/>
  <c r="J58" i="43"/>
  <c r="D58" i="43"/>
  <c r="F27" i="69"/>
  <c r="C47" i="69" s="1"/>
  <c r="D45" i="69" s="1"/>
  <c r="Q18" i="1"/>
  <c r="F27" i="68"/>
  <c r="F45" i="68" s="1"/>
  <c r="F27" i="11"/>
  <c r="C29" i="11" s="1"/>
  <c r="D27" i="11" s="1"/>
  <c r="F28" i="12"/>
  <c r="C29" i="12" s="1"/>
  <c r="D28" i="12" s="1"/>
  <c r="E574" i="3"/>
  <c r="E153" i="3"/>
  <c r="E29" i="3"/>
  <c r="E272" i="3"/>
  <c r="E432" i="3"/>
  <c r="E397" i="3"/>
  <c r="E475" i="3"/>
  <c r="E532" i="3"/>
  <c r="E122" i="3"/>
  <c r="E167" i="3"/>
  <c r="Y6" i="3"/>
  <c r="E373" i="3"/>
  <c r="E582" i="3"/>
  <c r="E209" i="3"/>
  <c r="E421" i="3"/>
  <c r="E65" i="3"/>
  <c r="E398" i="3"/>
  <c r="E218" i="3"/>
  <c r="E147" i="3"/>
  <c r="E339" i="3"/>
  <c r="E455" i="3"/>
  <c r="E333" i="3"/>
  <c r="E40" i="3"/>
  <c r="E490" i="3"/>
  <c r="E493" i="3"/>
  <c r="E83" i="3"/>
  <c r="E78" i="3"/>
  <c r="E360" i="3"/>
  <c r="E287" i="3"/>
  <c r="E75" i="3"/>
  <c r="E381" i="3"/>
  <c r="E103" i="3"/>
  <c r="E192" i="3"/>
  <c r="E541" i="3"/>
  <c r="E97" i="3"/>
  <c r="O6" i="3"/>
  <c r="E501" i="3"/>
  <c r="AM6" i="3"/>
  <c r="E92" i="3"/>
  <c r="E411" i="3"/>
  <c r="E14" i="3"/>
  <c r="E537" i="3"/>
  <c r="E224" i="3"/>
  <c r="E127" i="3"/>
  <c r="E87" i="3"/>
  <c r="E163" i="3"/>
  <c r="E584" i="3"/>
  <c r="E149" i="3"/>
  <c r="E446" i="3"/>
  <c r="E244" i="3"/>
  <c r="E58" i="3"/>
  <c r="E141" i="3"/>
  <c r="E62" i="3"/>
  <c r="E112" i="3"/>
  <c r="E234" i="3"/>
  <c r="E473" i="3"/>
  <c r="E276" i="3"/>
  <c r="E401" i="3"/>
  <c r="E422" i="3"/>
  <c r="E105" i="3"/>
  <c r="E158" i="3"/>
  <c r="E243" i="3"/>
  <c r="E469" i="3"/>
  <c r="E251" i="3"/>
  <c r="E332" i="3"/>
  <c r="E144" i="3"/>
  <c r="E425" i="3"/>
  <c r="E56" i="3"/>
  <c r="R6" i="3"/>
  <c r="E3" i="6"/>
  <c r="C17" i="4" s="1"/>
  <c r="B4" i="52" s="1"/>
  <c r="B43" i="72" s="1"/>
  <c r="W10" i="39"/>
  <c r="Q61" i="67"/>
  <c r="Q52" i="67"/>
  <c r="Q73" i="67"/>
  <c r="S10" i="39"/>
  <c r="U10" i="39"/>
  <c r="H10" i="40"/>
  <c r="AB10" i="40" s="1"/>
  <c r="J10" i="40"/>
  <c r="AC10" i="40" s="1"/>
  <c r="F10" i="40"/>
  <c r="S10" i="40"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K21" i="6"/>
  <c r="S8" i="1" s="1"/>
  <c r="E8" i="70" s="1"/>
  <c r="K25" i="6"/>
  <c r="K20" i="6"/>
  <c r="K23" i="6"/>
  <c r="K22" i="6"/>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3" i="34"/>
  <c r="D19" i="11"/>
  <c r="C19" i="11" s="1"/>
  <c r="L18" i="9"/>
  <c r="D3" i="3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G1" i="73"/>
  <c r="AE6" i="1"/>
  <c r="F41" i="15" s="1"/>
  <c r="E61" i="43" l="1"/>
  <c r="B59" i="43" s="1"/>
  <c r="B40" i="1"/>
  <c r="L36" i="43" s="1"/>
  <c r="L37" i="43" s="1"/>
  <c r="O37" i="43" s="1"/>
  <c r="K14" i="1"/>
  <c r="E30" i="6"/>
  <c r="E31" i="6" s="1"/>
  <c r="D3" i="21"/>
  <c r="I46" i="37"/>
  <c r="J46" i="37" s="1"/>
  <c r="D37" i="11"/>
  <c r="D3" i="37"/>
  <c r="E6" i="6"/>
  <c r="D20" i="12" s="1"/>
  <c r="C20" i="12" s="1"/>
  <c r="K19" i="6"/>
  <c r="S6" i="1" s="1"/>
  <c r="AR6" i="1" s="1"/>
  <c r="D14" i="12"/>
  <c r="D17" i="12" s="1"/>
  <c r="C17" i="12" s="1"/>
  <c r="K24" i="6"/>
  <c r="M24" i="6" s="1"/>
  <c r="I24" i="6" s="1"/>
  <c r="F11" i="15"/>
  <c r="C53" i="15" s="1"/>
  <c r="C48" i="15" s="1"/>
  <c r="C66" i="15" s="1"/>
  <c r="M11" i="15"/>
  <c r="F11" i="67"/>
  <c r="M11" i="67"/>
  <c r="J10" i="67" s="1"/>
  <c r="J5" i="67" s="1"/>
  <c r="J24" i="67" s="1"/>
  <c r="AG6" i="1"/>
  <c r="N27" i="15"/>
  <c r="AC6" i="3"/>
  <c r="E50" i="43"/>
  <c r="B48" i="43" s="1"/>
  <c r="C28" i="43" s="1"/>
  <c r="D21" i="71"/>
  <c r="C20" i="71"/>
  <c r="D32" i="71"/>
  <c r="T32" i="71"/>
  <c r="AC10" i="39"/>
  <c r="AA10" i="40"/>
  <c r="C29" i="69"/>
  <c r="D27" i="69" s="1"/>
  <c r="C47" i="68"/>
  <c r="D45" i="68" s="1"/>
  <c r="C29" i="68"/>
  <c r="D27" i="68" s="1"/>
  <c r="F45" i="69"/>
  <c r="C47" i="11"/>
  <c r="D45" i="11" s="1"/>
  <c r="H6" i="3"/>
  <c r="E6" i="3" s="1"/>
  <c r="U10" i="40"/>
  <c r="W10" i="40"/>
  <c r="D116" i="43"/>
  <c r="E49" i="34"/>
  <c r="E53" i="34" s="1"/>
  <c r="F53" i="34" s="1"/>
  <c r="M21" i="6"/>
  <c r="I21" i="6" s="1"/>
  <c r="S21" i="6" s="1"/>
  <c r="F69" i="15"/>
  <c r="S11" i="1"/>
  <c r="E11" i="70" s="1"/>
  <c r="M22" i="6"/>
  <c r="I22" i="6" s="1"/>
  <c r="S22" i="6" s="1"/>
  <c r="S9" i="1"/>
  <c r="AQ8" i="1"/>
  <c r="T8" i="1"/>
  <c r="AR8" i="1"/>
  <c r="M20" i="6"/>
  <c r="I20" i="6" s="1"/>
  <c r="S20" i="6" s="1"/>
  <c r="S7" i="1"/>
  <c r="E7" i="70" s="1"/>
  <c r="AQ6" i="1"/>
  <c r="M23" i="6"/>
  <c r="I23" i="6" s="1"/>
  <c r="S23" i="6" s="1"/>
  <c r="S10" i="1"/>
  <c r="E10" i="70" s="1"/>
  <c r="M25" i="6"/>
  <c r="I25" i="6" s="1"/>
  <c r="S25" i="6" s="1"/>
  <c r="S12" i="1"/>
  <c r="M19" i="6"/>
  <c r="C20" i="11"/>
  <c r="C28" i="11" s="1"/>
  <c r="C27" i="11" s="1"/>
  <c r="D25" i="6"/>
  <c r="D15" i="6"/>
  <c r="D22" i="6"/>
  <c r="D21" i="6"/>
  <c r="D24" i="6"/>
  <c r="D20" i="6"/>
  <c r="M19" i="9"/>
  <c r="C118" i="9" s="1"/>
  <c r="B2" i="74" s="1"/>
  <c r="D26" i="6"/>
  <c r="D8" i="6"/>
  <c r="D14" i="6"/>
  <c r="D9" i="6"/>
  <c r="D10" i="6"/>
  <c r="L19" i="9"/>
  <c r="D29" i="6"/>
  <c r="H22" i="6"/>
  <c r="D19" i="6"/>
  <c r="C18" i="4"/>
  <c r="D23" i="6"/>
  <c r="D5" i="6"/>
  <c r="D12" i="6"/>
  <c r="D11" i="6"/>
  <c r="D13" i="6"/>
  <c r="D28" i="6"/>
  <c r="E61" i="40"/>
  <c r="H26" i="6"/>
  <c r="P14" i="1"/>
  <c r="P16" i="1" s="1"/>
  <c r="C11" i="12" s="1"/>
  <c r="H67" i="39"/>
  <c r="G69" i="39"/>
  <c r="E48" i="33"/>
  <c r="I53" i="33" s="1"/>
  <c r="J53" i="33" s="1"/>
  <c r="I52" i="33"/>
  <c r="J52" i="33" s="1"/>
  <c r="E40" i="36"/>
  <c r="F40" i="36" s="1"/>
  <c r="E41" i="36"/>
  <c r="F41" i="36" s="1"/>
  <c r="H48" i="35"/>
  <c r="C49" i="34"/>
  <c r="C50" i="34"/>
  <c r="I41" i="36"/>
  <c r="J41" i="36" s="1"/>
  <c r="R43" i="37"/>
  <c r="E42" i="37"/>
  <c r="G63" i="40"/>
  <c r="F65" i="40"/>
  <c r="C37" i="36"/>
  <c r="C36" i="36"/>
  <c r="G58" i="21"/>
  <c r="C34" i="69"/>
  <c r="C14" i="67"/>
  <c r="C17" i="15"/>
  <c r="F41" i="67"/>
  <c r="M27" i="67"/>
  <c r="M27" i="15"/>
  <c r="C17" i="67"/>
  <c r="F25" i="12" l="1"/>
  <c r="C26" i="12" s="1"/>
  <c r="D25" i="12" s="1"/>
  <c r="N36" i="43"/>
  <c r="M37" i="43"/>
  <c r="F22" i="69"/>
  <c r="F41" i="69" s="1"/>
  <c r="M36" i="43"/>
  <c r="F22" i="11"/>
  <c r="C23" i="11" s="1"/>
  <c r="Q37" i="43"/>
  <c r="N37" i="43"/>
  <c r="P37" i="43"/>
  <c r="Q36" i="43"/>
  <c r="F24" i="15"/>
  <c r="C24" i="15" s="1"/>
  <c r="F22" i="68"/>
  <c r="C44" i="68" s="1"/>
  <c r="D41" i="68" s="1"/>
  <c r="P36" i="43"/>
  <c r="O36" i="43"/>
  <c r="F24" i="67"/>
  <c r="C24" i="67" s="1"/>
  <c r="D10" i="68"/>
  <c r="C10" i="68" s="1"/>
  <c r="D6" i="6"/>
  <c r="D10" i="11"/>
  <c r="C10" i="11" s="1"/>
  <c r="D10" i="69"/>
  <c r="C10" i="69" s="1"/>
  <c r="C8" i="69" s="1"/>
  <c r="C5" i="69" s="1"/>
  <c r="C60" i="15"/>
  <c r="S24" i="6"/>
  <c r="H24" i="6"/>
  <c r="C53" i="67"/>
  <c r="C48" i="67" s="1"/>
  <c r="C10" i="67"/>
  <c r="C5" i="67" s="1"/>
  <c r="E6" i="70"/>
  <c r="T6" i="1"/>
  <c r="K27" i="6"/>
  <c r="M14" i="1"/>
  <c r="M16" i="1" s="1"/>
  <c r="K16" i="1"/>
  <c r="F69" i="67"/>
  <c r="H21" i="6"/>
  <c r="R21" i="6" s="1"/>
  <c r="R8" i="1" s="1"/>
  <c r="I54" i="34"/>
  <c r="J54" i="34" s="1"/>
  <c r="E54" i="34"/>
  <c r="F54" i="34" s="1"/>
  <c r="T11" i="43"/>
  <c r="V11" i="43" s="1"/>
  <c r="T14" i="43"/>
  <c r="V14" i="43" s="1"/>
  <c r="T4" i="43"/>
  <c r="V4" i="43" s="1"/>
  <c r="T5" i="43"/>
  <c r="V5" i="43" s="1"/>
  <c r="C41" i="43"/>
  <c r="C38" i="43"/>
  <c r="T9" i="43"/>
  <c r="V9" i="43" s="1"/>
  <c r="T12" i="43"/>
  <c r="V12" i="43" s="1"/>
  <c r="T3" i="43"/>
  <c r="V3" i="43" s="1"/>
  <c r="C33" i="43"/>
  <c r="E33" i="43" s="1"/>
  <c r="T15" i="43"/>
  <c r="V15" i="43" s="1"/>
  <c r="T7" i="43"/>
  <c r="V7" i="43" s="1"/>
  <c r="T10" i="43"/>
  <c r="V10" i="43" s="1"/>
  <c r="T2" i="43"/>
  <c r="V2" i="43" s="1"/>
  <c r="C40" i="43"/>
  <c r="C39" i="43"/>
  <c r="T13" i="43"/>
  <c r="V13" i="43" s="1"/>
  <c r="T16" i="43"/>
  <c r="V16" i="43" s="1"/>
  <c r="T8" i="43"/>
  <c r="V8" i="43" s="1"/>
  <c r="T6" i="43"/>
  <c r="V6" i="43" s="1"/>
  <c r="C37" i="43"/>
  <c r="C42" i="43"/>
  <c r="D30" i="6"/>
  <c r="C19" i="71"/>
  <c r="T20" i="71"/>
  <c r="D20" i="71"/>
  <c r="U20" i="71" s="1"/>
  <c r="H25" i="6"/>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4" i="52"/>
  <c r="B45" i="72" s="1"/>
  <c r="A10" i="51"/>
  <c r="B9" i="72" s="1"/>
  <c r="A7" i="51"/>
  <c r="B7" i="72" s="1"/>
  <c r="R25" i="6"/>
  <c r="R12" i="1" s="1"/>
  <c r="H69" i="39"/>
  <c r="I67" i="39"/>
  <c r="G65" i="40"/>
  <c r="H63" i="40"/>
  <c r="C43" i="37"/>
  <c r="C42" i="37"/>
  <c r="I48" i="35"/>
  <c r="H58" i="21"/>
  <c r="E47" i="37"/>
  <c r="F47" i="37" s="1"/>
  <c r="E46" i="37"/>
  <c r="F46" i="37" s="1"/>
  <c r="I47" i="37"/>
  <c r="J47" i="37" s="1"/>
  <c r="E52" i="33"/>
  <c r="F52" i="33" s="1"/>
  <c r="C33" i="67"/>
  <c r="J19" i="67"/>
  <c r="C14" i="15"/>
  <c r="C7" i="68" l="1"/>
  <c r="C44" i="69"/>
  <c r="D41" i="69" s="1"/>
  <c r="B29" i="1"/>
  <c r="C18" i="12" s="1"/>
  <c r="D19" i="69"/>
  <c r="C19" i="69" s="1"/>
  <c r="C24" i="69" s="1"/>
  <c r="C26" i="69"/>
  <c r="D22" i="69" s="1"/>
  <c r="C25" i="11"/>
  <c r="C44" i="11"/>
  <c r="D41" i="11" s="1"/>
  <c r="C26" i="11"/>
  <c r="D22" i="11" s="1"/>
  <c r="C24" i="11"/>
  <c r="F41" i="68"/>
  <c r="C26" i="68"/>
  <c r="D22" i="68" s="1"/>
  <c r="D19" i="68"/>
  <c r="D37" i="68" s="1"/>
  <c r="C37" i="68" s="1"/>
  <c r="C66" i="67"/>
  <c r="C60" i="67"/>
  <c r="C38" i="67"/>
  <c r="N16" i="1"/>
  <c r="L16" i="1"/>
  <c r="C34" i="68"/>
  <c r="C38" i="68" s="1"/>
  <c r="E2" i="70"/>
  <c r="E42" i="43"/>
  <c r="G42" i="43"/>
  <c r="I42" i="43" s="1"/>
  <c r="C34" i="43"/>
  <c r="E34" i="43" s="1"/>
  <c r="G38" i="43"/>
  <c r="I38" i="43" s="1"/>
  <c r="E38" i="43"/>
  <c r="E37" i="43"/>
  <c r="G37" i="43"/>
  <c r="I37" i="43" s="1"/>
  <c r="E41" i="43"/>
  <c r="G41" i="43"/>
  <c r="I41" i="43" s="1"/>
  <c r="C18" i="71"/>
  <c r="D19" i="71"/>
  <c r="E39" i="43"/>
  <c r="G39" i="43"/>
  <c r="I39" i="43" s="1"/>
  <c r="E40" i="43"/>
  <c r="G40" i="43"/>
  <c r="I40" i="43" s="1"/>
  <c r="C19" i="67"/>
  <c r="C20" i="67" s="1"/>
  <c r="C26" i="67" s="1"/>
  <c r="T16" i="1"/>
  <c r="C18" i="15"/>
  <c r="C15" i="15"/>
  <c r="C36" i="11"/>
  <c r="C37" i="11"/>
  <c r="C34" i="11"/>
  <c r="C23" i="12"/>
  <c r="C14" i="12"/>
  <c r="C16" i="12" s="1"/>
  <c r="H19" i="6"/>
  <c r="S19" i="6"/>
  <c r="S27" i="6" s="1"/>
  <c r="I27" i="6"/>
  <c r="C19" i="68"/>
  <c r="I5" i="6"/>
  <c r="I6" i="6"/>
  <c r="C23" i="69"/>
  <c r="I69" i="39"/>
  <c r="J67" i="39"/>
  <c r="I63" i="40"/>
  <c r="H65" i="40"/>
  <c r="I58" i="21"/>
  <c r="J58" i="21" s="1"/>
  <c r="K58" i="21" s="1"/>
  <c r="L58" i="21" s="1"/>
  <c r="M58" i="21" s="1"/>
  <c r="N58" i="21" s="1"/>
  <c r="O58" i="21" s="1"/>
  <c r="H7" i="21" s="1"/>
  <c r="J48" i="35"/>
  <c r="C8" i="68" l="1"/>
  <c r="C5" i="68" s="1"/>
  <c r="C23" i="68" s="1"/>
  <c r="D37" i="69"/>
  <c r="C37" i="69" s="1"/>
  <c r="C33" i="69" s="1"/>
  <c r="C39" i="69" s="1"/>
  <c r="C43" i="69" s="1"/>
  <c r="C22" i="11"/>
  <c r="C31" i="11" s="1"/>
  <c r="C35" i="68"/>
  <c r="C33" i="68" s="1"/>
  <c r="C39" i="68" s="1"/>
  <c r="F50" i="69"/>
  <c r="F50" i="11"/>
  <c r="F50" i="68"/>
  <c r="C30" i="43"/>
  <c r="B2" i="43" s="1"/>
  <c r="C31" i="43"/>
  <c r="C17" i="71"/>
  <c r="D18" i="71"/>
  <c r="C21" i="12"/>
  <c r="C22" i="12" s="1"/>
  <c r="C27" i="12" s="1"/>
  <c r="C25" i="12" s="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B6" i="76"/>
  <c r="E6" i="76"/>
  <c r="C20" i="68" l="1"/>
  <c r="C28" i="68" s="1"/>
  <c r="C27" i="68" s="1"/>
  <c r="C42" i="69"/>
  <c r="C41" i="69" s="1"/>
  <c r="E2" i="76"/>
  <c r="B2" i="76"/>
  <c r="D17" i="71"/>
  <c r="C16" i="71"/>
  <c r="B3" i="43"/>
  <c r="C30" i="12"/>
  <c r="C28" i="12" s="1"/>
  <c r="C32" i="12" s="1"/>
  <c r="B2" i="12" s="1"/>
  <c r="B3" i="12" s="1"/>
  <c r="W7" i="21"/>
  <c r="AA7" i="21"/>
  <c r="R48" i="21" s="1"/>
  <c r="E48" i="21" s="1"/>
  <c r="J7" i="35"/>
  <c r="W7" i="35" s="1"/>
  <c r="Q49" i="67"/>
  <c r="J14" i="67"/>
  <c r="J13" i="67" s="1"/>
  <c r="J23" i="67" s="1"/>
  <c r="C36" i="67"/>
  <c r="C57" i="67"/>
  <c r="C64" i="67" s="1"/>
  <c r="C13" i="67"/>
  <c r="Q70" i="67" s="1"/>
  <c r="C33" i="11"/>
  <c r="C39" i="11" s="1"/>
  <c r="C61" i="67"/>
  <c r="C42" i="68"/>
  <c r="C23" i="15"/>
  <c r="C29" i="15" s="1"/>
  <c r="D13" i="77" s="1"/>
  <c r="D12" i="77" s="1"/>
  <c r="D11" i="77" s="1"/>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C25" i="68" l="1"/>
  <c r="C22" i="68" s="1"/>
  <c r="C31" i="68" s="1"/>
  <c r="D7" i="77"/>
  <c r="C26" i="77" s="1"/>
  <c r="C32" i="77" s="1"/>
  <c r="C38" i="77" s="1"/>
  <c r="C39" i="77" s="1"/>
  <c r="E11" i="77"/>
  <c r="E7" i="77" s="1"/>
  <c r="C27" i="77" s="1"/>
  <c r="D27" i="77" s="1"/>
  <c r="D26" i="77" s="1"/>
  <c r="D32" i="77" s="1"/>
  <c r="D38" i="77" s="1"/>
  <c r="D39" i="77" s="1"/>
  <c r="R49" i="21"/>
  <c r="B3" i="76"/>
  <c r="M23" i="43"/>
  <c r="T16" i="71"/>
  <c r="D16" i="71"/>
  <c r="U16" i="71" s="1"/>
  <c r="C15" i="71"/>
  <c r="U36" i="33"/>
  <c r="AB36" i="33"/>
  <c r="T48" i="3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15"/>
  <c r="C40" i="77" l="1"/>
  <c r="C41" i="77" s="1"/>
  <c r="F31" i="15"/>
  <c r="C6" i="15"/>
  <c r="C14" i="71"/>
  <c r="D15" i="71"/>
  <c r="G48" i="33"/>
  <c r="G53" i="33" s="1"/>
  <c r="H53" i="33" s="1"/>
  <c r="R49" i="33"/>
  <c r="B3" i="68"/>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C57" i="69"/>
  <c r="C56" i="69" s="1"/>
  <c r="C57" i="68"/>
  <c r="C56" i="68" s="1"/>
  <c r="M69" i="39"/>
  <c r="N67" i="39"/>
  <c r="R39" i="35"/>
  <c r="E38" i="35"/>
  <c r="M63" i="40"/>
  <c r="L65" i="40"/>
  <c r="D2" i="21"/>
  <c r="M6" i="15"/>
  <c r="Q69" i="67" l="1"/>
  <c r="Q68" i="67" s="1"/>
  <c r="M17" i="15"/>
  <c r="J6" i="15"/>
  <c r="C32" i="15"/>
  <c r="C10" i="15"/>
  <c r="C5" i="15" s="1"/>
  <c r="C38" i="15" s="1"/>
  <c r="C33" i="15"/>
  <c r="D14" i="71"/>
  <c r="C13" i="71"/>
  <c r="E53" i="33"/>
  <c r="F53" i="33" s="1"/>
  <c r="G52" i="33"/>
  <c r="H52" i="33" s="1"/>
  <c r="C48" i="33"/>
  <c r="C49" i="33"/>
  <c r="C80" i="67"/>
  <c r="C79" i="67" s="1"/>
  <c r="C40" i="67"/>
  <c r="C45" i="67" s="1"/>
  <c r="C56" i="11"/>
  <c r="C57" i="11" s="1"/>
  <c r="B2" i="21"/>
  <c r="B3" i="21" s="1"/>
  <c r="C58" i="15"/>
  <c r="C67" i="15" s="1"/>
  <c r="C68" i="15" s="1"/>
  <c r="C71" i="15" s="1"/>
  <c r="O67" i="39"/>
  <c r="O69" i="39" s="1"/>
  <c r="N69" i="39"/>
  <c r="F7" i="39" s="1"/>
  <c r="C39" i="35"/>
  <c r="C38" i="35"/>
  <c r="N63" i="40"/>
  <c r="M65" i="40"/>
  <c r="E43" i="35"/>
  <c r="F43" i="35" s="1"/>
  <c r="E42" i="35"/>
  <c r="F42" i="35" s="1"/>
  <c r="I43" i="35"/>
  <c r="J43" i="35" s="1"/>
  <c r="D2" i="33"/>
  <c r="L51" i="67"/>
  <c r="C31" i="15" l="1"/>
  <c r="C30" i="15" s="1"/>
  <c r="C39" i="15" s="1"/>
  <c r="Q69" i="15" s="1"/>
  <c r="Q68" i="15" s="1"/>
  <c r="J18" i="15"/>
  <c r="J10" i="15"/>
  <c r="J5" i="15" s="1"/>
  <c r="J24" i="15" s="1"/>
  <c r="J19" i="15"/>
  <c r="D13" i="71"/>
  <c r="C12" i="71"/>
  <c r="L57" i="67"/>
  <c r="L60" i="67" s="1"/>
  <c r="L46" i="67" s="1"/>
  <c r="D2" i="67" s="1"/>
  <c r="B2" i="67" s="1"/>
  <c r="Q67" i="67"/>
  <c r="Q65" i="67"/>
  <c r="B2" i="33"/>
  <c r="C83" i="67"/>
  <c r="C82" i="67" s="1"/>
  <c r="Q47" i="67"/>
  <c r="Q53" i="67" s="1"/>
  <c r="C46" i="67"/>
  <c r="Q56" i="67"/>
  <c r="C43" i="67"/>
  <c r="H7" i="39"/>
  <c r="J7" i="39"/>
  <c r="S7" i="39"/>
  <c r="AA7" i="39"/>
  <c r="R47" i="39" s="1"/>
  <c r="O63" i="40"/>
  <c r="O65" i="40" s="1"/>
  <c r="N65" i="40"/>
  <c r="D2" i="34"/>
  <c r="C19" i="9"/>
  <c r="D2" i="37"/>
  <c r="D2" i="35"/>
  <c r="D2" i="36"/>
  <c r="C80" i="15" l="1"/>
  <c r="C79" i="15" s="1"/>
  <c r="C40" i="15"/>
  <c r="C46" i="15" s="1"/>
  <c r="J17" i="15"/>
  <c r="J16" i="15" s="1"/>
  <c r="J25" i="15" s="1"/>
  <c r="J26" i="15" s="1"/>
  <c r="J29" i="15" s="1"/>
  <c r="D12" i="71"/>
  <c r="U12" i="71" s="1"/>
  <c r="C11" i="71"/>
  <c r="T12" i="71"/>
  <c r="C102" i="9"/>
  <c r="C21" i="9"/>
  <c r="B3" i="33"/>
  <c r="Q57" i="67"/>
  <c r="Q62" i="67" s="1"/>
  <c r="Q66" i="67"/>
  <c r="Q75" i="67" s="1"/>
  <c r="B3" i="67"/>
  <c r="B2" i="36"/>
  <c r="B3" i="36" s="1"/>
  <c r="B2" i="35"/>
  <c r="B3" i="35" s="1"/>
  <c r="M3" i="35"/>
  <c r="B2" i="37"/>
  <c r="B3" i="37" s="1"/>
  <c r="B2" i="34"/>
  <c r="B3" i="34" s="1"/>
  <c r="W7" i="39"/>
  <c r="AC7" i="39"/>
  <c r="V47" i="39" s="1"/>
  <c r="I47" i="39" s="1"/>
  <c r="E47" i="39"/>
  <c r="U7" i="39"/>
  <c r="AB7" i="39"/>
  <c r="T47" i="39" s="1"/>
  <c r="G47" i="39" s="1"/>
  <c r="J7" i="40"/>
  <c r="F7" i="40"/>
  <c r="H7" i="40"/>
  <c r="AO9" i="1"/>
  <c r="AO12" i="1"/>
  <c r="AO7" i="1"/>
  <c r="L51" i="15"/>
  <c r="C20" i="9"/>
  <c r="AO10" i="1"/>
  <c r="AO8" i="1"/>
  <c r="AO11" i="1"/>
  <c r="R48" i="39" l="1"/>
  <c r="C47" i="39" s="1"/>
  <c r="L57" i="15"/>
  <c r="L60" i="15" s="1"/>
  <c r="Q57" i="15" s="1"/>
  <c r="C43" i="15"/>
  <c r="Q65" i="15"/>
  <c r="C83" i="15"/>
  <c r="C82" i="15" s="1"/>
  <c r="Q67" i="15"/>
  <c r="Q47" i="15"/>
  <c r="Q53" i="15" s="1"/>
  <c r="Q56" i="15"/>
  <c r="C10" i="71"/>
  <c r="D11" i="71"/>
  <c r="C103" i="9"/>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0" i="39" s="1"/>
  <c r="F60" i="39" s="1"/>
  <c r="L46" i="15"/>
  <c r="Q62" i="15"/>
  <c r="Q66" i="15"/>
  <c r="Q75" i="15" s="1"/>
  <c r="D10" i="71"/>
  <c r="C9" i="71"/>
  <c r="B62" i="39"/>
  <c r="F62" i="39" s="1"/>
  <c r="I46" i="40"/>
  <c r="J46" i="40" s="1"/>
  <c r="R43" i="40"/>
  <c r="E42" i="40"/>
  <c r="G47" i="40"/>
  <c r="H47" i="40" s="1"/>
  <c r="G46" i="40"/>
  <c r="H46" i="40" s="1"/>
  <c r="D34" i="9"/>
  <c r="D35" i="9"/>
  <c r="B59" i="39" l="1"/>
  <c r="F59" i="39" s="1"/>
  <c r="B58" i="39"/>
  <c r="F58" i="39" s="1"/>
  <c r="B64" i="39"/>
  <c r="F64" i="39" s="1"/>
  <c r="B61" i="39"/>
  <c r="F61" i="39" s="1"/>
  <c r="B57" i="39"/>
  <c r="F57" i="39" s="1"/>
  <c r="B63" i="39"/>
  <c r="F63" i="39" s="1"/>
  <c r="B56" i="39"/>
  <c r="F56" i="39" s="1"/>
  <c r="B2" i="15"/>
  <c r="E2" i="77"/>
  <c r="B2" i="77" s="1"/>
  <c r="D9" i="71"/>
  <c r="C8" i="71"/>
  <c r="C42" i="40"/>
  <c r="C43" i="40"/>
  <c r="E47" i="40"/>
  <c r="F47" i="40" s="1"/>
  <c r="E46" i="40"/>
  <c r="F46" i="40" s="1"/>
  <c r="I47" i="40"/>
  <c r="J47" i="40" s="1"/>
  <c r="D19" i="9"/>
  <c r="AO6" i="1"/>
  <c r="F65" i="39" l="1"/>
  <c r="B2" i="39" s="1"/>
  <c r="B3" i="39" s="1"/>
  <c r="G19" i="9"/>
  <c r="D102" i="9"/>
  <c r="D21" i="9"/>
  <c r="D22" i="9"/>
  <c r="B3" i="77"/>
  <c r="B6" i="70"/>
  <c r="B2" i="70" s="1"/>
  <c r="B3" i="70" s="1"/>
  <c r="B3" i="15"/>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G21" i="9"/>
  <c r="D14" i="74"/>
  <c r="G14" i="74" s="1"/>
  <c r="D7" i="71"/>
  <c r="C6" i="71"/>
  <c r="B5" i="74" l="1"/>
  <c r="D5" i="74" s="1"/>
  <c r="F14" i="74"/>
  <c r="C32" i="9"/>
  <c r="C35" i="9" s="1"/>
  <c r="C34" i="9" s="1"/>
  <c r="E14" i="74"/>
  <c r="C5" i="71"/>
  <c r="D5" i="71" s="1"/>
  <c r="M24" i="43" s="1"/>
  <c r="D6" i="71"/>
  <c r="B6" i="74"/>
  <c r="D6" i="74" s="1"/>
  <c r="I118" i="9" l="1"/>
  <c r="I4" i="52" s="1"/>
  <c r="G118" i="9"/>
  <c r="G4" i="52" s="1"/>
  <c r="B52" i="72" s="1"/>
  <c r="H118" i="9" l="1"/>
  <c r="C104" i="9" s="1"/>
  <c r="H102" i="9"/>
  <c r="D7" i="53" s="1"/>
  <c r="B21" i="72" s="1"/>
  <c r="C105" i="9"/>
  <c r="E118" i="9"/>
  <c r="D118" i="9" s="1"/>
  <c r="F118" i="9"/>
  <c r="F119" i="9" s="1"/>
  <c r="F5" i="52" s="1"/>
  <c r="B53" i="72" s="1"/>
  <c r="C5" i="74"/>
  <c r="H101" i="9" l="1"/>
  <c r="H107" i="9" s="1"/>
  <c r="H4" i="52"/>
  <c r="H119" i="9"/>
  <c r="H5" i="52" s="1"/>
  <c r="F4" i="52"/>
  <c r="B51" i="72" s="1"/>
  <c r="E4" i="52"/>
  <c r="B48" i="72" s="1"/>
  <c r="D4" i="52"/>
  <c r="B47" i="72" s="1"/>
  <c r="D119" i="9"/>
  <c r="D5" i="52" s="1"/>
  <c r="B49" i="72" s="1"/>
  <c r="D45" i="9" l="1"/>
  <c r="C72" i="9" s="1"/>
  <c r="M48" i="9"/>
  <c r="D5" i="53"/>
  <c r="D6" i="53" s="1"/>
  <c r="B22" i="72" s="1"/>
  <c r="H108" i="9"/>
  <c r="M49" i="9"/>
  <c r="D13" i="53"/>
  <c r="D122" i="9"/>
  <c r="B20" i="72" l="1"/>
  <c r="C64" i="9"/>
  <c r="C63" i="9" s="1"/>
  <c r="C67" i="9" s="1"/>
  <c r="D59" i="9" s="1"/>
  <c r="M55" i="9" s="1"/>
  <c r="C93" i="9"/>
  <c r="C86" i="9" s="1"/>
  <c r="D52" i="9"/>
  <c r="D53" i="9"/>
  <c r="D55" i="9"/>
  <c r="M53" i="9" s="1"/>
  <c r="C78" i="9"/>
  <c r="C73" i="9" s="1"/>
  <c r="C79" i="9" s="1"/>
  <c r="C80" i="9" s="1"/>
  <c r="E80" i="9" s="1"/>
  <c r="E81" i="9" s="1"/>
  <c r="C85" i="9"/>
  <c r="L64" i="9"/>
  <c r="M64" i="9" s="1"/>
  <c r="L65" i="9"/>
  <c r="M65" i="9" s="1"/>
  <c r="L66" i="9"/>
  <c r="M66" i="9" s="1"/>
  <c r="L67" i="9"/>
  <c r="M67" i="9" s="1"/>
  <c r="L63" i="9"/>
  <c r="M63" i="9" s="1"/>
  <c r="L68" i="9"/>
  <c r="M68" i="9" s="1"/>
  <c r="D15" i="53"/>
  <c r="B31" i="72" s="1"/>
  <c r="C6" i="74"/>
  <c r="D14" i="53"/>
  <c r="B32" i="72" s="1"/>
  <c r="B30" i="72"/>
  <c r="D8" i="52"/>
  <c r="D123" i="9"/>
  <c r="D9" i="52" s="1"/>
  <c r="C68" i="9" l="1"/>
  <c r="D54" i="9" s="1"/>
  <c r="C95" i="9"/>
  <c r="C96" i="9" s="1"/>
  <c r="E96" i="9" s="1"/>
  <c r="E97" i="9" s="1"/>
  <c r="C81" i="9"/>
  <c r="M69" i="9"/>
  <c r="N69"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<sst xmlns="http://schemas.openxmlformats.org/spreadsheetml/2006/main" count="8644" uniqueCount="3763">
  <si>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</si>
  <si>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</si>
  <si>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</si>
  <si>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</si>
  <si>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</si>
  <si>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</si>
  <si>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</si>
  <si>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</si>
  <si>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</si>
  <si>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</si>
  <si>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</si>
  <si>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</si>
  <si>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</si>
  <si>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</si>
  <si>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</si>
  <si>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</si>
  <si>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</si>
  <si>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</si>
  <si>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</si>
  <si>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</si>
  <si>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</si>
  <si>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</si>
  <si>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</si>
  <si>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</si>
  <si>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</si>
  <si>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</si>
  <si>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</si>
  <si>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</si>
  <si>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</si>
  <si>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</si>
  <si>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</si>
  <si>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</si>
  <si>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</si>
  <si>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</si>
  <si>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</si>
  <si>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</si>
  <si>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</si>
  <si>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</si>
  <si>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</si>
  <si>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</si>
  <si>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</si>
  <si>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</si>
  <si>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</si>
  <si>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</si>
  <si>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</si>
  <si>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</si>
  <si>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</si>
  <si>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</si>
  <si>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</si>
  <si>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</si>
  <si>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</si>
  <si>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</si>
  <si>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</si>
  <si>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</si>
  <si>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</si>
  <si>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</si>
  <si>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</si>
  <si>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</si>
  <si>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</si>
  <si>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</si>
  <si>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</si>
  <si>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</si>
  <si>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</si>
  <si>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</si>
  <si>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</si>
  <si>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</si>
  <si>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</si>
  <si>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</si>
  <si>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</si>
  <si>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</si>
  <si>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</si>
  <si>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</si>
  <si>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</si>
  <si>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</si>
  <si>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</si>
  <si>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</si>
  <si>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</si>
  <si>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</si>
  <si>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</si>
  <si>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</si>
  <si>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</si>
  <si>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</si>
  <si>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</si>
  <si>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</si>
  <si>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</si>
  <si>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</si>
  <si>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</si>
  <si>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</si>
  <si>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</si>
  <si>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</si>
  <si>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</si>
  <si>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</si>
  <si>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</si>
  <si>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</si>
  <si>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</si>
  <si>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</si>
  <si>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</si>
  <si>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</si>
  <si>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</si>
  <si>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</si>
  <si>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</si>
  <si>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</si>
  <si>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</si>
  <si>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</si>
  <si>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</si>
  <si>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</si>
  <si>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</si>
  <si>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</si>
  <si>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</si>
  <si>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</si>
  <si>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</si>
  <si>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</si>
  <si>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</si>
  <si>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</si>
  <si>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</si>
  <si>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</si>
  <si>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</si>
  <si>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</si>
  <si>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</si>
  <si>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</si>
  <si>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</si>
  <si>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</si>
  <si>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</si>
  <si>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</si>
  <si>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</si>
  <si>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</si>
  <si>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</si>
  <si>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</si>
  <si>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</si>
  <si>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</si>
  <si>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</si>
  <si>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</si>
  <si>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</si>
  <si>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</si>
  <si>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</si>
  <si>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</si>
  <si>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</si>
  <si>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</si>
  <si>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</si>
  <si>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</si>
  <si>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</si>
  <si>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</si>
  <si>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</si>
  <si>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</si>
  <si>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</si>
  <si>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</si>
  <si>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</si>
  <si>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</si>
  <si>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</si>
  <si>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</si>
  <si>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</si>
  <si>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</si>
  <si>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</si>
  <si>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</si>
  <si>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</si>
  <si>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</si>
  <si>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</si>
  <si>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</si>
  <si>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</si>
  <si>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</si>
  <si>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</si>
  <si>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</si>
  <si>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</si>
  <si>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</si>
  <si>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</si>
  <si>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</si>
  <si>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</si>
  <si>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</si>
  <si>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</si>
  <si>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</si>
  <si>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</si>
  <si>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</si>
  <si>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</si>
  <si>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</si>
  <si>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</si>
  <si>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</si>
  <si>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</si>
  <si>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</si>
  <si>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</si>
  <si>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</si>
  <si>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</si>
  <si>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</si>
  <si>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</si>
  <si>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</si>
  <si>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</si>
  <si>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</si>
  <si>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</si>
  <si>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</si>
  <si>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</si>
  <si>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</si>
  <si>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</si>
  <si>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</si>
  <si>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</si>
  <si>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</si>
  <si>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</si>
  <si>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</si>
  <si>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</si>
  <si>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</si>
  <si>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</si>
  <si>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</si>
  <si>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</si>
  <si>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</si>
  <si>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</si>
  <si>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</si>
  <si>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</si>
  <si>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</si>
  <si>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</si>
  <si>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</si>
  <si>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</si>
  <si>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</si>
  <si>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</si>
  <si>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</si>
  <si>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</si>
  <si>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</si>
  <si>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</si>
  <si>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</si>
  <si>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</si>
  <si>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</si>
  <si>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</si>
  <si>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</si>
  <si>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</si>
  <si>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</si>
  <si>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</si>
  <si>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</si>
  <si>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</si>
  <si>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</si>
  <si>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</si>
  <si>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</si>
  <si>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</si>
  <si>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</si>
  <si>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</si>
  <si>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</si>
  <si>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</si>
  <si>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</si>
  <si>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</si>
  <si>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</si>
  <si>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</si>
  <si>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</si>
  <si>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</si>
  <si>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</si>
  <si>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</si>
  <si>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</si>
  <si>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</si>
  <si>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</si>
  <si>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</si>
  <si>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</si>
  <si>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</si>
  <si>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</si>
  <si>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</si>
  <si>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</si>
  <si>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</si>
  <si>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</si>
  <si>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</si>
  <si>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</si>
  <si>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</si>
  <si>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</si>
  <si>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</si>
  <si>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</si>
  <si>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</si>
  <si>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</si>
  <si>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</si>
  <si>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</si>
  <si>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</si>
  <si>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</si>
  <si>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</si>
  <si>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</si>
  <si>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</si>
  <si>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</si>
  <si>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</si>
  <si>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</si>
  <si>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</si>
  <si>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</si>
  <si>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</si>
  <si>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</si>
  <si>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</si>
  <si>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</si>
  <si>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</si>
  <si>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</si>
  <si>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</si>
  <si>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</si>
  <si>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</si>
  <si>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</si>
  <si>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</si>
  <si>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</si>
  <si>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</si>
  <si>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</si>
  <si>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</si>
  <si>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</si>
  <si>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</si>
  <si>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</si>
  <si>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</si>
  <si>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</si>
  <si>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</si>
  <si>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</si>
  <si>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</si>
  <si>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</si>
  <si>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</si>
  <si>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</si>
  <si>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</si>
  <si>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</si>
  <si>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</si>
  <si>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</si>
  <si>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</si>
  <si>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</si>
  <si>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</si>
  <si>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</si>
  <si>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</si>
  <si>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</si>
  <si>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</si>
  <si>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</si>
  <si>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</si>
  <si>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</si>
  <si>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</si>
  <si>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</si>
  <si>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</si>
  <si>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</si>
  <si>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</si>
  <si>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</si>
  <si>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</si>
  <si>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</si>
  <si>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</si>
  <si>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</si>
  <si>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</si>
  <si>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</si>
  <si>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</si>
  <si>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</si>
  <si>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</si>
  <si>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</si>
  <si>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</si>
  <si>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</si>
  <si>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</si>
  <si>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</si>
  <si>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</si>
  <si>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</si>
  <si>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</si>
  <si>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</si>
  <si>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</si>
  <si>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</si>
  <si>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</si>
  <si>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</si>
  <si>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</si>
  <si>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</si>
  <si>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</si>
  <si>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</si>
  <si>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</si>
  <si>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</si>
  <si>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</si>
  <si>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</si>
  <si>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</si>
  <si>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</si>
  <si>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</si>
  <si>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</si>
  <si>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</si>
  <si>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</si>
  <si>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</si>
  <si>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</si>
  <si>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</si>
  <si>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</si>
  <si>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</si>
  <si>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</si>
  <si>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</si>
  <si>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</si>
  <si>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</si>
  <si>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</si>
  <si>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</si>
  <si>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</si>
  <si>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</si>
  <si>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</si>
  <si>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</si>
  <si>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</si>
  <si>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</si>
  <si>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</si>
  <si>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</si>
  <si>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</si>
  <si>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</si>
  <si>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</si>
  <si>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</si>
  <si>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</si>
  <si>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</si>
  <si>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</si>
  <si>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</si>
  <si>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</si>
  <si>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</si>
  <si>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</si>
  <si>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</si>
  <si>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</si>
  <si>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</si>
  <si>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</si>
  <si>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</si>
  <si>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</si>
  <si>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</si>
  <si>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</si>
  <si>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</si>
  <si>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</si>
  <si>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</si>
  <si>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</si>
  <si>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</si>
  <si>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</si>
  <si>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</si>
  <si>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</si>
  <si>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</si>
  <si>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</si>
  <si>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</si>
  <si>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</si>
  <si>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</si>
  <si>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</si>
  <si>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</si>
  <si>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</si>
  <si>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</si>
  <si>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</si>
  <si>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</si>
  <si>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</si>
  <si>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</si>
  <si>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</si>
  <si>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</si>
  <si>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</si>
  <si>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</si>
  <si>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</si>
  <si>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</si>
  <si>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</si>
  <si>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</si>
  <si>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</si>
  <si>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</si>
  <si>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</si>
  <si>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</si>
  <si>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</si>
  <si>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</si>
  <si>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</si>
  <si>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</si>
  <si>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</si>
  <si>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</si>
  <si>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</si>
  <si>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</si>
  <si>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</si>
  <si>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</si>
  <si>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</si>
  <si>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</si>
  <si>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</si>
  <si>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</si>
  <si>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</si>
  <si>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</si>
  <si>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</si>
  <si>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</si>
  <si>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</si>
  <si>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</si>
  <si>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</si>
  <si>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</si>
  <si>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</si>
  <si>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</si>
  <si>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</si>
  <si>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</si>
  <si>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</si>
  <si>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</si>
  <si>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</si>
  <si>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</si>
  <si>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</si>
  <si>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</si>
  <si>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</si>
  <si>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</si>
  <si>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</si>
  <si>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</si>
  <si>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</si>
  <si>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</si>
  <si>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</si>
  <si>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</si>
  <si>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</si>
  <si>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</si>
  <si>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</si>
  <si>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</si>
  <si>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</si>
  <si>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</si>
  <si>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</si>
  <si>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</si>
  <si>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</si>
  <si>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</si>
  <si>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</si>
  <si>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</si>
  <si>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</si>
  <si>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</si>
  <si>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</si>
  <si>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</si>
  <si>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</si>
  <si>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</si>
  <si>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</si>
  <si>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</si>
  <si>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</si>
  <si>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</si>
  <si>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</si>
  <si>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</si>
  <si>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</si>
  <si>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</si>
  <si>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</si>
  <si>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</si>
  <si>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</si>
  <si>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</si>
  <si>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</si>
  <si>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</si>
  <si>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</si>
  <si>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</si>
  <si>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</si>
  <si>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</si>
  <si>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</si>
  <si>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</si>
  <si>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</si>
  <si>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</si>
  <si>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</si>
  <si>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</si>
  <si>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</si>
  <si>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</si>
  <si>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</si>
  <si>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</si>
  <si>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</si>
  <si>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</si>
  <si>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</si>
  <si>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</si>
  <si>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</si>
  <si>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</si>
  <si>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</si>
  <si>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</si>
  <si>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</si>
  <si>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</si>
  <si>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</si>
  <si>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</si>
  <si>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</si>
  <si>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</si>
  <si>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</si>
  <si>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</si>
  <si>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</si>
  <si>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</si>
  <si>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</si>
  <si>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</si>
  <si>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</si>
  <si>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</si>
  <si>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</si>
  <si>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</si>
  <si>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</si>
  <si>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</si>
  <si>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</si>
  <si>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</si>
  <si>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</si>
  <si>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</si>
  <si>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</si>
  <si>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</si>
  <si>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</si>
  <si>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</si>
  <si>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</si>
  <si>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</si>
  <si>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</si>
  <si>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</si>
  <si>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</si>
  <si>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</si>
  <si>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</si>
  <si>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</si>
  <si>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</si>
  <si>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</si>
  <si>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</si>
  <si>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</si>
  <si>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</si>
  <si>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</si>
  <si>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</si>
  <si>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</si>
  <si>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</si>
  <si>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</si>
  <si>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</si>
  <si>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</si>
  <si>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</si>
  <si>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</si>
  <si>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</si>
  <si>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</si>
  <si>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</si>
  <si>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</si>
  <si>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</si>
  <si>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</si>
  <si>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</si>
  <si>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</si>
  <si>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</si>
  <si>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</si>
  <si>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</si>
  <si>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</si>
  <si>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</si>
  <si>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</si>
  <si>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</si>
  <si>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</si>
  <si>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</si>
  <si>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</si>
  <si>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</si>
  <si>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</si>
  <si>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</si>
  <si>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</si>
  <si>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</si>
  <si>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</si>
  <si>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</si>
  <si>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</si>
  <si>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</si>
  <si>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</si>
  <si>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</si>
  <si>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</si>
  <si>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</si>
  <si>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</si>
  <si>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</si>
  <si>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</si>
  <si>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</si>
  <si>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</si>
  <si>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</si>
  <si>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</si>
  <si>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</si>
  <si>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</si>
  <si>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</si>
  <si>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</si>
  <si>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</si>
  <si>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</si>
  <si>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</si>
  <si>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</si>
  <si>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</si>
  <si>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</si>
  <si>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</si>
  <si>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</si>
  <si>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</si>
  <si>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</si>
  <si>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</si>
  <si>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</si>
  <si>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</si>
  <si>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</si>
  <si>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</si>
  <si>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</si>
  <si>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</si>
  <si>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</si>
  <si>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</si>
  <si>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</si>
  <si>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</si>
  <si>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</si>
  <si>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</si>
  <si>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</si>
  <si>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</si>
  <si>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</si>
  <si>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</si>
  <si>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</si>
  <si>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</si>
  <si>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</si>
  <si>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</si>
  <si>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</si>
  <si>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</si>
  <si>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</si>
  <si>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</si>
  <si>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</si>
  <si>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</si>
  <si>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</si>
  <si>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</si>
  <si>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</si>
  <si>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</si>
  <si>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</si>
  <si>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</si>
  <si>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</si>
  <si>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</si>
  <si>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</si>
  <si>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</si>
  <si>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</si>
  <si>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</si>
  <si>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</si>
  <si>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</si>
  <si>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</si>
  <si>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</si>
  <si>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</si>
  <si>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</si>
  <si>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</si>
  <si>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</si>
  <si>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</si>
  <si>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</si>
  <si>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</si>
  <si>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</si>
  <si>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</si>
  <si>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</si>
  <si>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</si>
  <si>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</si>
  <si>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</si>
  <si>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</si>
  <si>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</si>
  <si>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</si>
  <si>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</si>
  <si>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</si>
  <si>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</si>
  <si>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</si>
  <si>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</si>
  <si>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</si>
  <si>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</si>
  <si>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</si>
  <si>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</si>
  <si>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</si>
  <si>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</si>
  <si>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</si>
  <si>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</si>
  <si>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</si>
  <si>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</si>
  <si>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</si>
  <si>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</si>
  <si>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</si>
  <si>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</si>
  <si>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</si>
  <si>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</si>
  <si>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</si>
  <si>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</si>
  <si>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</si>
  <si>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</si>
  <si>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</si>
  <si>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</si>
  <si>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</si>
  <si>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</si>
  <si>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</si>
  <si>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</si>
  <si>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</si>
  <si>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</si>
  <si>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</si>
  <si>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</si>
  <si>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</si>
  <si>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</si>
  <si>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</si>
  <si>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</si>
  <si>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</si>
  <si>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</si>
  <si>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</si>
  <si>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</si>
  <si>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</si>
  <si>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</si>
  <si>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</si>
  <si>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</si>
  <si>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</si>
  <si>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</si>
  <si>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</si>
  <si>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</si>
  <si>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</si>
  <si>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</si>
  <si>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</si>
  <si>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</si>
  <si>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</si>
  <si>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</si>
  <si>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</si>
  <si>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</si>
  <si>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</si>
  <si>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</si>
  <si>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</si>
  <si>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</si>
  <si>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</si>
  <si>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</si>
  <si>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</si>
  <si>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</si>
  <si>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</si>
  <si>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</si>
  <si>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</si>
  <si>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</si>
  <si>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</si>
  <si>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</si>
  <si>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</si>
  <si>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</si>
  <si>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</si>
  <si>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</si>
  <si>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</si>
  <si>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</si>
  <si>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</si>
  <si>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</si>
  <si>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</si>
  <si>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</si>
  <si>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</si>
  <si>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</si>
  <si>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</si>
  <si>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</si>
  <si>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</si>
  <si>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</si>
  <si>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</si>
  <si>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</si>
  <si>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</si>
  <si>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</si>
  <si>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</si>
  <si>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</si>
  <si>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</si>
  <si>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</si>
  <si>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</si>
  <si>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</si>
  <si>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</si>
  <si>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</si>
  <si>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</si>
  <si>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</si>
  <si>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</si>
  <si>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</si>
  <si>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</si>
  <si>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</si>
  <si>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</si>
  <si>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</si>
  <si>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</si>
  <si>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</si>
  <si>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</si>
  <si>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</si>
  <si>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</si>
  <si>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</si>
  <si>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</si>
  <si>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</si>
  <si>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</si>
  <si>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</si>
  <si>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</si>
  <si>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</si>
  <si>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</si>
  <si>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</si>
  <si>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</si>
  <si>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</si>
  <si>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</si>
  <si>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</si>
  <si>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</si>
  <si>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</si>
  <si>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</si>
  <si>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</si>
  <si>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</si>
  <si>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</si>
  <si>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</si>
  <si>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</si>
  <si>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</si>
  <si>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</si>
  <si>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</si>
  <si>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</si>
  <si>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</si>
  <si>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</si>
  <si>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</si>
  <si>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</si>
  <si>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</si>
  <si>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</si>
  <si>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</si>
  <si>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</si>
  <si>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</si>
  <si>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</si>
  <si>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</si>
  <si>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</si>
  <si>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</si>
  <si>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</si>
  <si>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</si>
  <si>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</si>
  <si>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</si>
  <si>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</si>
  <si>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</si>
  <si>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</si>
  <si>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</si>
  <si>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</si>
  <si>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</si>
  <si>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</si>
  <si>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</si>
  <si>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</si>
  <si>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</si>
  <si>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</si>
  <si>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</si>
  <si>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</si>
  <si>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</si>
  <si>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</si>
  <si>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</si>
  <si>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</si>
  <si>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</si>
  <si>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</si>
  <si>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</si>
  <si>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</si>
  <si>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</si>
  <si>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</si>
  <si>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</si>
  <si>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</si>
  <si>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</si>
  <si>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</si>
  <si>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</si>
  <si>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</si>
  <si>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</si>
  <si>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</si>
  <si>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</si>
  <si>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</si>
  <si>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</si>
  <si>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</si>
  <si>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</si>
  <si>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</si>
  <si>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</si>
  <si>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</si>
  <si>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</si>
  <si>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</si>
  <si>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</si>
  <si>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</si>
  <si>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</si>
  <si>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</si>
  <si>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</si>
  <si>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</si>
  <si>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</si>
  <si>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</si>
  <si>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</si>
  <si>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</si>
  <si>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</si>
  <si>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</si>
  <si>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</si>
  <si>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</si>
  <si>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</si>
  <si>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</si>
  <si>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</si>
  <si>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</si>
  <si>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</si>
  <si>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</si>
  <si>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</si>
  <si>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</si>
  <si>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</si>
  <si>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</si>
  <si>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</si>
  <si>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</si>
  <si>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</si>
  <si>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</si>
  <si>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</si>
  <si>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</si>
  <si>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</si>
  <si>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</si>
  <si>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</si>
  <si>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</si>
  <si>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</si>
  <si>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</si>
  <si>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</si>
  <si>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</si>
  <si>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</si>
  <si>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</si>
  <si>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</si>
  <si>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</si>
  <si>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</si>
  <si>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</si>
  <si>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</si>
  <si>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</si>
  <si>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</si>
  <si>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</si>
  <si>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</si>
  <si>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</si>
  <si>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</si>
  <si>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</si>
  <si>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</si>
  <si>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</si>
  <si>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</si>
  <si>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</si>
  <si>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</si>
  <si>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</si>
  <si>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</si>
  <si>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</si>
  <si>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</si>
  <si>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</si>
  <si>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</si>
  <si>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</si>
  <si>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</si>
  <si>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</si>
  <si>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</si>
  <si>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</si>
  <si>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</si>
  <si>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</si>
  <si>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</si>
  <si>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</si>
  <si>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</si>
  <si>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</si>
  <si>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</si>
  <si>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</si>
  <si>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</si>
  <si>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</si>
  <si>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</si>
  <si>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</si>
  <si>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</si>
  <si>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</si>
  <si>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</si>
  <si>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</si>
  <si>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</si>
  <si>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</si>
  <si>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</si>
  <si>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</si>
  <si>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</si>
  <si>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</si>
  <si>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</si>
  <si>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</si>
  <si>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</si>
  <si>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</si>
  <si>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</si>
  <si>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</si>
  <si>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</si>
  <si>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</si>
  <si>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</si>
  <si>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</si>
  <si>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</si>
  <si>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</si>
  <si>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</si>
  <si>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</si>
  <si>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</si>
  <si>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</si>
  <si>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</si>
  <si>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</si>
  <si>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</si>
  <si>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</si>
  <si>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</si>
  <si>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</si>
  <si>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</si>
  <si>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</si>
  <si>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</si>
  <si>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</si>
  <si>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</si>
  <si>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</si>
  <si>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</si>
  <si>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</si>
  <si>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</si>
  <si>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</si>
  <si>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</si>
  <si>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</si>
  <si>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</si>
  <si>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</si>
  <si>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</si>
  <si>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</si>
  <si>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</si>
  <si>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</si>
  <si>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</si>
  <si>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</si>
  <si>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</si>
  <si>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</si>
  <si>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</si>
  <si>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</si>
  <si>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</si>
  <si>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</si>
  <si>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</si>
  <si>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</si>
  <si>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</si>
  <si>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</si>
  <si>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</si>
  <si>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</si>
  <si>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</si>
  <si>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</si>
  <si>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</si>
  <si>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</si>
  <si>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</si>
  <si>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</si>
  <si>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</si>
  <si>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</si>
  <si>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</si>
  <si>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</si>
  <si>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</si>
  <si>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</si>
  <si>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</si>
  <si>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</si>
  <si>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</si>
  <si>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</si>
  <si>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</si>
  <si>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</si>
  <si>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</si>
  <si>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</si>
  <si>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</si>
  <si>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</si>
  <si>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</si>
  <si>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</si>
  <si>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</si>
  <si>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</si>
  <si>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</si>
  <si>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</si>
  <si>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</si>
  <si>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</si>
  <si>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</si>
  <si>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</si>
  <si>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</si>
  <si>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</si>
  <si>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</si>
  <si>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</si>
  <si>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</si>
  <si>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</si>
  <si>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</si>
  <si>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</si>
  <si>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</si>
  <si>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</si>
  <si>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</si>
  <si>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</si>
  <si>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</si>
  <si>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</si>
  <si>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</si>
  <si>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</si>
  <si>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</si>
  <si>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</si>
  <si>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</si>
  <si>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</si>
  <si>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</si>
  <si>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</si>
  <si>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</si>
  <si>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</si>
  <si>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</si>
  <si>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</si>
  <si>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</si>
  <si>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</si>
  <si>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</si>
  <si>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</si>
  <si>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</si>
  <si>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</si>
  <si>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</si>
  <si>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</si>
  <si>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</si>
  <si>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</si>
  <si>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</si>
  <si>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</si>
  <si>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</si>
  <si>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</si>
  <si>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</si>
  <si>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</si>
  <si>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</si>
  <si>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</si>
  <si>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</si>
  <si>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</si>
  <si>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</si>
  <si>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</si>
  <si>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</si>
  <si>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</si>
  <si>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</si>
  <si>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</si>
  <si>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</si>
  <si>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</si>
  <si>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</si>
  <si>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</si>
  <si>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</si>
  <si>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</si>
  <si>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</si>
  <si>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</si>
  <si>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</si>
  <si>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</si>
  <si>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</si>
  <si>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</si>
  <si>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</si>
  <si>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</si>
  <si>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</si>
  <si>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</si>
  <si>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</si>
  <si>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</si>
  <si>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</si>
  <si>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</si>
  <si>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</si>
  <si>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</si>
  <si>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</si>
  <si>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</si>
  <si>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</si>
  <si>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</si>
  <si>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</si>
  <si>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</si>
  <si>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</si>
  <si>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</si>
  <si>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</si>
  <si>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</si>
  <si>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</si>
  <si>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</si>
  <si>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</si>
  <si>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</si>
  <si>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</si>
  <si>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</si>
  <si>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</si>
  <si>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</si>
  <si>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</si>
  <si>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</si>
  <si>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</si>
  <si>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</si>
  <si>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</si>
  <si>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</si>
  <si>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</si>
  <si>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</si>
  <si>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</si>
  <si>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</si>
  <si>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</si>
  <si>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</si>
  <si>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</si>
  <si>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</si>
  <si>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</si>
  <si>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</si>
  <si>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</si>
  <si>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</si>
  <si>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</si>
  <si>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</si>
  <si>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</si>
  <si>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</si>
  <si>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</si>
  <si>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</si>
  <si>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</si>
  <si>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</si>
  <si>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</si>
  <si>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</si>
  <si>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</si>
  <si>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</si>
  <si>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</si>
  <si>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</si>
  <si>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</si>
  <si>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</si>
  <si>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</si>
  <si>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</si>
  <si>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</si>
  <si>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</si>
  <si>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</si>
  <si>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</si>
  <si>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</si>
  <si>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</si>
  <si>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</si>
  <si>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</si>
  <si>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</si>
  <si>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</si>
  <si>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</si>
  <si>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</si>
  <si>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</si>
  <si>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</si>
  <si>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</si>
  <si>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</si>
  <si>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</si>
  <si>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</si>
  <si>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</si>
  <si>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</si>
  <si>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</si>
  <si>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</si>
  <si>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</si>
  <si>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</si>
  <si>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</si>
  <si>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</si>
  <si>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</si>
  <si>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</si>
  <si>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</si>
  <si>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</si>
  <si>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</si>
  <si>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</si>
  <si>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</si>
  <si>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</si>
  <si>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</si>
  <si>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</si>
  <si>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</si>
  <si>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</si>
  <si>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</si>
  <si>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</si>
  <si>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</si>
  <si>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</si>
  <si>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</si>
  <si>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</si>
  <si>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</si>
  <si>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</si>
  <si>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</si>
  <si>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</si>
  <si>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</si>
  <si>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</si>
  <si>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</si>
  <si>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</si>
  <si>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</si>
  <si>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</si>
  <si>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</si>
  <si>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</si>
  <si>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</si>
  <si>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</si>
  <si>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</si>
  <si>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</si>
  <si>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</si>
  <si>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</si>
  <si>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</si>
  <si>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</si>
  <si>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</si>
  <si>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</si>
  <si>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</si>
  <si>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</si>
  <si>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</si>
  <si>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</si>
  <si>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</si>
  <si>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</si>
  <si>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</si>
  <si>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</si>
  <si>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</si>
  <si>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</si>
  <si>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</si>
  <si>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</si>
  <si>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</si>
  <si>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</si>
  <si>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</si>
  <si>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</si>
  <si>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</si>
  <si>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</si>
  <si>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</si>
  <si>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</si>
  <si>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</si>
  <si>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</si>
  <si>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</si>
  <si>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</si>
  <si>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</si>
  <si>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</si>
  <si>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</si>
  <si>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</si>
  <si>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</si>
  <si>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</si>
  <si>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</si>
  <si>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</si>
  <si>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</si>
  <si>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</si>
  <si>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</si>
  <si>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</si>
  <si>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</si>
  <si>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</si>
  <si>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</si>
  <si>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</si>
  <si>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</si>
  <si>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</si>
  <si>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</si>
  <si>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</si>
  <si>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</si>
  <si>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</si>
  <si>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</si>
  <si>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</si>
  <si>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</si>
  <si>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</si>
  <si>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</si>
  <si>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</si>
  <si>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</si>
  <si>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</si>
  <si>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</si>
  <si>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</si>
  <si>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</si>
  <si>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</si>
  <si>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</si>
  <si>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</si>
  <si>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</si>
  <si>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</si>
  <si>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</si>
  <si>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</si>
  <si>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</si>
  <si>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</si>
  <si>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</si>
  <si>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</si>
  <si>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</si>
  <si>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</si>
  <si>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</si>
  <si>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</si>
  <si>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</si>
  <si>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</si>
  <si>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</si>
  <si>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</si>
  <si>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</si>
  <si>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</si>
  <si>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</si>
  <si>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</si>
  <si>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</si>
  <si>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</si>
  <si>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</si>
  <si>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</si>
  <si>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</si>
  <si>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</si>
  <si>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</si>
  <si>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</si>
  <si>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</si>
  <si>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</si>
  <si>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</si>
  <si>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</si>
  <si>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</si>
  <si>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</si>
  <si>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</si>
  <si>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</si>
  <si>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</si>
  <si>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</si>
  <si>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</si>
  <si>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</si>
  <si>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</si>
  <si>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</si>
  <si>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</si>
  <si>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</si>
  <si>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</si>
  <si>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</si>
  <si>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</si>
  <si>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</si>
  <si>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</si>
  <si>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</si>
  <si>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</si>
  <si>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</si>
  <si>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</si>
  <si>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</si>
  <si>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</si>
  <si>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</si>
  <si>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</si>
  <si>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</si>
  <si>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</si>
  <si>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</si>
  <si>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</si>
  <si>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</si>
  <si>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</si>
  <si>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</si>
  <si>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</si>
  <si>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</si>
  <si>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</si>
  <si>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</si>
  <si>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</si>
  <si>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</si>
  <si>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</si>
  <si>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</si>
  <si>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</si>
  <si>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</si>
  <si>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</si>
  <si>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</si>
  <si>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</si>
  <si>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</si>
  <si>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</si>
  <si>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</si>
  <si>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</si>
  <si>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</si>
  <si>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</si>
  <si>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</si>
  <si>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</si>
  <si>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</si>
  <si>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</si>
  <si>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</si>
  <si>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</si>
  <si>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</si>
  <si>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</si>
  <si>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</si>
  <si>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</si>
  <si>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</si>
  <si>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</si>
  <si>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</si>
  <si>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</si>
  <si>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</si>
  <si>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</si>
  <si>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</si>
  <si>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</si>
  <si>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</si>
  <si>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</si>
  <si>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</si>
  <si>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</si>
  <si>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</si>
  <si>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</si>
  <si>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</si>
  <si>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</si>
  <si>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</si>
  <si>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</si>
  <si>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</si>
  <si>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</si>
  <si>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</si>
  <si>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</si>
  <si>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</si>
  <si>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</si>
  <si>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</si>
  <si>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</si>
  <si>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</si>
  <si>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</si>
  <si>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</si>
  <si>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</si>
  <si>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</si>
  <si>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</si>
  <si>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</si>
  <si>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</si>
  <si>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</si>
  <si>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</si>
  <si>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</si>
  <si>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</si>
  <si>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</si>
  <si>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</si>
  <si>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</si>
  <si>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</si>
  <si>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</si>
  <si>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</si>
  <si>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</si>
  <si>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</si>
  <si>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</si>
  <si>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</si>
  <si>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</si>
  <si>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</si>
  <si>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</si>
  <si>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</si>
  <si>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</si>
  <si>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</si>
  <si>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</si>
  <si>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</si>
  <si>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</si>
  <si>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</si>
  <si>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</si>
  <si>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</si>
  <si>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</si>
  <si>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</si>
  <si>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</si>
  <si>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</si>
  <si>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</si>
  <si>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</si>
  <si>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</si>
  <si>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</si>
  <si>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</si>
  <si>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</si>
  <si>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</si>
  <si>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</si>
  <si>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</si>
  <si>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</si>
  <si>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</si>
  <si>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</si>
  <si>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</si>
  <si>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</si>
  <si>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</si>
  <si>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</si>
  <si>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</si>
  <si>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</si>
  <si>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</si>
  <si>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</si>
  <si>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</si>
  <si>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</si>
  <si>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</si>
  <si>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</si>
  <si>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</si>
  <si>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</si>
  <si>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</si>
  <si>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</si>
  <si>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</si>
  <si>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</si>
  <si>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</si>
  <si>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</si>
  <si>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</si>
  <si>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</si>
  <si>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</si>
  <si>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</si>
  <si>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</si>
  <si>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</si>
  <si>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</si>
  <si>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</si>
  <si>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</si>
  <si>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</si>
  <si>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</si>
  <si>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</si>
  <si>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</si>
  <si>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</si>
  <si>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</si>
  <si>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</si>
  <si>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</si>
  <si>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</si>
  <si>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</si>
  <si>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</si>
  <si>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</si>
  <si>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</si>
  <si>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</si>
  <si>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</si>
  <si>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</si>
  <si>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</si>
  <si>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</si>
  <si>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</si>
  <si>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</si>
  <si>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</si>
  <si>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</si>
  <si>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</si>
  <si>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</si>
  <si>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</si>
  <si>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</si>
  <si>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</si>
  <si>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</si>
  <si>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</si>
  <si>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</si>
  <si>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</si>
  <si>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</si>
  <si>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</si>
  <si>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</si>
  <si>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</si>
  <si>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</si>
  <si>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</si>
  <si>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</si>
  <si>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</si>
  <si>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</si>
  <si>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</si>
  <si>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</si>
  <si>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</si>
  <si>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</si>
  <si>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</si>
  <si>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</si>
  <si>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</si>
  <si>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</si>
  <si>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</si>
  <si>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</si>
  <si>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</si>
  <si>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</si>
  <si>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</si>
  <si>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</si>
  <si>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</si>
  <si>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</si>
  <si>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</si>
  <si>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</si>
  <si>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</si>
  <si>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</si>
  <si>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</si>
  <si>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</si>
  <si>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</si>
  <si>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</si>
  <si>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</si>
  <si>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</si>
  <si>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</si>
  <si>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</si>
  <si>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</si>
  <si>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</si>
  <si>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</si>
  <si>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</si>
  <si>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</si>
  <si>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</si>
  <si>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</si>
  <si>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</si>
  <si>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</si>
  <si>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</si>
  <si>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</si>
  <si>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</si>
  <si>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</si>
  <si>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</si>
  <si>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</si>
  <si>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</si>
  <si>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</si>
  <si>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</si>
  <si>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</si>
  <si>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</si>
  <si>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</si>
  <si>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</si>
  <si>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</si>
  <si>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</si>
  <si>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</si>
  <si>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</si>
  <si>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</si>
  <si>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</si>
  <si>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</si>
  <si>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</si>
  <si>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</si>
  <si>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</si>
  <si>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</si>
  <si>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</si>
  <si>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</si>
  <si>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</si>
  <si>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</si>
  <si>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</si>
  <si>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</si>
  <si>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</si>
  <si>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</si>
  <si>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</si>
  <si>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</si>
  <si>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</si>
  <si>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</si>
  <si>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</si>
  <si>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</si>
  <si>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</si>
  <si>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</si>
  <si>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</si>
  <si>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</si>
  <si>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</si>
  <si>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</si>
  <si>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</si>
  <si>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</si>
  <si>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</si>
  <si>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</si>
  <si>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</si>
  <si>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</si>
  <si>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</si>
  <si>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</si>
  <si>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</si>
  <si>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</si>
  <si>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</si>
  <si>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</si>
  <si>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</si>
  <si>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</si>
  <si>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</si>
  <si>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</si>
  <si>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</si>
  <si>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</si>
  <si>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</si>
  <si>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</si>
  <si>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</si>
  <si>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</si>
  <si>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</si>
  <si>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</si>
  <si>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</si>
  <si>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</si>
  <si>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</si>
  <si>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</si>
  <si>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</si>
  <si>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</si>
  <si>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</si>
  <si>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</si>
  <si>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</si>
  <si>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</si>
  <si>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</si>
  <si>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</si>
  <si>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</si>
  <si>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</si>
  <si>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</si>
  <si>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</si>
  <si>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</si>
  <si>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</si>
  <si>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</si>
  <si>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</si>
  <si>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</si>
  <si>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</si>
  <si>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</si>
  <si>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</si>
  <si>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</si>
  <si>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</si>
  <si>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</si>
  <si>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</si>
  <si>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</si>
  <si>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</si>
  <si>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</si>
  <si>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</si>
  <si>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</si>
  <si>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</si>
  <si>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</si>
  <si>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</si>
  <si>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</si>
  <si>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</si>
  <si>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</si>
  <si>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</si>
  <si>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</si>
  <si>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</si>
  <si>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</si>
  <si>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</si>
  <si>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</si>
  <si>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</si>
  <si>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</si>
  <si>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</si>
  <si>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</si>
  <si>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</si>
  <si>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</si>
  <si>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</si>
  <si>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</si>
  <si>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</si>
  <si>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</si>
  <si>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</si>
  <si>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</si>
  <si>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</si>
  <si>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</si>
  <si>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</si>
  <si>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</si>
  <si>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</si>
  <si>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</si>
  <si>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</si>
  <si>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</si>
  <si>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</si>
  <si>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</si>
  <si>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</si>
  <si>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</si>
  <si>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</si>
  <si>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</si>
  <si>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</si>
  <si>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</si>
  <si>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</si>
  <si>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</si>
  <si>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</si>
  <si>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</si>
  <si>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</si>
  <si>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</si>
  <si>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</si>
  <si>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</si>
  <si>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</si>
  <si>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</si>
  <si>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</si>
  <si>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</si>
  <si>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</si>
  <si>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</si>
  <si>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</si>
  <si>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</si>
  <si>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</si>
  <si>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</si>
  <si>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</si>
  <si>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</si>
  <si>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</si>
  <si>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</si>
  <si>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</si>
  <si>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</si>
  <si>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</si>
  <si>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</si>
  <si>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</si>
  <si>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</si>
  <si>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</si>
  <si>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</si>
  <si>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</si>
  <si>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</si>
  <si>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</si>
  <si>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</si>
  <si>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</si>
  <si>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</si>
  <si>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</si>
  <si>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</si>
  <si>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</si>
  <si>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</si>
  <si>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</si>
  <si>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</si>
  <si>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</si>
  <si>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</si>
  <si>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</si>
  <si>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</si>
  <si>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</si>
  <si>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</si>
  <si>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</si>
  <si>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</si>
  <si>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</si>
  <si>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</si>
  <si>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</si>
  <si>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</si>
  <si>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</si>
  <si>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</si>
  <si>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</si>
  <si>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</si>
  <si>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</si>
  <si>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</si>
  <si>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</si>
  <si>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</si>
  <si>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</si>
  <si>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</si>
  <si>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</si>
  <si>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</si>
  <si>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</si>
  <si>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</si>
  <si>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</si>
  <si>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</si>
  <si>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</si>
  <si>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</si>
  <si>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</si>
  <si>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</si>
  <si>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</si>
  <si>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</si>
  <si>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</si>
  <si>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</si>
  <si>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</si>
  <si>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</si>
  <si>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</si>
  <si>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</si>
  <si>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</si>
  <si>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</si>
  <si>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</si>
  <si>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</si>
  <si>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</si>
  <si>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</si>
  <si>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</si>
  <si>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</si>
  <si>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</si>
  <si>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</si>
  <si>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</si>
  <si>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</si>
  <si>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</si>
  <si>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</si>
  <si>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</si>
  <si>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</si>
  <si>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</si>
  <si>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</si>
  <si>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</si>
  <si>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</si>
  <si>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</si>
  <si>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</si>
  <si>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</si>
  <si>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</si>
  <si>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</si>
  <si>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</si>
  <si>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</si>
  <si>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</si>
  <si>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</si>
  <si>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</si>
  <si>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</si>
  <si>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</si>
  <si>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</si>
  <si>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</si>
  <si>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</si>
  <si>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</si>
  <si>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</si>
  <si>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</si>
  <si>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</si>
  <si>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</si>
  <si>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</si>
  <si>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</si>
  <si>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</si>
  <si>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</si>
  <si>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</si>
  <si>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</si>
  <si>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</si>
  <si>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</si>
  <si>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</si>
  <si>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</si>
  <si>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</si>
  <si>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</si>
  <si>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</si>
  <si>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</si>
  <si>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</si>
  <si>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</si>
  <si>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</si>
  <si>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</si>
  <si>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</si>
  <si>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</si>
  <si>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</si>
  <si>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</si>
  <si>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</si>
  <si>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</si>
  <si>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</si>
  <si>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</si>
  <si>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</si>
  <si>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</si>
  <si>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</si>
  <si>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</si>
  <si>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</si>
  <si>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</si>
  <si>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</si>
  <si>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</si>
  <si>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</si>
  <si>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</si>
  <si>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</si>
  <si>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</si>
  <si>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</si>
  <si>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</si>
  <si>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</si>
  <si>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</si>
  <si>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</si>
  <si>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</si>
  <si>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</si>
  <si>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</si>
  <si>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</si>
  <si>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</si>
  <si>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</si>
  <si>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</si>
  <si>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</si>
  <si>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</si>
  <si>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</si>
  <si>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</si>
  <si>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</si>
  <si>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</si>
  <si>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</si>
  <si>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</si>
  <si>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</si>
  <si>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</si>
  <si>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</si>
  <si>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</si>
  <si>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</si>
  <si>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</si>
  <si>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</si>
  <si>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</si>
  <si>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</si>
  <si>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</si>
  <si>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</si>
  <si>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</si>
  <si>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</si>
  <si>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</si>
  <si>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</si>
  <si>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</si>
  <si>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</si>
  <si>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</si>
  <si>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</si>
  <si>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</si>
  <si>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</si>
  <si>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</si>
  <si>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</si>
  <si>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</si>
  <si>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</si>
  <si>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</si>
  <si>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</si>
  <si>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</si>
  <si>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</si>
  <si>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</si>
  <si>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</si>
  <si>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</si>
  <si>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</si>
  <si>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</si>
  <si>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</si>
  <si>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</si>
  <si>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</si>
  <si>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</si>
  <si>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</si>
  <si>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</si>
  <si>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</si>
  <si>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</si>
  <si>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</si>
  <si>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</si>
  <si>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</si>
  <si>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</si>
  <si>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</si>
  <si>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</si>
  <si>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</si>
  <si>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</si>
  <si>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</si>
  <si>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</si>
  <si>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</si>
  <si>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</si>
  <si>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</si>
  <si>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</si>
  <si>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</si>
  <si>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</si>
  <si>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</si>
  <si>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</si>
  <si>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</si>
  <si>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</si>
  <si>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</si>
  <si>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</si>
  <si>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</si>
  <si>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</si>
  <si>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</si>
  <si>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</si>
  <si>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</si>
  <si>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</si>
  <si>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</si>
  <si>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</si>
  <si>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</si>
  <si>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</si>
  <si>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</si>
  <si>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</si>
  <si>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</si>
  <si>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</si>
  <si>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</si>
  <si>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</si>
  <si>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</si>
  <si>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</si>
  <si>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</si>
  <si>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</si>
  <si>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</si>
  <si>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</si>
  <si>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</si>
  <si>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</si>
  <si>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</si>
  <si>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</si>
  <si>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</si>
  <si>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</si>
  <si>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</si>
  <si>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</si>
  <si>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</si>
  <si>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</si>
  <si>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</si>
  <si>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</si>
  <si>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</si>
  <si>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</si>
  <si>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</si>
  <si>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</si>
  <si>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</si>
  <si>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</si>
  <si>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</si>
  <si>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</si>
  <si>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</si>
  <si>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</si>
  <si>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</si>
  <si>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</si>
  <si>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</si>
  <si>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</si>
  <si>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</si>
  <si>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</si>
  <si>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</si>
  <si>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</si>
  <si>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</si>
  <si>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</si>
  <si>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</si>
  <si>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</si>
  <si>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</si>
  <si>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</si>
  <si>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</si>
  <si>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</si>
  <si>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</si>
  <si>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</si>
  <si>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</si>
  <si>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</si>
  <si>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</si>
  <si>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</si>
  <si>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</si>
  <si>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</si>
  <si>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</si>
  <si>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</si>
  <si>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</si>
  <si>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</si>
  <si>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</si>
  <si>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</si>
  <si>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</si>
  <si>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</si>
  <si>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</si>
  <si>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</si>
  <si>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</si>
  <si>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</si>
  <si>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</si>
  <si>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</si>
  <si>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</si>
  <si>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</si>
  <si>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</si>
  <si>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</si>
  <si>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</si>
  <si>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</si>
  <si>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</si>
  <si>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</si>
  <si>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</si>
  <si>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</si>
  <si>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</si>
  <si>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</si>
  <si>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</si>
  <si>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</si>
  <si>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</si>
  <si>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</si>
  <si>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</si>
  <si>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</si>
  <si>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</si>
  <si>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</si>
  <si>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</si>
  <si>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</si>
  <si>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</si>
  <si>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</si>
  <si>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</si>
  <si>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</si>
  <si>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</si>
  <si>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</si>
  <si>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</si>
  <si>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</si>
  <si>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</si>
  <si>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</si>
  <si>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</si>
  <si>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</si>
  <si>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</si>
  <si>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</si>
  <si>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</si>
  <si>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</si>
  <si>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</si>
  <si>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</si>
  <si>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</si>
  <si>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</si>
  <si>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</si>
  <si>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</si>
  <si>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</si>
  <si>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</si>
  <si>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</si>
  <si>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</si>
  <si>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</si>
  <si>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</si>
  <si>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</si>
  <si>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</si>
  <si>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</si>
  <si>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</si>
  <si>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</si>
  <si>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</si>
  <si>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</si>
  <si>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</si>
  <si>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</si>
  <si>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</si>
  <si>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</si>
  <si>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</si>
  <si>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</si>
  <si>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</si>
  <si>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</si>
  <si>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</si>
  <si>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</si>
  <si>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</si>
  <si>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</si>
  <si>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</si>
  <si>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</si>
  <si>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</si>
  <si>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</si>
  <si>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</si>
  <si>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</si>
  <si>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</si>
  <si>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</si>
  <si>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</si>
  <si>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</si>
  <si>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</si>
  <si>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</si>
  <si>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</si>
  <si>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</si>
  <si>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</si>
  <si>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</si>
  <si>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</si>
  <si>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</si>
  <si>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</si>
  <si>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</si>
  <si>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</si>
  <si>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</si>
  <si>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</si>
  <si>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</si>
  <si>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</si>
  <si>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</si>
  <si>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</si>
  <si>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</si>
  <si>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</si>
  <si>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</si>
  <si>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</si>
  <si>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</si>
  <si>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</si>
  <si>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</si>
  <si>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</si>
  <si>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</si>
  <si>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</si>
  <si>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</si>
  <si>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</si>
  <si>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</si>
  <si>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</si>
  <si>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</si>
  <si>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</si>
  <si>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</si>
  <si>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</si>
  <si>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</si>
  <si>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</si>
  <si>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</si>
  <si>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</si>
  <si>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</si>
  <si>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</si>
  <si>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</si>
  <si>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</si>
  <si>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</si>
  <si>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</si>
  <si>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</si>
  <si>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</si>
  <si>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</si>
  <si>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</si>
  <si>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</si>
  <si>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</si>
  <si>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</si>
  <si>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</si>
  <si>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</si>
  <si>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</si>
  <si>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</si>
  <si>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</si>
  <si>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</si>
  <si>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</si>
  <si>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</si>
  <si>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</si>
  <si>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</si>
  <si>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</si>
  <si>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</si>
  <si>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</si>
  <si>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</si>
  <si>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</si>
  <si>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</si>
  <si>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</si>
  <si>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</si>
  <si>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</si>
  <si>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</si>
  <si>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</si>
  <si>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</si>
  <si>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</si>
  <si>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</si>
  <si>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</si>
  <si>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</si>
  <si>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</si>
  <si>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</si>
  <si>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</si>
  <si>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</si>
  <si>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</si>
  <si>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</si>
  <si>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</si>
  <si>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</si>
  <si>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</si>
  <si>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</si>
  <si>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</si>
  <si>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</si>
  <si>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</si>
  <si>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</si>
  <si>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</si>
  <si>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</si>
  <si>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</si>
  <si>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</si>
  <si>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</si>
  <si>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</si>
  <si>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</si>
  <si>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</si>
  <si>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</si>
  <si>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</si>
  <si>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</si>
  <si>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</si>
  <si>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</si>
  <si>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</si>
  <si>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</si>
  <si>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</si>
  <si>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</si>
  <si>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</si>
  <si>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</si>
  <si>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</si>
  <si>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</si>
  <si>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</si>
  <si>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</si>
  <si>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</si>
  <si>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</si>
  <si>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</si>
  <si>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</si>
  <si>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</si>
  <si>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</si>
  <si>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</si>
  <si>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</si>
  <si>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</si>
  <si>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</si>
  <si>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</si>
  <si>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</si>
  <si>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</si>
  <si>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</si>
  <si>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</si>
  <si>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</si>
  <si>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</si>
  <si>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</si>
  <si>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</si>
  <si>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</si>
  <si>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</si>
  <si>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</si>
  <si>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</si>
  <si>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</si>
  <si>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</si>
  <si>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</si>
  <si>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</si>
  <si>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</si>
  <si>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</si>
  <si>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</si>
  <si>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</si>
  <si>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</si>
  <si>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</si>
  <si>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</si>
  <si>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</si>
  <si>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</si>
  <si>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</si>
  <si>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</si>
  <si>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</si>
  <si>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</si>
  <si>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</si>
  <si>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</si>
  <si>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</si>
  <si>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</si>
  <si>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</si>
  <si>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</si>
  <si>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</si>
  <si>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</si>
  <si>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</si>
  <si>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</si>
  <si>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</si>
  <si>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</si>
  <si>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</si>
  <si>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</si>
  <si>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</si>
  <si>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</si>
  <si>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</si>
  <si>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</si>
  <si>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</si>
  <si>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</si>
  <si>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</si>
  <si>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</si>
  <si>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</si>
  <si>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</si>
  <si>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</si>
  <si>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</si>
  <si>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</si>
  <si>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</si>
  <si>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</si>
  <si>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</si>
  <si>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</si>
  <si>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</si>
  <si>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</si>
  <si>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</si>
  <si>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</si>
  <si>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</si>
  <si>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</si>
  <si>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</si>
  <si>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</si>
  <si>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</si>
  <si>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</si>
  <si>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</si>
  <si>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</si>
  <si>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</si>
  <si>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</si>
  <si>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</si>
  <si>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</si>
  <si>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</si>
  <si>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</si>
  <si>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</si>
  <si>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</si>
  <si>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</si>
  <si>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</si>
  <si>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</si>
  <si>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</si>
  <si>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</si>
  <si>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</si>
  <si>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</si>
  <si>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</si>
  <si>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</si>
  <si>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</si>
  <si>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</si>
  <si>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</si>
  <si>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</si>
  <si>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</si>
  <si>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</si>
  <si>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</si>
  <si>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</si>
  <si>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</si>
  <si>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</si>
  <si>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</si>
  <si>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</si>
  <si>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</si>
  <si>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</si>
  <si>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</si>
  <si>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</si>
  <si>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</si>
  <si>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</si>
  <si>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</si>
  <si>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</si>
  <si>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</si>
  <si>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</si>
  <si>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</si>
  <si>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</si>
  <si>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</si>
  <si>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</si>
  <si>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</si>
  <si>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</si>
  <si>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</si>
  <si>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</si>
  <si>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</si>
  <si>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</si>
  <si>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</si>
  <si>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</si>
  <si>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</si>
  <si>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</si>
  <si>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</si>
  <si>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</si>
  <si>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</si>
  <si>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</si>
  <si>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</si>
  <si>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</si>
  <si>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</si>
  <si>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</si>
  <si>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</si>
  <si>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</si>
  <si>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</si>
  <si>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</si>
  <si>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</si>
  <si>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</si>
  <si>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</si>
  <si>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</si>
  <si>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</si>
  <si>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</si>
  <si>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</si>
  <si>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</si>
  <si>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</si>
  <si>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</si>
  <si>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</si>
  <si>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</si>
  <si>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</si>
  <si>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</si>
  <si>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</si>
  <si>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</si>
  <si>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</si>
  <si>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</si>
  <si>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</si>
  <si>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</si>
  <si>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</si>
  <si>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</si>
  <si>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</si>
  <si>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</si>
  <si>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</si>
  <si>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</si>
  <si>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</si>
  <si>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</si>
  <si>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</si>
  <si>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</si>
  <si>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</si>
  <si>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</si>
  <si>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</si>
  <si>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</si>
  <si>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</si>
  <si>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</si>
  <si>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</si>
  <si>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</si>
  <si>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</si>
  <si>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</si>
  <si>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</si>
  <si>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</si>
  <si>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</si>
  <si>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</si>
  <si>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</si>
  <si>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</si>
  <si>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</si>
  <si>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</si>
  <si>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</si>
  <si>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</si>
  <si>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</si>
  <si>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</si>
  <si>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</si>
  <si>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</si>
  <si>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</si>
  <si>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</si>
  <si>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</si>
  <si>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</si>
  <si>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</si>
  <si>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</si>
  <si>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</si>
  <si>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</si>
  <si>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</si>
  <si>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</si>
  <si>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</si>
  <si>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</si>
  <si>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</si>
  <si>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</si>
  <si>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</si>
  <si>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</si>
  <si>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</si>
  <si>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</si>
  <si>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</si>
  <si>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</si>
  <si>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</si>
  <si>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</si>
  <si>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</si>
  <si>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</si>
  <si>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</si>
  <si>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</si>
  <si>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</si>
  <si>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</si>
  <si>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</si>
  <si>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</si>
  <si>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</si>
  <si>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</si>
  <si>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</si>
  <si>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</si>
  <si>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</si>
  <si>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</si>
  <si>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</si>
  <si>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</si>
  <si>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</si>
  <si>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</si>
  <si>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</si>
  <si>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</si>
  <si>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</si>
  <si>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</si>
  <si>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</si>
  <si>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</si>
  <si>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</si>
  <si>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</si>
  <si>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</si>
  <si>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</si>
  <si>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</si>
  <si>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</si>
  <si>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</si>
  <si>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</si>
  <si>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</si>
  <si>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</si>
  <si>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</si>
  <si>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</si>
  <si>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</si>
  <si>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</si>
  <si>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</si>
  <si>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</si>
  <si>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</si>
  <si>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</si>
  <si>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</si>
  <si>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</si>
  <si>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</si>
  <si>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</si>
  <si>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</si>
  <si>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</si>
  <si>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</si>
  <si>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</si>
  <si>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</si>
  <si>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</si>
  <si>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</si>
  <si>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</si>
  <si>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</si>
  <si>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</si>
  <si>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</si>
  <si>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</si>
  <si>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</si>
  <si>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</si>
  <si>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</si>
  <si>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</si>
  <si>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</si>
  <si>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</si>
  <si>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</si>
  <si>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</si>
  <si>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</si>
  <si>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</si>
  <si>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</si>
  <si>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</si>
  <si>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</si>
  <si>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</si>
  <si>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</si>
  <si>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</si>
  <si>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</si>
  <si>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</si>
  <si>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</si>
  <si>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</si>
  <si>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</si>
  <si>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</si>
  <si>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</si>
  <si>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</si>
  <si>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</si>
  <si>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</si>
  <si>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</si>
  <si>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</si>
  <si>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</si>
  <si>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</si>
  <si>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</si>
  <si>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</si>
  <si>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</si>
  <si>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</si>
  <si>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</si>
  <si>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</si>
  <si>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</si>
  <si>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</si>
  <si>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</si>
  <si>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</si>
  <si>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</si>
  <si>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</si>
  <si>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</si>
  <si>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</si>
  <si>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</si>
  <si>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</si>
  <si>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</si>
  <si>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</si>
  <si>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</si>
  <si>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</si>
  <si>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</si>
  <si>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</si>
  <si>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</si>
  <si>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</si>
  <si>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</si>
  <si>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</si>
  <si>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</si>
  <si>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</si>
  <si>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</si>
  <si>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</si>
  <si>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</si>
  <si>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</si>
  <si>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</si>
  <si>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</si>
  <si>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</si>
  <si>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</si>
  <si>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</si>
  <si>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</si>
  <si>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</si>
  <si>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</si>
  <si>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</si>
  <si>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</si>
  <si>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</si>
  <si>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</si>
  <si>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</si>
  <si>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</si>
  <si>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</si>
  <si>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</si>
  <si>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</si>
  <si>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</si>
  <si>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</si>
  <si>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</si>
  <si>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</si>
  <si>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</si>
  <si>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</si>
  <si>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</si>
  <si>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</si>
  <si>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</si>
  <si>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</si>
  <si>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</si>
  <si>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</si>
  <si>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</si>
  <si>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</si>
  <si>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</si>
  <si>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</si>
  <si>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</si>
  <si>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</si>
  <si>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</si>
  <si>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</si>
  <si>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</si>
  <si>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</si>
  <si>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</si>
  <si>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</si>
  <si>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</si>
  <si>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</si>
  <si>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</si>
  <si>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</si>
  <si>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</si>
  <si>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</si>
  <si>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</si>
  <si>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</si>
  <si>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</si>
  <si>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</si>
  <si>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</si>
  <si>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</si>
  <si>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</si>
  <si>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</si>
  <si>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</si>
  <si>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</si>
  <si>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</si>
  <si>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</si>
  <si>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</si>
  <si>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</si>
  <si>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</si>
  <si>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</si>
  <si>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</si>
  <si>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</si>
  <si>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</si>
  <si>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</si>
  <si>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</si>
  <si>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</si>
  <si>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</si>
  <si>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</si>
  <si>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</si>
  <si>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</si>
  <si>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</si>
  <si>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</si>
  <si>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</si>
  <si>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</si>
  <si>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</si>
  <si>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</si>
  <si>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</si>
  <si>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</si>
  <si>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</si>
  <si>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</si>
  <si>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</si>
  <si>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</si>
  <si>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</si>
  <si>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</si>
  <si>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</si>
  <si>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</si>
  <si>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</si>
  <si>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</si>
  <si>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</si>
  <si>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</si>
  <si>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</si>
  <si>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</si>
  <si>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</si>
  <si>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</si>
  <si>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</si>
  <si>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</si>
  <si>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</si>
  <si>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</si>
  <si>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</si>
  <si>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</si>
  <si>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</si>
  <si>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</si>
  <si>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</si>
  <si>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</si>
  <si>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</si>
  <si>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</si>
  <si>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</si>
  <si>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</si>
  <si>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</si>
  <si>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</si>
  <si>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</si>
  <si>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</si>
  <si>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</si>
  <si>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</si>
  <si>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</si>
  <si>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</si>
  <si>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</si>
  <si>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</si>
  <si>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</si>
  <si>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</si>
  <si>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</si>
  <si>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</si>
  <si>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</si>
  <si>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</si>
  <si>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</si>
  <si>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</si>
  <si>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</si>
  <si>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</si>
  <si>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</si>
  <si>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</si>
  <si>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</si>
  <si>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</si>
  <si>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</si>
  <si>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</si>
  <si>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</si>
  <si>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</si>
  <si>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</si>
  <si>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</si>
  <si>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</si>
  <si>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</si>
  <si>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</si>
  <si>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</si>
  <si>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</si>
  <si>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</si>
  <si>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</si>
  <si>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</si>
  <si>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</si>
  <si>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</si>
  <si>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</si>
  <si>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</si>
  <si>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</si>
  <si>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</si>
  <si>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</si>
  <si>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</si>
  <si>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</si>
  <si>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</si>
  <si>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</si>
  <si>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</si>
  <si>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</si>
  <si>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</si>
  <si>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</si>
  <si>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</si>
  <si>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</si>
  <si>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</si>
  <si>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</si>
  <si>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</si>
  <si>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</si>
  <si>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</si>
  <si>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</si>
  <si>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</si>
  <si>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</si>
  <si>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</si>
  <si>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</si>
  <si>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</si>
  <si>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</si>
  <si>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</si>
  <si>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</si>
  <si>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</si>
  <si>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</si>
  <si>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</si>
  <si>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</si>
  <si>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</si>
  <si>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</si>
  <si>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</si>
  <si>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</si>
  <si>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</si>
  <si>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</si>
  <si>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</si>
  <si>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</si>
  <si>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</si>
  <si>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</si>
  <si>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</si>
  <si>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</si>
  <si>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</si>
  <si>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</si>
  <si>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</si>
  <si>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</si>
  <si>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</si>
  <si>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</si>
  <si>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</si>
  <si>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</si>
  <si>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</si>
  <si>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</si>
  <si>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</si>
  <si>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</si>
  <si>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</si>
  <si>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</si>
  <si>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</si>
  <si>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</si>
  <si>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</si>
  <si>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</si>
  <si>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</si>
  <si>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</si>
  <si>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</si>
  <si>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</si>
  <si>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</si>
  <si>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</si>
  <si>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</si>
  <si>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</si>
  <si>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</si>
  <si>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</si>
  <si>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</si>
  <si>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</si>
  <si>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</si>
  <si>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</si>
  <si>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</si>
  <si>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</si>
  <si>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</si>
  <si>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</si>
  <si>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</si>
  <si>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</si>
  <si>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</si>
  <si>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</si>
  <si>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</si>
  <si>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</si>
  <si>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</si>
  <si>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</si>
  <si>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</si>
  <si>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</si>
  <si>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</si>
  <si>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</si>
  <si>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</si>
  <si>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</si>
  <si>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</si>
  <si>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</si>
  <si>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</si>
  <si>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</si>
  <si>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</si>
  <si>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</si>
  <si>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</si>
  <si>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</si>
  <si>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</si>
  <si>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</si>
  <si>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</si>
  <si>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</si>
  <si>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</si>
  <si>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</si>
  <si>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</si>
  <si>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</si>
  <si>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</si>
  <si>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</si>
  <si>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</si>
  <si>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</si>
  <si>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</si>
  <si>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</si>
  <si>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</si>
  <si>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</si>
  <si>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</si>
  <si>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</si>
  <si>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</si>
  <si>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</si>
  <si>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</si>
  <si>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</si>
  <si>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</si>
  <si>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</si>
  <si>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</si>
  <si>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</si>
  <si>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</si>
  <si>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</si>
  <si>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</si>
  <si>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</si>
  <si>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</si>
  <si>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</si>
  <si>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</si>
  <si>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</si>
  <si>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</si>
  <si>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</si>
  <si>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</si>
  <si>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</si>
  <si>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</si>
  <si>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</si>
  <si>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</si>
  <si>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</si>
  <si>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</si>
  <si>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</si>
  <si>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</si>
  <si>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</si>
  <si>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</si>
  <si>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</si>
  <si>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</si>
  <si>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</si>
  <si>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</si>
  <si>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</si>
  <si>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</si>
  <si>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</si>
  <si>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</si>
  <si>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</si>
  <si>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</si>
  <si>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</si>
  <si>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</si>
  <si>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</si>
  <si>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</si>
  <si>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</si>
  <si>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</si>
  <si>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</si>
  <si>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</si>
  <si>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</si>
  <si>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</si>
  <si>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</si>
  <si>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</si>
  <si>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</si>
  <si>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</si>
  <si>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</si>
  <si>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</si>
  <si>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</si>
  <si>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</si>
  <si>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</si>
  <si>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</si>
  <si>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</si>
  <si>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</si>
  <si>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</si>
  <si>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</si>
  <si>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</si>
  <si>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</si>
  <si>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</si>
  <si>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</si>
  <si>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</si>
  <si>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</si>
  <si>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</si>
  <si>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</si>
  <si>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</si>
  <si>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</si>
  <si>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</si>
  <si>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</si>
  <si>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</si>
  <si>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</si>
  <si>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</si>
  <si>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</si>
  <si>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</si>
  <si>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</si>
  <si>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</si>
  <si>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</si>
  <si>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</si>
  <si>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</si>
  <si>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</si>
  <si>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</si>
  <si>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</si>
  <si>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</si>
  <si>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</si>
  <si>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</si>
  <si>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</si>
  <si>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</si>
  <si>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</si>
  <si>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</si>
  <si>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</si>
  <si>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</si>
  <si>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</si>
  <si>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</si>
  <si>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</si>
  <si>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</si>
  <si>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</si>
  <si>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</si>
  <si>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</si>
  <si>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</si>
  <si>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</si>
  <si>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</si>
  <si>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</si>
  <si>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</si>
  <si>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</si>
  <si>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</si>
  <si>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</si>
  <si>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</si>
  <si>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</si>
  <si>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</si>
  <si>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</si>
  <si>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</si>
  <si>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</si>
  <si>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</si>
  <si>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</si>
  <si>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</si>
  <si>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</si>
  <si>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</si>
  <si>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</si>
  <si>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</si>
  <si>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</si>
  <si>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</si>
  <si>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</si>
  <si>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</si>
  <si>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</si>
  <si>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</si>
  <si>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</si>
  <si>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</si>
  <si>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</si>
  <si>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</si>
  <si>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</si>
  <si>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</si>
  <si>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</si>
  <si>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</si>
  <si>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</si>
  <si>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</si>
  <si>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</si>
  <si>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</si>
  <si>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</si>
  <si>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</si>
  <si>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</si>
  <si>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</si>
  <si>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</si>
  <si>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</si>
  <si>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</si>
  <si>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</si>
  <si>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</si>
  <si>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</si>
  <si>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</si>
  <si>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</si>
  <si>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</si>
  <si>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</si>
  <si>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</si>
  <si>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</si>
  <si>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</si>
  <si>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</si>
  <si>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</si>
  <si>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</si>
  <si>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</si>
  <si>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</si>
  <si>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</si>
  <si>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</si>
  <si>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</si>
  <si>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</si>
  <si>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</si>
  <si>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</si>
  <si>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</si>
  <si>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</si>
  <si>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</si>
  <si>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</si>
  <si>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</si>
  <si>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</si>
  <si>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</si>
  <si>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</si>
  <si>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</si>
  <si>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</si>
  <si>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</si>
  <si>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</si>
  <si>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</si>
  <si>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</si>
  <si>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</si>
  <si>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</si>
  <si>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</si>
  <si>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</si>
  <si>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</si>
  <si>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</si>
  <si>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</si>
  <si>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</si>
  <si>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</si>
  <si>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</si>
  <si>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</si>
  <si>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</si>
  <si>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</si>
  <si>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</si>
  <si>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</si>
  <si>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</si>
  <si>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</si>
  <si>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</si>
  <si>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</si>
  <si>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</si>
  <si>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</si>
  <si>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</si>
  <si>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</si>
  <si>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</si>
  <si>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</si>
  <si>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</si>
  <si>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</si>
  <si>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</si>
  <si>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</si>
  <si>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</si>
  <si>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</si>
  <si>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</si>
  <si>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</si>
  <si>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</si>
  <si>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</si>
  <si>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</si>
  <si>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</si>
  <si>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</si>
  <si>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</si>
  <si>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</si>
  <si>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</si>
  <si>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</si>
  <si>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</si>
  <si>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</si>
  <si>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</si>
  <si>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</si>
  <si>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</si>
  <si>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</si>
  <si>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</si>
  <si>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</si>
  <si>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</si>
  <si>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</si>
  <si>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</si>
  <si>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</si>
  <si>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</si>
  <si>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</si>
  <si>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</si>
  <si>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</si>
  <si>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</si>
  <si>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</si>
  <si>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</si>
  <si>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</si>
  <si>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</si>
  <si>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</si>
  <si>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</si>
  <si>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</si>
  <si>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</si>
  <si>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</si>
  <si>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</si>
  <si>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</si>
  <si>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</si>
  <si>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</si>
  <si>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</si>
  <si>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</si>
  <si>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</si>
  <si>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</si>
  <si>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</si>
  <si>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</si>
  <si>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</si>
  <si>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</si>
  <si>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</si>
  <si>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</si>
  <si>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</si>
  <si>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</si>
  <si>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</si>
  <si>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</si>
  <si>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</si>
  <si>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</si>
  <si>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</si>
  <si>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</si>
  <si>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</si>
  <si>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</si>
  <si>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</si>
  <si>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</si>
  <si>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</si>
  <si>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</si>
  <si>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</si>
  <si>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</si>
  <si>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</si>
  <si>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</si>
  <si>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</si>
  <si>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</si>
  <si>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</si>
  <si>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</si>
  <si>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</si>
  <si>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</si>
  <si>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</si>
  <si>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</si>
  <si>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</si>
  <si>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</si>
  <si>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</si>
  <si>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</si>
  <si>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</si>
  <si>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</si>
  <si>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</si>
  <si>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</si>
  <si>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</si>
  <si>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</si>
  <si>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</si>
  <si>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</si>
  <si>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</si>
  <si>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</si>
  <si>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</si>
  <si>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</si>
  <si>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</si>
  <si>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</si>
  <si>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</si>
  <si>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</si>
  <si>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</si>
  <si>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</si>
  <si>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</si>
  <si>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</si>
  <si>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</si>
  <si>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</si>
  <si>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</si>
  <si>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</si>
  <si>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</si>
  <si>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</si>
  <si>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</si>
  <si>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</si>
  <si>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</si>
  <si>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</si>
  <si>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</si>
  <si>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</si>
  <si>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</si>
  <si>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</si>
  <si>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</si>
  <si>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</si>
  <si>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</si>
  <si>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</si>
  <si>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</si>
  <si>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</si>
  <si>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</si>
  <si>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</si>
  <si>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</si>
  <si>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</si>
  <si>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</si>
  <si>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</si>
  <si>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</si>
  <si>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</si>
  <si>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</si>
  <si>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</si>
  <si>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</si>
  <si>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</si>
  <si>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</si>
  <si>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</si>
  <si>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</si>
  <si>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</si>
  <si>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</si>
  <si>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</si>
  <si>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</si>
  <si>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</si>
  <si>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</si>
  <si>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</si>
  <si>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</si>
  <si>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</si>
  <si>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</si>
  <si>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</si>
  <si>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</si>
  <si>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</si>
  <si>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</si>
  <si>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</si>
  <si>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</si>
  <si>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</si>
  <si>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</si>
  <si>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</si>
  <si>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</si>
  <si>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</si>
  <si>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</si>
  <si>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</si>
  <si>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</si>
  <si>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</si>
  <si>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</si>
  <si>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</si>
  <si>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</si>
  <si>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</si>
  <si>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</si>
  <si>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</si>
  <si>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</si>
  <si>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</si>
  <si>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</si>
  <si>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</si>
  <si>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</si>
  <si>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</si>
  <si>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</si>
  <si>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</si>
  <si>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</si>
  <si>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</si>
  <si>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</si>
  <si>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</si>
  <si>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</si>
  <si>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</si>
  <si>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</si>
  <si>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</si>
  <si>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</si>
  <si>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</si>
  <si>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</si>
  <si>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</si>
  <si>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</si>
  <si>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</si>
  <si>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</si>
  <si>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</si>
  <si>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</si>
  <si>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</si>
  <si>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</si>
  <si>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</si>
  <si>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</si>
  <si>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</si>
  <si>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</si>
  <si>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</si>
  <si>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</si>
  <si>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</si>
  <si>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</si>
  <si>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</si>
  <si>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</si>
  <si>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</si>
  <si>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</si>
  <si>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</si>
  <si>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</si>
  <si>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</si>
  <si>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</si>
  <si>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</si>
  <si>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</si>
  <si>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</si>
  <si>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</si>
  <si>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</si>
  <si>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</si>
  <si>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</si>
  <si>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</si>
  <si>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</si>
  <si>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</si>
  <si>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</si>
  <si>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</si>
  <si>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</si>
  <si>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</si>
  <si>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</si>
  <si>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</si>
  <si>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</si>
  <si>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</si>
  <si>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</si>
  <si>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</si>
  <si>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</si>
  <si>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</si>
  <si>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</si>
  <si>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</si>
  <si>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</si>
  <si>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</si>
  <si>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</si>
  <si>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</si>
  <si>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</si>
  <si>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</si>
  <si>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</si>
  <si>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</si>
  <si>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</si>
  <si>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</si>
  <si>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</si>
  <si>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</si>
  <si>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</si>
  <si>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</si>
  <si>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</si>
  <si>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</si>
  <si>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</si>
  <si>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</si>
  <si>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</si>
  <si>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</si>
  <si>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</si>
  <si>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</si>
  <si>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</si>
  <si>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</si>
  <si>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</si>
  <si>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</si>
  <si>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</si>
  <si>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</si>
  <si>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</si>
  <si>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</si>
  <si>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</si>
  <si>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</si>
  <si>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</si>
  <si>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</si>
  <si>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</si>
  <si>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</si>
  <si>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</si>
  <si>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</si>
  <si>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</si>
  <si>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</si>
  <si>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</si>
  <si>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</si>
  <si>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</si>
  <si>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</si>
  <si>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</si>
  <si>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</si>
  <si>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</si>
  <si>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</si>
  <si>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</si>
  <si>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</si>
  <si>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</si>
  <si>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</si>
  <si>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</si>
  <si>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</si>
  <si>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</si>
  <si>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</si>
  <si>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</si>
  <si>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</si>
  <si>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</si>
  <si>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</si>
  <si>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</si>
  <si>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</si>
  <si>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</si>
  <si>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</si>
  <si>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</si>
  <si>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</si>
  <si>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</si>
  <si>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</si>
  <si>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</si>
  <si>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</si>
  <si>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</si>
  <si>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</si>
  <si>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</si>
  <si>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</si>
  <si>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</si>
  <si>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</si>
  <si>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</si>
  <si>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</si>
  <si>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</si>
  <si>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</si>
  <si>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</si>
  <si>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</si>
  <si>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</si>
  <si>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</si>
  <si>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</si>
  <si>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</si>
  <si>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</si>
  <si>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</si>
  <si>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</si>
  <si>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</si>
  <si>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</si>
  <si>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</si>
  <si>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</si>
  <si>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</si>
  <si>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</si>
  <si>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</si>
  <si>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</si>
  <si>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</si>
  <si>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</si>
  <si>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</si>
  <si>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</si>
  <si>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</si>
  <si>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</si>
  <si>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</si>
  <si>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成新度</t>
  </si>
  <si>
    <t>无</t>
  </si>
  <si>
    <t>否</t>
  </si>
  <si>
    <t>现房</t>
  </si>
  <si>
    <t>是</t>
  </si>
  <si>
    <t>地上</t>
  </si>
  <si>
    <t>底商</t>
  </si>
  <si>
    <t>押一</t>
  </si>
  <si>
    <t>钢混</t>
  </si>
  <si>
    <t>非生产用房</t>
  </si>
  <si>
    <t>自定义容积率</t>
  </si>
  <si>
    <t>不临65条商业街</t>
  </si>
  <si>
    <t>与级别开发程度一致</t>
  </si>
  <si>
    <t>通路</t>
  </si>
  <si>
    <t>通电</t>
  </si>
  <si>
    <t>通讯</t>
  </si>
  <si>
    <t>通上水</t>
  </si>
  <si>
    <t>通下水</t>
  </si>
  <si>
    <t>平整</t>
  </si>
  <si>
    <t>较好</t>
  </si>
  <si>
    <t>一般</t>
  </si>
  <si>
    <t>未包含在土地购买价格中</t>
  </si>
  <si>
    <t>全部缴纳</t>
  </si>
  <si>
    <t>已包含在土地取得成本中</t>
  </si>
  <si>
    <t>楼面单价</t>
  </si>
  <si>
    <t>成本比率</t>
  </si>
  <si>
    <t>单套模式</t>
  </si>
  <si>
    <t>售价</t>
  </si>
  <si>
    <t>正常</t>
  </si>
  <si>
    <t>商业</t>
    <phoneticPr fontId="30" type="noConversion"/>
  </si>
  <si>
    <t>报价</t>
  </si>
  <si>
    <t>报价</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</si>
  <si>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</si>
  <si>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</si>
  <si>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</si>
  <si>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</si>
  <si>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</si>
  <si>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</si>
  <si>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</si>
  <si>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</si>
  <si>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</si>
  <si>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</si>
  <si>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</si>
  <si>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</si>
  <si>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</si>
  <si>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</si>
  <si>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</si>
  <si>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</si>
  <si>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</si>
  <si>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标准层高</t>
  </si>
  <si>
    <t>标准层高</t>
    <phoneticPr fontId="30" type="noConversion"/>
  </si>
  <si>
    <t>可餐饮</t>
  </si>
  <si>
    <t>可餐饮</t>
    <phoneticPr fontId="30" type="noConversion"/>
  </si>
  <si>
    <t>不可餐饮</t>
  </si>
  <si>
    <t>不可餐饮</t>
    <phoneticPr fontId="30" type="noConversion"/>
  </si>
  <si>
    <t>七通</t>
  </si>
  <si>
    <t>七通</t>
    <phoneticPr fontId="30" type="noConversion"/>
  </si>
  <si>
    <t>六通</t>
    <phoneticPr fontId="30" type="noConversion"/>
  </si>
  <si>
    <t>五通</t>
    <phoneticPr fontId="30" type="noConversion"/>
  </si>
  <si>
    <t>1层</t>
  </si>
  <si>
    <t>建成年代</t>
    <phoneticPr fontId="30" type="noConversion"/>
  </si>
  <si>
    <t>10号楼</t>
    <phoneticPr fontId="3" type="noConversion"/>
  </si>
  <si>
    <t>2012-2013</t>
    <phoneticPr fontId="30" type="noConversion"/>
  </si>
  <si>
    <t>临街</t>
  </si>
  <si>
    <t>1层商业</t>
  </si>
  <si>
    <t>霄云中心</t>
    <phoneticPr fontId="3" type="noConversion"/>
  </si>
  <si>
    <t>丽都水岸</t>
    <phoneticPr fontId="3" type="noConversion"/>
  </si>
  <si>
    <t>亮马水晶</t>
    <phoneticPr fontId="3" type="noConversion"/>
  </si>
  <si>
    <t>环线位置</t>
    <phoneticPr fontId="30" type="noConversion"/>
  </si>
  <si>
    <r>
      <rPr>
        <sz val="11"/>
        <rFont val="宋体"/>
        <family val="3"/>
        <charset val="134"/>
      </rPr>
      <t>三环</t>
    </r>
    <r>
      <rPr>
        <sz val="11"/>
        <rFont val="Arial"/>
        <family val="2"/>
      </rPr>
      <t>-</t>
    </r>
    <r>
      <rPr>
        <sz val="11"/>
        <rFont val="宋体"/>
        <family val="3"/>
        <charset val="134"/>
      </rPr>
      <t>四环</t>
    </r>
    <phoneticPr fontId="30" type="noConversion"/>
  </si>
  <si>
    <t>太阳公元北区</t>
    <phoneticPr fontId="3" type="noConversion"/>
  </si>
  <si>
    <r>
      <rPr>
        <sz val="11"/>
        <rFont val="宋体"/>
        <family val="3"/>
        <charset val="134"/>
      </rPr>
      <t>四环</t>
    </r>
    <r>
      <rPr>
        <sz val="11"/>
        <rFont val="Arial"/>
        <family val="2"/>
      </rPr>
      <t>-</t>
    </r>
    <r>
      <rPr>
        <sz val="11"/>
        <rFont val="宋体"/>
        <family val="3"/>
        <charset val="134"/>
      </rPr>
      <t>五环</t>
    </r>
    <phoneticPr fontId="30" type="noConversion"/>
  </si>
  <si>
    <t>2005-2007</t>
    <phoneticPr fontId="30" type="noConversion"/>
  </si>
  <si>
    <t>临街</t>
    <phoneticPr fontId="30" type="noConversion"/>
  </si>
  <si>
    <t>不临街</t>
  </si>
  <si>
    <t>不临街</t>
    <phoneticPr fontId="30" type="noConversion"/>
  </si>
  <si>
    <t>外铺（较好）</t>
    <phoneticPr fontId="30" type="noConversion"/>
  </si>
  <si>
    <t>内铺（一般）</t>
    <phoneticPr fontId="30" type="noConversion"/>
  </si>
  <si>
    <t>内铺（一般）</t>
    <phoneticPr fontId="30" type="noConversion"/>
  </si>
  <si>
    <t>外铺（较好）</t>
    <phoneticPr fontId="30" type="noConversion"/>
  </si>
  <si>
    <t>房山区阎村镇焦庄村西大件路北侧1号楼2层商业用房</t>
    <phoneticPr fontId="6" type="noConversion"/>
  </si>
  <si>
    <t>企业</t>
  </si>
  <si>
    <t>综合项目（商业、办公）</t>
  </si>
  <si>
    <t>酒店</t>
  </si>
  <si>
    <t>2层商业-酒店</t>
  </si>
  <si>
    <t>2层商业-酒店</t>
    <phoneticPr fontId="7" type="noConversion"/>
  </si>
  <si>
    <t>宗地面积</t>
    <phoneticPr fontId="3" type="noConversion"/>
  </si>
  <si>
    <r>
      <t>1</t>
    </r>
    <r>
      <rPr>
        <sz val="10"/>
        <color indexed="8"/>
        <rFont val="宋体"/>
        <family val="3"/>
        <charset val="134"/>
      </rPr>
      <t>层建面</t>
    </r>
    <phoneticPr fontId="3" type="noConversion"/>
  </si>
  <si>
    <r>
      <t>3</t>
    </r>
    <r>
      <rPr>
        <sz val="10"/>
        <color indexed="8"/>
        <rFont val="宋体"/>
        <family val="3"/>
        <charset val="134"/>
      </rPr>
      <t>层建面</t>
    </r>
    <phoneticPr fontId="3" type="noConversion"/>
  </si>
  <si>
    <t>总建面</t>
    <phoneticPr fontId="3" type="noConversion"/>
  </si>
  <si>
    <t>容积率</t>
    <phoneticPr fontId="3" type="noConversion"/>
  </si>
  <si>
    <t>直线</t>
    <phoneticPr fontId="3" type="noConversion"/>
  </si>
  <si>
    <t>观察</t>
    <phoneticPr fontId="3" type="noConversion"/>
  </si>
  <si>
    <t>综合</t>
    <phoneticPr fontId="3" type="noConversion"/>
  </si>
  <si>
    <t>混合结构</t>
    <phoneticPr fontId="3" type="noConversion"/>
  </si>
  <si>
    <t>楼层</t>
    <phoneticPr fontId="3" type="noConversion"/>
  </si>
  <si>
    <t>系数</t>
    <phoneticPr fontId="3" type="noConversion"/>
  </si>
  <si>
    <t>租金</t>
    <phoneticPr fontId="3" type="noConversion"/>
  </si>
  <si>
    <t>收益法</t>
  </si>
  <si>
    <t>砖混</t>
  </si>
  <si>
    <t>商务金融用地</t>
  </si>
  <si>
    <t>中心城区以外</t>
  </si>
  <si>
    <t>容积率修正</t>
  </si>
  <si>
    <t>较差</t>
  </si>
  <si>
    <t>标准房</t>
    <phoneticPr fontId="3" type="noConversion"/>
  </si>
  <si>
    <t>总建筑面积</t>
    <phoneticPr fontId="134" type="noConversion"/>
  </si>
  <si>
    <t>估价对象</t>
    <phoneticPr fontId="134" type="noConversion"/>
  </si>
  <si>
    <t>年总收入</t>
    <phoneticPr fontId="134" type="noConversion"/>
  </si>
  <si>
    <t>2021年</t>
    <phoneticPr fontId="134" type="noConversion"/>
  </si>
  <si>
    <t>项目年总收入</t>
    <phoneticPr fontId="134" type="noConversion"/>
  </si>
  <si>
    <t>2022年</t>
  </si>
  <si>
    <t>2023年</t>
  </si>
  <si>
    <t>2024年</t>
  </si>
  <si>
    <t>成本法</t>
  </si>
  <si>
    <t>收益法-酒店模型</t>
  </si>
  <si>
    <t>阎村镇</t>
    <phoneticPr fontId="3" type="noConversion"/>
  </si>
  <si>
    <t>周边1层商业租金</t>
    <phoneticPr fontId="3" type="noConversion"/>
  </si>
  <si>
    <t>地块名称</t>
  </si>
  <si>
    <t>城市</t>
  </si>
  <si>
    <t>区县</t>
  </si>
  <si>
    <t>地块编号</t>
  </si>
  <si>
    <t>建设用地面积(㎡)</t>
  </si>
  <si>
    <t>规划建筑面积(㎡)</t>
  </si>
  <si>
    <t>用地性质</t>
  </si>
  <si>
    <t>详细规划</t>
  </si>
  <si>
    <t>出让年限(年)</t>
  </si>
  <si>
    <t>容积率</t>
  </si>
  <si>
    <t>商业比例(%)</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</si>
  <si>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</si>
  <si>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</si>
  <si>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</si>
  <si>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</si>
  <si>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</si>
  <si>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</si>
  <si>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</si>
  <si>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</si>
  <si>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</si>
  <si>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</si>
  <si>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</si>
  <si>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政府指导价(元/㎡)</t>
  </si>
  <si>
    <t>基准地价</t>
  </si>
  <si>
    <t>项目名称</t>
  </si>
  <si>
    <t>北京城市副中心站综合交通枢纽地区 FZX-0101-03单元FZX-0101-0306、 0307(2)、0309地块 F3其他类多功能用地</t>
  </si>
  <si>
    <t>通州区</t>
  </si>
  <si>
    <t>京土储挂(通)[2025]008号</t>
  </si>
  <si>
    <t>商业/办公用地</t>
  </si>
  <si>
    <t>F3其他类多功能用地</t>
  </si>
  <si>
    <t>商业40 年,办公50 年</t>
  </si>
  <si>
    <t>0306:1.4, 0307(2):2.6,0309:7.5</t>
  </si>
  <si>
    <t/>
  </si>
  <si>
    <t>挂牌</t>
  </si>
  <si>
    <t>2025-03-03</t>
  </si>
  <si>
    <t>已成交</t>
  </si>
  <si>
    <t>北京市基础设施投资有限公司</t>
  </si>
  <si>
    <t>11490元/㎡(六级办公用途2021-01-01)</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</si>
  <si>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</si>
  <si>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</si>
  <si>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</si>
  <si>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</si>
  <si>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</si>
  <si>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顺义区</t>
  </si>
  <si>
    <t>B1商业用地</t>
  </si>
  <si>
    <t>商业 40 年</t>
  </si>
  <si>
    <t>1.50</t>
  </si>
  <si>
    <t>2025-02-26</t>
  </si>
  <si>
    <t>北京国泰东风商城有限公司</t>
  </si>
  <si>
    <t>8580元/㎡(七级办公用途2021-01-01)</t>
  </si>
  <si>
    <t>北京城市副中心站综合交通枢纽地区 FZX-0101-03单元FZX-0101-0307 (3)地块F3其他类多功能用地</t>
  </si>
  <si>
    <t>京土储挂(通)[2025]003号</t>
  </si>
  <si>
    <t>2.40</t>
  </si>
  <si>
    <t>2025-02-25</t>
  </si>
  <si>
    <t>北京水务投资集团有限公司</t>
  </si>
  <si>
    <t>大兴区榆垡镇DX09-1301-6401等地块F81集体产业用地</t>
  </si>
  <si>
    <t>大兴区</t>
  </si>
  <si>
    <t>京规自集使挂(兴)[2024]003号</t>
  </si>
  <si>
    <t>F81集体产业用地</t>
  </si>
  <si>
    <t>1</t>
  </si>
  <si>
    <t>2025-01-22</t>
  </si>
  <si>
    <t>北京绿野晴川动物园有限公司</t>
  </si>
  <si>
    <t>4860元/㎡(九级办公用途2021-01-01)</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</si>
  <si>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</si>
  <si>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</si>
  <si>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</si>
  <si>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</si>
  <si>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</si>
  <si>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</si>
  <si>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</si>
  <si>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</si>
  <si>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</si>
  <si>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</si>
  <si>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</si>
  <si>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</si>
  <si>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</si>
  <si>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</si>
  <si>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</si>
  <si>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</si>
  <si>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</si>
  <si>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</si>
  <si>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</si>
  <si>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</si>
  <si>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</si>
  <si>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</si>
  <si>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</si>
  <si>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</si>
  <si>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</si>
  <si>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</si>
  <si>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</si>
  <si>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</si>
  <si>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</si>
  <si>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</si>
  <si>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</si>
  <si>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</si>
  <si>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</si>
  <si>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</si>
  <si>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</si>
  <si>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14980元/㎡(五级办公用途2021-01-01)</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</si>
  <si>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</si>
  <si>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</si>
  <si>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</si>
  <si>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</si>
  <si>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</si>
  <si>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</si>
  <si>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</si>
  <si>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</si>
  <si>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居住70年、商业40年、办公50年</t>
  </si>
  <si>
    <t>0146容积率3.82、0148容积率2.75</t>
  </si>
  <si>
    <t>2023-07-07</t>
  </si>
  <si>
    <t>北京市房山区窦店镇高端制造业基地06街区01地块FS00-DD06-0018、0019、0023、0024地块F3其他类多功能用地</t>
  </si>
  <si>
    <t>房山区</t>
  </si>
  <si>
    <t>商业40年办公50年</t>
  </si>
  <si>
    <t>fs00-dd06-0018、0019容积率1.6;0023、0024容积率2.5</t>
  </si>
  <si>
    <t>2023-06-12</t>
  </si>
  <si>
    <t>北京京东方医院有限公司</t>
  </si>
  <si>
    <t>3340元/㎡(十级办公用途2021-01-01)</t>
  </si>
  <si>
    <t>北京市通州区永顺镇0401街区 46号地块(西马庄收储) B4综合性商业金融服务业用地</t>
  </si>
  <si>
    <t>京土储挂(通)〔2023〕004号</t>
  </si>
  <si>
    <t>B4综合性商业金融服务业用地</t>
  </si>
  <si>
    <t>商业 40 年、办公 50 年</t>
  </si>
  <si>
    <t>≤2.8</t>
  </si>
  <si>
    <t>2023-04-14</t>
  </si>
  <si>
    <t>北京易创通景信息科技有限公司</t>
  </si>
  <si>
    <t>大兴区西红门镇集体经营性建设用地2号地2-002A地块</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</si>
  <si>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</si>
  <si>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</si>
  <si>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</si>
  <si>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</si>
  <si>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</si>
  <si>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</si>
  <si>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</si>
  <si>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商业40年</t>
  </si>
  <si>
    <t>≤0.4</t>
  </si>
  <si>
    <t>2023-01-19</t>
  </si>
  <si>
    <t>空气(北京)氢能科技有限公司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</si>
  <si>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</si>
  <si>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</si>
  <si>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</si>
  <si>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</si>
  <si>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</si>
  <si>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</si>
  <si>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</si>
  <si>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</si>
  <si>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</si>
  <si>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</si>
  <si>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</si>
  <si>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</si>
  <si>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</si>
  <si>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</si>
  <si>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</si>
  <si>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</si>
  <si>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</si>
  <si>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</si>
  <si>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</si>
  <si>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</si>
  <si>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</si>
  <si>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</si>
  <si>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</si>
  <si>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</si>
  <si>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</si>
  <si>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航城大厦</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</si>
  <si>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</si>
  <si>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</si>
  <si>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</si>
  <si>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</si>
  <si>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</si>
  <si>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京土整储挂(开)[2021]099号</t>
  </si>
  <si>
    <t>3</t>
  </si>
  <si>
    <t>2022-02-08</t>
  </si>
  <si>
    <t>中国太平洋人寿保险股份有限公司</t>
  </si>
  <si>
    <t>北京城市副中心0101街区FZX-0101-0902地块F3其他类多功能用地</t>
  </si>
  <si>
    <t>京土整储挂(通)[2021]096号</t>
  </si>
  <si>
    <t>2022-01-05</t>
  </si>
  <si>
    <t>华夏银行股份有限公司</t>
  </si>
  <si>
    <t>北京市大兴区黄村镇DX00-0201-6001地块B14旅馆用地</t>
  </si>
  <si>
    <t>京土整储挂(兴)[2021]089号</t>
  </si>
  <si>
    <t>B14旅馆用地</t>
  </si>
  <si>
    <t>2021年第3批次</t>
  </si>
  <si>
    <t>2021-12-24</t>
  </si>
  <si>
    <t>北京大兴宾馆有限责任公司</t>
  </si>
  <si>
    <t>北京市通州区张家湾车辆段综合利用供地项目FZX-1202-0079-02(上盖区)、FZX-1202-0079-03(落地区)、FZX-1202-0079-04(落地区)地块F3其他类多功能用地</t>
  </si>
  <si>
    <t>京土整储挂(通)[2021] 077号</t>
  </si>
  <si>
    <t>2021-10-26</t>
  </si>
  <si>
    <t>北京市基础设施投资有限公司 、北京首都旅游集团有限责任公司 、北京城建集团有限责任公司</t>
  </si>
  <si>
    <t>北京城市副中心FZX-0902-0229、0230地块</t>
  </si>
  <si>
    <t>京土整储挂(通)[2021]032号</t>
  </si>
  <si>
    <t>B2商务用地</t>
  </si>
  <si>
    <t>商业40年 办公50年</t>
  </si>
  <si>
    <t>≤3.1</t>
  </si>
  <si>
    <t>2021-05-19</t>
  </si>
  <si>
    <t>北京城市副中心12组团西北部</t>
  </si>
  <si>
    <t>京土整储挂(通)[2021]001号</t>
  </si>
  <si>
    <t>≤2.15</t>
  </si>
  <si>
    <t>2021-02-07</t>
  </si>
  <si>
    <t>北京公联鼎成交通枢纽建设发展有限公司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</si>
  <si>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</si>
  <si>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</si>
  <si>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</si>
  <si>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</si>
  <si>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</si>
  <si>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综合</t>
  </si>
  <si>
    <t>综合</t>
    <phoneticPr fontId="30" type="noConversion"/>
  </si>
  <si>
    <t>京土储挂(顺)[2025]005号</t>
    <phoneticPr fontId="134" type="noConversion"/>
  </si>
  <si>
    <t>B1商业用地</t>
    <phoneticPr fontId="134" type="noConversion"/>
  </si>
  <si>
    <t>B1商业用地</t>
    <phoneticPr fontId="30" type="noConversion"/>
  </si>
  <si>
    <t>规则</t>
  </si>
  <si>
    <t>规则</t>
    <phoneticPr fontId="30" type="noConversion"/>
  </si>
  <si>
    <t>较规则</t>
  </si>
  <si>
    <t>较规则</t>
    <phoneticPr fontId="30" type="noConversion"/>
  </si>
  <si>
    <t>较不规则</t>
    <phoneticPr fontId="30" type="noConversion"/>
  </si>
  <si>
    <t>不规则</t>
    <phoneticPr fontId="30" type="noConversion"/>
  </si>
  <si>
    <t>较合适</t>
  </si>
  <si>
    <t>较合适</t>
    <phoneticPr fontId="30" type="noConversion"/>
  </si>
  <si>
    <t>七通</t>
    <phoneticPr fontId="30" type="noConversion"/>
  </si>
  <si>
    <t>六通</t>
  </si>
  <si>
    <t>六通</t>
    <phoneticPr fontId="30" type="noConversion"/>
  </si>
  <si>
    <t>五通</t>
  </si>
  <si>
    <t>五通</t>
    <phoneticPr fontId="30" type="noConversion"/>
  </si>
  <si>
    <t>四通</t>
    <phoneticPr fontId="30" type="noConversion"/>
  </si>
  <si>
    <t>临时三通</t>
    <phoneticPr fontId="30" type="noConversion"/>
  </si>
  <si>
    <t>较好</t>
    <phoneticPr fontId="30" type="noConversion"/>
  </si>
  <si>
    <t>F3其他类多功能用地</t>
    <phoneticPr fontId="134" type="noConversion"/>
  </si>
  <si>
    <t>F3其他类多功能用地</t>
    <phoneticPr fontId="30" type="noConversion"/>
  </si>
  <si>
    <t>全部自持，满年限</t>
    <phoneticPr fontId="30" type="noConversion"/>
  </si>
  <si>
    <t>京土储挂(兴临空)〔2024〕030号</t>
    <phoneticPr fontId="134" type="noConversion"/>
  </si>
  <si>
    <t>部分自持，满年限</t>
  </si>
  <si>
    <t>部分自持，满年限</t>
    <phoneticPr fontId="30" type="noConversion"/>
  </si>
  <si>
    <t>自持情况</t>
    <phoneticPr fontId="30" type="noConversion"/>
  </si>
  <si>
    <t>无自持要求</t>
  </si>
  <si>
    <t>无自持要求</t>
    <phoneticPr fontId="30" type="noConversion"/>
  </si>
  <si>
    <t>京土储挂(房)[2023]013号</t>
    <phoneticPr fontId="134" type="noConversion"/>
  </si>
  <si>
    <t>https://j.map.baidu.com/6e/UJTk</t>
    <phoneticPr fontId="134" type="noConversion"/>
  </si>
  <si>
    <t>年期修正系数</t>
    <phoneticPr fontId="134" type="noConversion"/>
  </si>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</sst>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14" fontId="47" fillId="12" borderId="0" xfId="0" applyNumberFormat="1" applyFont="1" applyFill="1" applyAlignment="1" applyProtection="1">
      <alignment vertical="center"/>
      <protection locked="0"/>
    </xf>
    <xf numFmtId="179" fontId="53" fillId="7" borderId="0" xfId="0" applyNumberFormat="1"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79" fontId="44" fillId="0" borderId="23" xfId="0" applyNumberFormat="1" applyFont="1" applyFill="1" applyBorder="1" applyAlignment="1" applyProtection="1">
      <alignment horizontal="center" vertical="center"/>
      <protection locked="0"/>
    </xf>
    <xf numFmtId="181" fontId="47" fillId="12" borderId="0" xfId="0" applyNumberFormat="1" applyFont="1" applyFill="1" applyAlignment="1" applyProtection="1">
      <alignment vertical="center"/>
      <protection locked="0"/>
    </xf>
    <xf numFmtId="0" fontId="51" fillId="12" borderId="0" xfId="0" applyFont="1" applyFill="1" applyAlignment="1" applyProtection="1">
      <alignment horizontal="right" vertical="center"/>
      <protection locked="0"/>
    </xf>
    <xf numFmtId="0" fontId="51" fillId="12" borderId="0" xfId="0" applyNumberFormat="1"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3" fontId="47" fillId="0" borderId="1" xfId="0" applyNumberFormat="1" applyFont="1" applyBorder="1" applyAlignment="1" applyProtection="1">
      <alignment horizontal="center" vertical="center" shrinkToFi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79" fontId="44" fillId="0" borderId="2" xfId="0" applyNumberFormat="1" applyFont="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57" fontId="47" fillId="7" borderId="0" xfId="0" applyNumberFormat="1" applyFont="1" applyFill="1" applyProtection="1">
      <alignment vertical="center"/>
      <protection locked="0"/>
    </xf>
    <xf numFmtId="0" fontId="19" fillId="0" borderId="0" xfId="4" applyFont="1" applyAlignment="1" applyProtection="1">
      <alignment horizontal="left" vertical="center"/>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07" fillId="5" borderId="0" xfId="0" applyNumberFormat="1" applyFont="1" applyFill="1" applyAlignment="1">
      <alignment horizontal="left" vertical="center"/>
    </xf>
    <xf numFmtId="0" fontId="94" fillId="0" borderId="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272" fillId="0" borderId="0" xfId="19" applyNumberFormat="1" applyAlignment="1">
      <alignment horizontal="left" vertical="center"/>
    </xf>
    <xf numFmtId="0" fontId="273" fillId="5" borderId="0" xfId="0" applyNumberFormat="1" applyFont="1" applyFill="1" applyAlignment="1">
      <alignment horizontal="left" vertical="center"/>
    </xf>
    <xf numFmtId="0" fontId="70" fillId="21" borderId="20" xfId="0" applyFont="1" applyFill="1" applyBorder="1" applyAlignment="1" applyProtection="1">
      <alignment vertical="center" wrapText="1"/>
      <protection locked="0"/>
    </xf>
    <xf numFmtId="0" fontId="70" fillId="21" borderId="51" xfId="0" applyFont="1" applyFill="1" applyBorder="1" applyAlignment="1" applyProtection="1">
      <alignment vertical="center" wrapText="1"/>
      <protection locked="0"/>
    </xf>
    <xf numFmtId="0" fontId="44" fillId="21" borderId="24" xfId="0" applyNumberFormat="1"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69</xdr:row>
      <xdr:rowOff>0</xdr:rowOff>
    </xdr:from>
    <xdr:to>
      <xdr:col>19</xdr:col>
      <xdr:colOff>770103</xdr:colOff>
      <xdr:row>99</xdr:row>
      <xdr:rowOff>151810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0"/>
          <a:ext cx="11380953" cy="4723810"/>
        </a:xfrm>
        <a:prstGeom prst="rect">
          <a:avLst/>
        </a:prstGeom>
      </xdr:spPr>
    </xdr:pic>
    <xdr:clientData/>
  </xdr:twoCellAnchor>
  <xdr:twoCellAnchor editAs="oneCell">
    <xdr:from>
      <xdr:col>0</xdr:col>
      <xdr:colOff>0</xdr:colOff>
      <xdr:row>100</xdr:row>
      <xdr:rowOff>0</xdr:rowOff>
    </xdr:from>
    <xdr:to>
      <xdr:col>19</xdr:col>
      <xdr:colOff>608198</xdr:colOff>
      <xdr:row>135</xdr:row>
      <xdr:rowOff>85048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392400"/>
          <a:ext cx="11219048" cy="5419048"/>
        </a:xfrm>
        <a:prstGeom prst="rect">
          <a:avLst/>
        </a:prstGeom>
      </xdr:spPr>
    </xdr:pic>
    <xdr:clientData/>
  </xdr:twoCellAnchor>
  <xdr:twoCellAnchor editAs="oneCell">
    <xdr:from>
      <xdr:col>0</xdr:col>
      <xdr:colOff>0</xdr:colOff>
      <xdr:row>136</xdr:row>
      <xdr:rowOff>0</xdr:rowOff>
    </xdr:from>
    <xdr:to>
      <xdr:col>18</xdr:col>
      <xdr:colOff>417804</xdr:colOff>
      <xdr:row>152</xdr:row>
      <xdr:rowOff>56838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878800"/>
          <a:ext cx="10371429" cy="2495238"/>
        </a:xfrm>
        <a:prstGeom prst="rect">
          <a:avLst/>
        </a:prstGeom>
      </xdr:spPr>
    </xdr:pic>
    <xdr:clientData/>
  </xdr:twoCellAnchor>
  <xdr:twoCellAnchor editAs="oneCell">
    <xdr:from>
      <xdr:col>0</xdr:col>
      <xdr:colOff>0</xdr:colOff>
      <xdr:row>153</xdr:row>
      <xdr:rowOff>0</xdr:rowOff>
    </xdr:from>
    <xdr:to>
      <xdr:col>19</xdr:col>
      <xdr:colOff>674865</xdr:colOff>
      <xdr:row>178</xdr:row>
      <xdr:rowOff>104286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469600"/>
          <a:ext cx="11285715" cy="3914286"/>
        </a:xfrm>
        <a:prstGeom prst="rect">
          <a:avLst/>
        </a:prstGeom>
      </xdr:spPr>
    </xdr:pic>
    <xdr:clientData/>
  </xdr:twoCellAnchor>
  <xdr:twoCellAnchor editAs="oneCell">
    <xdr:from>
      <xdr:col>0</xdr:col>
      <xdr:colOff>0</xdr:colOff>
      <xdr:row>180</xdr:row>
      <xdr:rowOff>0</xdr:rowOff>
    </xdr:from>
    <xdr:to>
      <xdr:col>21</xdr:col>
      <xdr:colOff>103337</xdr:colOff>
      <xdr:row>211</xdr:row>
      <xdr:rowOff>47029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69600"/>
          <a:ext cx="11514287" cy="4771429"/>
        </a:xfrm>
        <a:prstGeom prst="rect">
          <a:avLst/>
        </a:prstGeom>
      </xdr:spPr>
    </xdr:pic>
    <xdr:clientData/>
  </xdr:twoCellAnchor>
  <xdr:twoCellAnchor editAs="oneCell">
    <xdr:from>
      <xdr:col>0</xdr:col>
      <xdr:colOff>0</xdr:colOff>
      <xdr:row>212</xdr:row>
      <xdr:rowOff>0</xdr:rowOff>
    </xdr:from>
    <xdr:to>
      <xdr:col>19</xdr:col>
      <xdr:colOff>665341</xdr:colOff>
      <xdr:row>247</xdr:row>
      <xdr:rowOff>104096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346400"/>
          <a:ext cx="11276191" cy="5438096"/>
        </a:xfrm>
        <a:prstGeom prst="rect">
          <a:avLst/>
        </a:prstGeom>
      </xdr:spPr>
    </xdr:pic>
    <xdr:clientData/>
  </xdr:twoCellAnchor>
  <xdr:twoCellAnchor editAs="oneCell">
    <xdr:from>
      <xdr:col>0</xdr:col>
      <xdr:colOff>0</xdr:colOff>
      <xdr:row>248</xdr:row>
      <xdr:rowOff>0</xdr:rowOff>
    </xdr:from>
    <xdr:to>
      <xdr:col>19</xdr:col>
      <xdr:colOff>627246</xdr:colOff>
      <xdr:row>278</xdr:row>
      <xdr:rowOff>94667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3832800"/>
          <a:ext cx="11238096" cy="4666667"/>
        </a:xfrm>
        <a:prstGeom prst="rect">
          <a:avLst/>
        </a:prstGeom>
      </xdr:spPr>
    </xdr:pic>
    <xdr:clientData/>
  </xdr:twoCellAnchor>
  <xdr:twoCellAnchor editAs="oneCell">
    <xdr:from>
      <xdr:col>0</xdr:col>
      <xdr:colOff>0</xdr:colOff>
      <xdr:row>279</xdr:row>
      <xdr:rowOff>0</xdr:rowOff>
    </xdr:from>
    <xdr:to>
      <xdr:col>19</xdr:col>
      <xdr:colOff>712960</xdr:colOff>
      <xdr:row>304</xdr:row>
      <xdr:rowOff>56667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8557200"/>
          <a:ext cx="11323810" cy="3866667"/>
        </a:xfrm>
        <a:prstGeom prst="rect">
          <a:avLst/>
        </a:prstGeom>
      </xdr:spPr>
    </xdr:pic>
    <xdr:clientData/>
  </xdr:twoCellAnchor>
  <xdr:twoCellAnchor editAs="oneCell">
    <xdr:from>
      <xdr:col>0</xdr:col>
      <xdr:colOff>0</xdr:colOff>
      <xdr:row>305</xdr:row>
      <xdr:rowOff>0</xdr:rowOff>
    </xdr:from>
    <xdr:to>
      <xdr:col>21</xdr:col>
      <xdr:colOff>112860</xdr:colOff>
      <xdr:row>336</xdr:row>
      <xdr:rowOff>113696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2519600"/>
          <a:ext cx="11523810" cy="4838096"/>
        </a:xfrm>
        <a:prstGeom prst="rect">
          <a:avLst/>
        </a:prstGeom>
      </xdr:spPr>
    </xdr:pic>
    <xdr:clientData/>
  </xdr:twoCellAnchor>
  <xdr:twoCellAnchor editAs="oneCell">
    <xdr:from>
      <xdr:col>0</xdr:col>
      <xdr:colOff>0</xdr:colOff>
      <xdr:row>337</xdr:row>
      <xdr:rowOff>0</xdr:rowOff>
    </xdr:from>
    <xdr:to>
      <xdr:col>19</xdr:col>
      <xdr:colOff>693913</xdr:colOff>
      <xdr:row>370</xdr:row>
      <xdr:rowOff>75562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7396400"/>
          <a:ext cx="11304763" cy="5104762"/>
        </a:xfrm>
        <a:prstGeom prst="rect">
          <a:avLst/>
        </a:prstGeom>
      </xdr:spPr>
    </xdr:pic>
    <xdr:clientData/>
  </xdr:twoCellAnchor>
  <xdr:twoCellAnchor editAs="oneCell">
    <xdr:from>
      <xdr:col>0</xdr:col>
      <xdr:colOff>0</xdr:colOff>
      <xdr:row>371</xdr:row>
      <xdr:rowOff>0</xdr:rowOff>
    </xdr:from>
    <xdr:to>
      <xdr:col>19</xdr:col>
      <xdr:colOff>293913</xdr:colOff>
      <xdr:row>401</xdr:row>
      <xdr:rowOff>104191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2578000"/>
          <a:ext cx="10904763" cy="4676191"/>
        </a:xfrm>
        <a:prstGeom prst="rect">
          <a:avLst/>
        </a:prstGeom>
      </xdr:spPr>
    </xdr:pic>
    <xdr:clientData/>
  </xdr:twoCellAnchor>
  <xdr:twoCellAnchor editAs="oneCell">
    <xdr:from>
      <xdr:col>0</xdr:col>
      <xdr:colOff>0</xdr:colOff>
      <xdr:row>402</xdr:row>
      <xdr:rowOff>0</xdr:rowOff>
    </xdr:from>
    <xdr:to>
      <xdr:col>19</xdr:col>
      <xdr:colOff>579627</xdr:colOff>
      <xdr:row>427</xdr:row>
      <xdr:rowOff>56667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302400"/>
          <a:ext cx="11190477" cy="3866667"/>
        </a:xfrm>
        <a:prstGeom prst="rect">
          <a:avLst/>
        </a:prstGeom>
      </xdr:spPr>
    </xdr:pic>
    <xdr:clientData/>
  </xdr:twoCellAnchor>
  <xdr:twoCellAnchor editAs="oneCell">
    <xdr:from>
      <xdr:col>0</xdr:col>
      <xdr:colOff>0</xdr:colOff>
      <xdr:row>34</xdr:row>
      <xdr:rowOff>142875</xdr:rowOff>
    </xdr:from>
    <xdr:to>
      <xdr:col>13</xdr:col>
      <xdr:colOff>132437</xdr:colOff>
      <xdr:row>67</xdr:row>
      <xdr:rowOff>123199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62075"/>
          <a:ext cx="7304762" cy="5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10</xdr:col>
      <xdr:colOff>646714</xdr:colOff>
      <xdr:row>17</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7504714" cy="2781300"/>
        </a:xfrm>
        <a:prstGeom prst="rect">
          <a:avLst/>
        </a:prstGeom>
      </xdr:spPr>
    </xdr:pic>
    <xdr:clientData/>
  </xdr:twoCellAnchor>
  <xdr:twoCellAnchor editAs="oneCell">
    <xdr:from>
      <xdr:col>10</xdr:col>
      <xdr:colOff>671855</xdr:colOff>
      <xdr:row>1</xdr:row>
      <xdr:rowOff>9526</xdr:rowOff>
    </xdr:from>
    <xdr:to>
      <xdr:col>17</xdr:col>
      <xdr:colOff>152400</xdr:colOff>
      <xdr:row>19</xdr:row>
      <xdr:rowOff>123826</xdr:rowOff>
    </xdr:to>
    <xdr:pic>
      <xdr:nvPicPr>
        <xdr:cNvPr id="3" name="图片 2"/>
        <xdr:cNvPicPr>
          <a:picLocks noChangeAspect="1"/>
        </xdr:cNvPicPr>
      </xdr:nvPicPr>
      <xdr:blipFill>
        <a:blip xmlns:r="http://schemas.openxmlformats.org/officeDocument/2006/relationships" r:embed="rId2"/>
        <a:stretch>
          <a:fillRect/>
        </a:stretch>
      </xdr:blipFill>
      <xdr:spPr>
        <a:xfrm>
          <a:off x="7529855" y="180976"/>
          <a:ext cx="4281145" cy="3200400"/>
        </a:xfrm>
        <a:prstGeom prst="rect">
          <a:avLst/>
        </a:prstGeom>
      </xdr:spPr>
    </xdr:pic>
    <xdr:clientData/>
  </xdr:twoCellAnchor>
  <xdr:twoCellAnchor editAs="oneCell">
    <xdr:from>
      <xdr:col>0</xdr:col>
      <xdr:colOff>0</xdr:colOff>
      <xdr:row>18</xdr:row>
      <xdr:rowOff>1</xdr:rowOff>
    </xdr:from>
    <xdr:to>
      <xdr:col>10</xdr:col>
      <xdr:colOff>76200</xdr:colOff>
      <xdr:row>42</xdr:row>
      <xdr:rowOff>57793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1"/>
          <a:ext cx="6934200" cy="4172592"/>
        </a:xfrm>
        <a:prstGeom prst="rect">
          <a:avLst/>
        </a:prstGeom>
      </xdr:spPr>
    </xdr:pic>
    <xdr:clientData/>
  </xdr:twoCellAnchor>
  <xdr:twoCellAnchor editAs="oneCell">
    <xdr:from>
      <xdr:col>0</xdr:col>
      <xdr:colOff>0</xdr:colOff>
      <xdr:row>41</xdr:row>
      <xdr:rowOff>142875</xdr:rowOff>
    </xdr:from>
    <xdr:to>
      <xdr:col>9</xdr:col>
      <xdr:colOff>581025</xdr:colOff>
      <xdr:row>56</xdr:row>
      <xdr:rowOff>167397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172325"/>
          <a:ext cx="6753225" cy="2596272"/>
        </a:xfrm>
        <a:prstGeom prst="rect">
          <a:avLst/>
        </a:prstGeom>
      </xdr:spPr>
    </xdr:pic>
    <xdr:clientData/>
  </xdr:twoCellAnchor>
  <xdr:twoCellAnchor editAs="oneCell">
    <xdr:from>
      <xdr:col>0</xdr:col>
      <xdr:colOff>0</xdr:colOff>
      <xdr:row>56</xdr:row>
      <xdr:rowOff>142875</xdr:rowOff>
    </xdr:from>
    <xdr:to>
      <xdr:col>9</xdr:col>
      <xdr:colOff>590550</xdr:colOff>
      <xdr:row>72</xdr:row>
      <xdr:rowOff>4100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44075"/>
          <a:ext cx="6762750" cy="2604425"/>
        </a:xfrm>
        <a:prstGeom prst="rect">
          <a:avLst/>
        </a:prstGeom>
      </xdr:spPr>
    </xdr:pic>
    <xdr:clientData/>
  </xdr:twoCellAnchor>
  <xdr:twoCellAnchor editAs="oneCell">
    <xdr:from>
      <xdr:col>0</xdr:col>
      <xdr:colOff>0</xdr:colOff>
      <xdr:row>72</xdr:row>
      <xdr:rowOff>0</xdr:rowOff>
    </xdr:from>
    <xdr:to>
      <xdr:col>9</xdr:col>
      <xdr:colOff>260773</xdr:colOff>
      <xdr:row>86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6432973" cy="2495550"/>
        </a:xfrm>
        <a:prstGeom prst="rect">
          <a:avLst/>
        </a:prstGeom>
      </xdr:spPr>
    </xdr:pic>
    <xdr:clientData/>
  </xdr:twoCellAnchor>
  <xdr:twoCellAnchor editAs="oneCell">
    <xdr:from>
      <xdr:col>0</xdr:col>
      <xdr:colOff>0</xdr:colOff>
      <xdr:row>86</xdr:row>
      <xdr:rowOff>85726</xdr:rowOff>
    </xdr:from>
    <xdr:to>
      <xdr:col>9</xdr:col>
      <xdr:colOff>219075</xdr:colOff>
      <xdr:row>101</xdr:row>
      <xdr:rowOff>17917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830426"/>
          <a:ext cx="6391275" cy="2503941"/>
        </a:xfrm>
        <a:prstGeom prst="rect">
          <a:avLst/>
        </a:prstGeom>
      </xdr:spPr>
    </xdr:pic>
    <xdr:clientData/>
  </xdr:twoCellAnchor>
  <xdr:twoCellAnchor editAs="oneCell">
    <xdr:from>
      <xdr:col>0</xdr:col>
      <xdr:colOff>0</xdr:colOff>
      <xdr:row>101</xdr:row>
      <xdr:rowOff>0</xdr:rowOff>
    </xdr:from>
    <xdr:to>
      <xdr:col>9</xdr:col>
      <xdr:colOff>85856</xdr:colOff>
      <xdr:row>115</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316450"/>
          <a:ext cx="6258056" cy="2447925"/>
        </a:xfrm>
        <a:prstGeom prst="rect">
          <a:avLst/>
        </a:prstGeom>
      </xdr:spPr>
    </xdr:pic>
    <xdr:clientData/>
  </xdr:twoCellAnchor>
  <xdr:twoCellAnchor editAs="oneCell">
    <xdr:from>
      <xdr:col>0</xdr:col>
      <xdr:colOff>19051</xdr:colOff>
      <xdr:row>115</xdr:row>
      <xdr:rowOff>28575</xdr:rowOff>
    </xdr:from>
    <xdr:to>
      <xdr:col>8</xdr:col>
      <xdr:colOff>228601</xdr:colOff>
      <xdr:row>127</xdr:row>
      <xdr:rowOff>34375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9051" y="19745325"/>
          <a:ext cx="5695950" cy="2063200"/>
        </a:xfrm>
        <a:prstGeom prst="rect">
          <a:avLst/>
        </a:prstGeom>
      </xdr:spPr>
    </xdr:pic>
    <xdr:clientData/>
  </xdr:twoCellAnchor>
  <xdr:twoCellAnchor editAs="oneCell">
    <xdr:from>
      <xdr:col>0</xdr:col>
      <xdr:colOff>0</xdr:colOff>
      <xdr:row>128</xdr:row>
      <xdr:rowOff>0</xdr:rowOff>
    </xdr:from>
    <xdr:to>
      <xdr:col>12</xdr:col>
      <xdr:colOff>646591</xdr:colOff>
      <xdr:row>146</xdr:row>
      <xdr:rowOff>113900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945600"/>
          <a:ext cx="8876191" cy="3200000"/>
        </a:xfrm>
        <a:prstGeom prst="rect">
          <a:avLst/>
        </a:prstGeom>
      </xdr:spPr>
    </xdr:pic>
    <xdr:clientData/>
  </xdr:twoCellAnchor>
  <xdr:twoCellAnchor editAs="oneCell">
    <xdr:from>
      <xdr:col>0</xdr:col>
      <xdr:colOff>0</xdr:colOff>
      <xdr:row>147</xdr:row>
      <xdr:rowOff>1</xdr:rowOff>
    </xdr:from>
    <xdr:to>
      <xdr:col>9</xdr:col>
      <xdr:colOff>495300</xdr:colOff>
      <xdr:row>170</xdr:row>
      <xdr:rowOff>134001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5203151"/>
          <a:ext cx="6667500" cy="4077350"/>
        </a:xfrm>
        <a:prstGeom prst="rect">
          <a:avLst/>
        </a:prstGeom>
      </xdr:spPr>
    </xdr:pic>
    <xdr:clientData/>
  </xdr:twoCellAnchor>
  <xdr:twoCellAnchor editAs="oneCell">
    <xdr:from>
      <xdr:col>0</xdr:col>
      <xdr:colOff>0</xdr:colOff>
      <xdr:row>171</xdr:row>
      <xdr:rowOff>1</xdr:rowOff>
    </xdr:from>
    <xdr:to>
      <xdr:col>9</xdr:col>
      <xdr:colOff>100271</xdr:colOff>
      <xdr:row>193</xdr:row>
      <xdr:rowOff>76201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9317951"/>
          <a:ext cx="6272471" cy="3848100"/>
        </a:xfrm>
        <a:prstGeom prst="rect">
          <a:avLst/>
        </a:prstGeom>
      </xdr:spPr>
    </xdr:pic>
    <xdr:clientData/>
  </xdr:twoCellAnchor>
  <xdr:twoCellAnchor editAs="oneCell">
    <xdr:from>
      <xdr:col>0</xdr:col>
      <xdr:colOff>0</xdr:colOff>
      <xdr:row>194</xdr:row>
      <xdr:rowOff>0</xdr:rowOff>
    </xdr:from>
    <xdr:to>
      <xdr:col>12</xdr:col>
      <xdr:colOff>675163</xdr:colOff>
      <xdr:row>212</xdr:row>
      <xdr:rowOff>151995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3261300"/>
          <a:ext cx="8904763" cy="3238095"/>
        </a:xfrm>
        <a:prstGeom prst="rect">
          <a:avLst/>
        </a:prstGeom>
      </xdr:spPr>
    </xdr:pic>
    <xdr:clientData/>
  </xdr:twoCellAnchor>
  <xdr:twoCellAnchor editAs="oneCell">
    <xdr:from>
      <xdr:col>0</xdr:col>
      <xdr:colOff>0</xdr:colOff>
      <xdr:row>213</xdr:row>
      <xdr:rowOff>0</xdr:rowOff>
    </xdr:from>
    <xdr:to>
      <xdr:col>9</xdr:col>
      <xdr:colOff>209550</xdr:colOff>
      <xdr:row>235</xdr:row>
      <xdr:rowOff>150575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6518850"/>
          <a:ext cx="6381750" cy="3922475"/>
        </a:xfrm>
        <a:prstGeom prst="rect">
          <a:avLst/>
        </a:prstGeom>
      </xdr:spPr>
    </xdr:pic>
    <xdr:clientData/>
  </xdr:twoCellAnchor>
  <xdr:twoCellAnchor editAs="oneCell">
    <xdr:from>
      <xdr:col>0</xdr:col>
      <xdr:colOff>0</xdr:colOff>
      <xdr:row>236</xdr:row>
      <xdr:rowOff>0</xdr:rowOff>
    </xdr:from>
    <xdr:to>
      <xdr:col>12</xdr:col>
      <xdr:colOff>570401</xdr:colOff>
      <xdr:row>254</xdr:row>
      <xdr:rowOff>142472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0462200"/>
          <a:ext cx="8800001" cy="3228572"/>
        </a:xfrm>
        <a:prstGeom prst="rect">
          <a:avLst/>
        </a:prstGeom>
      </xdr:spPr>
    </xdr:pic>
    <xdr:clientData/>
  </xdr:twoCellAnchor>
  <xdr:twoCellAnchor editAs="oneCell">
    <xdr:from>
      <xdr:col>0</xdr:col>
      <xdr:colOff>0</xdr:colOff>
      <xdr:row>255</xdr:row>
      <xdr:rowOff>0</xdr:rowOff>
    </xdr:from>
    <xdr:to>
      <xdr:col>12</xdr:col>
      <xdr:colOff>675163</xdr:colOff>
      <xdr:row>286</xdr:row>
      <xdr:rowOff>151717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3719750"/>
          <a:ext cx="8904763" cy="5466667"/>
        </a:xfrm>
        <a:prstGeom prst="rect">
          <a:avLst/>
        </a:prstGeom>
      </xdr:spPr>
    </xdr:pic>
    <xdr:clientData/>
  </xdr:twoCellAnchor>
  <xdr:twoCellAnchor editAs="oneCell">
    <xdr:from>
      <xdr:col>0</xdr:col>
      <xdr:colOff>0</xdr:colOff>
      <xdr:row>288</xdr:row>
      <xdr:rowOff>0</xdr:rowOff>
    </xdr:from>
    <xdr:to>
      <xdr:col>12</xdr:col>
      <xdr:colOff>684686</xdr:colOff>
      <xdr:row>306</xdr:row>
      <xdr:rowOff>142472</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9377600"/>
          <a:ext cx="8914286" cy="3228572"/>
        </a:xfrm>
        <a:prstGeom prst="rect">
          <a:avLst/>
        </a:prstGeom>
      </xdr:spPr>
    </xdr:pic>
    <xdr:clientData/>
  </xdr:twoCellAnchor>
  <xdr:twoCellAnchor editAs="oneCell">
    <xdr:from>
      <xdr:col>0</xdr:col>
      <xdr:colOff>0</xdr:colOff>
      <xdr:row>307</xdr:row>
      <xdr:rowOff>0</xdr:rowOff>
    </xdr:from>
    <xdr:to>
      <xdr:col>10</xdr:col>
      <xdr:colOff>627715</xdr:colOff>
      <xdr:row>339</xdr:row>
      <xdr:rowOff>18362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52635150"/>
          <a:ext cx="7485715" cy="5504762"/>
        </a:xfrm>
        <a:prstGeom prst="rect">
          <a:avLst/>
        </a:prstGeom>
      </xdr:spPr>
    </xdr:pic>
    <xdr:clientData/>
  </xdr:twoCellAnchor>
  <xdr:twoCellAnchor editAs="oneCell">
    <xdr:from>
      <xdr:col>0</xdr:col>
      <xdr:colOff>0</xdr:colOff>
      <xdr:row>340</xdr:row>
      <xdr:rowOff>0</xdr:rowOff>
    </xdr:from>
    <xdr:to>
      <xdr:col>10</xdr:col>
      <xdr:colOff>494381</xdr:colOff>
      <xdr:row>371</xdr:row>
      <xdr:rowOff>123146</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58293000"/>
          <a:ext cx="7352381" cy="5438096"/>
        </a:xfrm>
        <a:prstGeom prst="rect">
          <a:avLst/>
        </a:prstGeom>
      </xdr:spPr>
    </xdr:pic>
    <xdr:clientData/>
  </xdr:twoCellAnchor>
  <xdr:twoCellAnchor editAs="oneCell">
    <xdr:from>
      <xdr:col>0</xdr:col>
      <xdr:colOff>0</xdr:colOff>
      <xdr:row>372</xdr:row>
      <xdr:rowOff>0</xdr:rowOff>
    </xdr:from>
    <xdr:to>
      <xdr:col>10</xdr:col>
      <xdr:colOff>456286</xdr:colOff>
      <xdr:row>403</xdr:row>
      <xdr:rowOff>56479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63779400"/>
          <a:ext cx="7314286" cy="5371429"/>
        </a:xfrm>
        <a:prstGeom prst="rect">
          <a:avLst/>
        </a:prstGeom>
      </xdr:spPr>
    </xdr:pic>
    <xdr:clientData/>
  </xdr:twoCellAnchor>
  <xdr:twoCellAnchor editAs="oneCell">
    <xdr:from>
      <xdr:col>0</xdr:col>
      <xdr:colOff>0</xdr:colOff>
      <xdr:row>404</xdr:row>
      <xdr:rowOff>0</xdr:rowOff>
    </xdr:from>
    <xdr:to>
      <xdr:col>10</xdr:col>
      <xdr:colOff>656286</xdr:colOff>
      <xdr:row>419</xdr:row>
      <xdr:rowOff>94917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69265800"/>
          <a:ext cx="7514286" cy="2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6e/UJTk"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北京市房山区阎村镇焦庄村西大件路北侧1号楼2层商业用房房地产抵押价值预评估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受贵公司委托，我公司对北京市房山区阎村镇焦庄村西大件路北侧1号楼2层商业用房房地产抵押价值进行了预评估。</v>
      </c>
    </row>
    <row r="7" spans="1:2" s="1201" customFormat="1">
      <c r="A7" s="1199" t="s">
        <v>566</v>
      </c>
      <c r="B7" s="1200" t="str">
        <f>'预评函-1'!A7</f>
        <v>估价对象为北京市房山区阎村镇焦庄村西大件路北侧1号楼2层商业用房房地产，为所有。根据《国有土地使用证》[]，估价对象（分摊）出让国有建设用地使用权面积为0平方米，建筑面积为909.8平方米。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山区阎村镇焦庄村西大件路北侧1号楼2层商业用房房地产,属开发建设的综合项目（商业、办公），该项目尚在开发建设中。根据《国有土地使用证》[]，估价对象（分摊）出让国有建设用地使用权面积为0平方米，规划建筑面积为909.8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2025年6月17日（评估专业人员实地查勘之日）</v>
      </c>
    </row>
    <row r="13" spans="1:2" s="1201" customFormat="1">
      <c r="A13" s="1199" t="s">
        <v>529</v>
      </c>
      <c r="B13" s="120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724</v>
      </c>
    </row>
    <row r="21" spans="1:2" s="1201" customFormat="1">
      <c r="A21" s="1199" t="s">
        <v>537</v>
      </c>
      <c r="B21" s="1200">
        <f ca="1">'预评函-2'!D7</f>
        <v>7958</v>
      </c>
    </row>
    <row r="22" spans="1:2" s="1201" customFormat="1">
      <c r="A22" s="1199" t="s">
        <v>538</v>
      </c>
      <c r="B22" s="1200" t="str">
        <f ca="1">'预评函-2'!D6</f>
        <v>柒佰贰拾肆万元整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724</v>
      </c>
    </row>
    <row r="31" spans="1:2" s="1201" customFormat="1">
      <c r="A31" s="1199" t="s">
        <v>576</v>
      </c>
      <c r="B31" s="1200">
        <f ca="1">'预评函-2'!D15</f>
        <v>7958</v>
      </c>
    </row>
    <row r="32" spans="1:2" s="1201" customFormat="1">
      <c r="A32" s="1199" t="s">
        <v>543</v>
      </c>
      <c r="B32" s="1200" t="str">
        <f ca="1">'预评函-2'!D14</f>
        <v>柒佰贰拾肆万元整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北京市房山区阎村镇焦庄村西大件路北侧1号楼2层商业用房房地产</v>
      </c>
    </row>
    <row r="42" spans="1:2" s="1201" customFormat="1">
      <c r="A42" s="1199" t="s">
        <v>590</v>
      </c>
      <c r="B42" s="1200" t="str">
        <f>'预评函-3'!B2</f>
        <v>建筑面积</v>
      </c>
    </row>
    <row r="43" spans="1:2" s="1201" customFormat="1">
      <c r="A43" s="1199" t="s">
        <v>591</v>
      </c>
      <c r="B43" s="1200">
        <f>'预评函-3'!B4</f>
        <v>909.8</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448</v>
      </c>
    </row>
    <row r="48" spans="1:2" s="1201" customFormat="1">
      <c r="A48" s="1199" t="s">
        <v>549</v>
      </c>
      <c r="B48" s="1200">
        <f ca="1">'预评函-3'!E4</f>
        <v>4926</v>
      </c>
    </row>
    <row r="49" spans="1:2" s="1201" customFormat="1">
      <c r="A49" s="1199" t="s">
        <v>550</v>
      </c>
      <c r="B49" s="1200" t="str">
        <f ca="1">'预评函-3'!D5</f>
        <v>肆佰肆拾捌万元整</v>
      </c>
    </row>
    <row r="50" spans="1:2" s="1201" customFormat="1">
      <c r="A50" s="1199" t="s">
        <v>574</v>
      </c>
      <c r="B50" s="1200" t="str">
        <f>'预评函-3'!F2</f>
        <v>在建建筑物价值</v>
      </c>
    </row>
    <row r="51" spans="1:2" s="1201" customFormat="1">
      <c r="A51" s="1199" t="s">
        <v>551</v>
      </c>
      <c r="B51" s="1200">
        <f ca="1">'预评函-3'!F4</f>
        <v>276</v>
      </c>
    </row>
    <row r="52" spans="1:2" s="1201" customFormat="1">
      <c r="A52" s="1199" t="s">
        <v>552</v>
      </c>
      <c r="B52" s="1200">
        <f ca="1">'预评函-3'!G4</f>
        <v>3032</v>
      </c>
    </row>
    <row r="53" spans="1:2" s="1201" customFormat="1">
      <c r="A53" s="1199" t="s">
        <v>580</v>
      </c>
      <c r="B53" s="1200" t="str">
        <f ca="1">'预评函-3'!F5</f>
        <v>贰佰柒拾陆万元整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2575</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2576</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2292</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2" t="s">
        <v>385</v>
      </c>
      <c r="C54" s="1549" t="s">
        <v>583</v>
      </c>
    </row>
    <row r="55" spans="1:4">
      <c r="A55" s="3525"/>
      <c r="B55" s="1552" t="s">
        <v>386</v>
      </c>
      <c r="C55" s="1549" t="s">
        <v>584</v>
      </c>
    </row>
    <row r="56" spans="1:4">
      <c r="A56" s="3525"/>
      <c r="B56" s="1552" t="s">
        <v>387</v>
      </c>
      <c r="C56" s="1549" t="s">
        <v>588</v>
      </c>
    </row>
    <row r="57" spans="1:4">
      <c r="A57" s="352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6" t="s">
        <v>2578</v>
      </c>
      <c r="J2" s="3526"/>
      <c r="K2" s="3526"/>
      <c r="L2" s="3526"/>
      <c r="M2" s="3526"/>
      <c r="N2" s="3526"/>
      <c r="O2" s="3526"/>
      <c r="P2" s="3526"/>
      <c r="Q2" s="3526"/>
      <c r="R2" s="3526"/>
    </row>
    <row r="3" spans="1:18">
      <c r="A3" s="3017" t="s">
        <v>2499</v>
      </c>
      <c r="B3" s="3018">
        <f>项目基本情况!D3</f>
        <v>45825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1.5</v>
      </c>
      <c r="D5" s="3022">
        <f>IF(ISERROR(ROUND(POWER(1+E5,A5-C5)*(POWER(1+E5,C5)-1)/(POWER(1+E5,A5)-1),3)),0,ROUND(POWER(1+E5,A5-C5)*(POWER(1+E5,C5)-1)/(POWER(1+E5,A5)-1),4))</f>
        <v>7.22E-2</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11.51</v>
      </c>
      <c r="D6" s="3022">
        <f>IF(ISERROR(ROUND(POWER(1+E6,A6-C6)*(POWER(1+E6,C6)-1)/(POWER(1+E6,A6)-1),3)),0,ROUND(POWER(1+E6,A6-C6)*(POWER(1+E6,C6)-1)/(POWER(1+E6,A6)-1),4))</f>
        <v>0.42280000000000001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31.52</v>
      </c>
      <c r="D7" s="3022">
        <f>IF(ISERROR(ROUND(POWER(1+E7,A7-C7)*(POWER(1+E7,C7)-1)/(POWER(1+E7,A7)-1),3)),0,ROUND(POWER(1+E7,A7-C7)*(POWER(1+E7,C7)-1)/(POWER(1+E7,A7)-1),4))</f>
        <v>0.75819999999999999</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4">
      <c r="A17" s="3017" t="s">
        <v>2515</v>
      </c>
      <c r="B17" s="3026">
        <v>4810</v>
      </c>
      <c r="C17" s="3019"/>
      <c r="D17" s="3015"/>
      <c r="E17" s="3015"/>
      <c r="F17" s="3016"/>
    </row>
    <row r="18" spans="1:14" ht="14.25" thickBot="1">
      <c r="A18" s="3028" t="s">
        <v>2514</v>
      </c>
      <c r="B18" s="3029">
        <f>ROUND(B17*F11/F12,2)</f>
        <v>5541.87</v>
      </c>
      <c r="C18" s="3029">
        <f>ROUND(F11/F12,4)</f>
        <v>1.1521999999999999</v>
      </c>
      <c r="D18" s="3030"/>
      <c r="E18" s="3030"/>
      <c r="F18" s="3031"/>
    </row>
    <row r="19" spans="1:14" ht="14.25" thickBot="1"/>
    <row r="20" spans="1:14" s="3066" customFormat="1" ht="14.25" thickTop="1">
      <c r="A20" s="3063" t="s">
        <v>2517</v>
      </c>
      <c r="B20" s="3064"/>
      <c r="C20" s="3064"/>
      <c r="D20" s="3064"/>
      <c r="E20" s="3064"/>
      <c r="F20" s="3064"/>
      <c r="G20" s="3065"/>
      <c r="I20" s="3067" t="s">
        <v>2562</v>
      </c>
      <c r="J20" s="3067" t="s">
        <v>2567</v>
      </c>
      <c r="K20" s="3067"/>
      <c r="L20" s="3067"/>
      <c r="M20" s="3067"/>
    </row>
    <row r="21" spans="1:14">
      <c r="A21" s="3032"/>
      <c r="B21" s="3033" t="s">
        <v>2518</v>
      </c>
      <c r="C21" s="3033" t="s">
        <v>2519</v>
      </c>
      <c r="D21" s="3033" t="s">
        <v>2520</v>
      </c>
      <c r="E21" s="3033" t="s">
        <v>2521</v>
      </c>
      <c r="F21" s="3033" t="s">
        <v>2522</v>
      </c>
      <c r="G21" s="3034" t="s">
        <v>2523</v>
      </c>
      <c r="I21" s="3055">
        <v>5</v>
      </c>
      <c r="J21" s="3055">
        <v>54.2</v>
      </c>
    </row>
    <row r="22" spans="1:14">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N23" s="3454" t="s">
        <v>2566</v>
      </c>
    </row>
    <row r="24" spans="1:14">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N24" s="3454">
        <v>10</v>
      </c>
    </row>
    <row r="25" spans="1:14">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N25" s="3454">
        <v>8</v>
      </c>
    </row>
    <row r="26" spans="1:14">
      <c r="A26" s="3037"/>
      <c r="B26" s="3038"/>
      <c r="C26" s="3038"/>
      <c r="D26" s="3038"/>
      <c r="E26" s="3038"/>
      <c r="F26" s="3038"/>
      <c r="G26" s="3039"/>
      <c r="I26" s="3055">
        <v>30</v>
      </c>
      <c r="J26" s="3055">
        <v>90.5</v>
      </c>
      <c r="K26" s="3055">
        <f t="shared" si="2"/>
        <v>4.2000000000000028</v>
      </c>
      <c r="L26" s="3055" t="s">
        <v>2569</v>
      </c>
      <c r="N26" s="3454">
        <v>5</v>
      </c>
    </row>
    <row r="27" spans="1:14">
      <c r="A27" s="3037" t="s">
        <v>2528</v>
      </c>
      <c r="B27" s="3038"/>
      <c r="C27" s="3038"/>
      <c r="D27" s="3038"/>
      <c r="E27" s="3038"/>
      <c r="F27" s="3038"/>
      <c r="G27" s="3039"/>
      <c r="I27" s="3055">
        <v>35</v>
      </c>
      <c r="J27" s="3055">
        <v>93.8</v>
      </c>
      <c r="K27" s="3055">
        <f t="shared" si="2"/>
        <v>3.2999999999999972</v>
      </c>
      <c r="L27" s="3055" t="s">
        <v>2570</v>
      </c>
      <c r="N27" s="3454">
        <v>3</v>
      </c>
    </row>
    <row r="28" spans="1:14">
      <c r="A28" s="3037" t="s">
        <v>2529</v>
      </c>
      <c r="B28" s="3038"/>
      <c r="C28" s="3038"/>
      <c r="D28" s="3038"/>
      <c r="E28" s="3038"/>
      <c r="F28" s="3038"/>
      <c r="G28" s="3039"/>
      <c r="I28" s="3055">
        <v>40</v>
      </c>
      <c r="J28" s="3055">
        <v>96.4</v>
      </c>
      <c r="K28" s="3055">
        <f t="shared" si="2"/>
        <v>2.6000000000000085</v>
      </c>
      <c r="L28" s="3055" t="s">
        <v>2571</v>
      </c>
      <c r="N28" s="3454">
        <v>2</v>
      </c>
    </row>
    <row r="29" spans="1:14">
      <c r="A29" s="3037" t="s">
        <v>2530</v>
      </c>
      <c r="B29" s="3038"/>
      <c r="C29" s="3038"/>
      <c r="D29" s="3038"/>
      <c r="E29" s="3038"/>
      <c r="F29" s="3038"/>
      <c r="G29" s="3039"/>
      <c r="I29" s="3055">
        <v>45</v>
      </c>
      <c r="J29" s="3055">
        <v>98.4</v>
      </c>
      <c r="K29" s="3055">
        <f t="shared" si="2"/>
        <v>2</v>
      </c>
    </row>
    <row r="30" spans="1:14">
      <c r="A30" s="3037" t="s">
        <v>2531</v>
      </c>
      <c r="B30" s="3038"/>
      <c r="C30" s="3038"/>
      <c r="D30" s="3038"/>
      <c r="E30" s="3038"/>
      <c r="F30" s="3038"/>
      <c r="G30" s="3039"/>
      <c r="I30" s="3055">
        <v>50</v>
      </c>
      <c r="J30" s="3055">
        <v>100</v>
      </c>
      <c r="K30" s="3055">
        <f t="shared" si="2"/>
        <v>1.5999999999999943</v>
      </c>
    </row>
    <row r="31" spans="1:14">
      <c r="A31" s="3037" t="s">
        <v>2532</v>
      </c>
      <c r="B31" s="3038"/>
      <c r="C31" s="3038"/>
      <c r="D31" s="3038"/>
      <c r="E31" s="3038"/>
      <c r="F31" s="3038"/>
      <c r="G31" s="3039"/>
      <c r="I31" s="3055" t="s">
        <v>2563</v>
      </c>
    </row>
    <row r="32" spans="1:14">
      <c r="A32" s="3037" t="s">
        <v>2533</v>
      </c>
      <c r="B32" s="3038"/>
      <c r="C32" s="3038"/>
      <c r="D32" s="3038"/>
      <c r="E32" s="3038"/>
      <c r="F32" s="3038"/>
      <c r="G32" s="3039"/>
    </row>
    <row r="33" spans="1:14">
      <c r="A33" s="3037" t="s">
        <v>2534</v>
      </c>
      <c r="B33" s="3038"/>
      <c r="C33" s="3038"/>
      <c r="D33" s="3038"/>
      <c r="E33" s="3038"/>
      <c r="F33" s="3038"/>
      <c r="G33" s="3039"/>
      <c r="I33" s="3055" t="s">
        <v>2562</v>
      </c>
      <c r="J33" s="3055" t="s">
        <v>2572</v>
      </c>
    </row>
    <row r="34" spans="1:14">
      <c r="A34" s="3037" t="s">
        <v>2535</v>
      </c>
      <c r="B34" s="3038"/>
      <c r="C34" s="3038"/>
      <c r="D34" s="3038"/>
      <c r="E34" s="3038"/>
      <c r="F34" s="3038"/>
      <c r="G34" s="3039"/>
      <c r="I34" s="3055">
        <v>5</v>
      </c>
      <c r="J34" s="3055">
        <v>55.1</v>
      </c>
    </row>
    <row r="35" spans="1:14">
      <c r="A35" s="3037" t="s">
        <v>2536</v>
      </c>
      <c r="B35" s="3038"/>
      <c r="C35" s="3038"/>
      <c r="D35" s="3038"/>
      <c r="E35" s="3038"/>
      <c r="F35" s="3038"/>
      <c r="G35" s="3039"/>
      <c r="I35" s="3055">
        <v>10</v>
      </c>
      <c r="J35" s="3055">
        <v>67</v>
      </c>
      <c r="K35" s="3055">
        <f>J35-J34</f>
        <v>11.899999999999999</v>
      </c>
    </row>
    <row r="36" spans="1:14">
      <c r="A36" s="3037" t="s">
        <v>2537</v>
      </c>
      <c r="B36" s="3038"/>
      <c r="C36" s="3038"/>
      <c r="D36" s="3038"/>
      <c r="E36" s="3038"/>
      <c r="F36" s="3038"/>
      <c r="G36" s="3039"/>
      <c r="I36" s="3055">
        <v>15</v>
      </c>
      <c r="J36" s="3055">
        <v>76.3</v>
      </c>
      <c r="K36" s="3055">
        <f t="shared" ref="K36:K41" si="3">J36-J35</f>
        <v>9.2999999999999972</v>
      </c>
      <c r="L36" s="3055" t="s">
        <v>2565</v>
      </c>
      <c r="N36" s="3454" t="s">
        <v>2566</v>
      </c>
    </row>
    <row r="37" spans="1:14">
      <c r="A37" s="3037" t="s">
        <v>2538</v>
      </c>
      <c r="B37" s="3038"/>
      <c r="C37" s="3038"/>
      <c r="D37" s="3038"/>
      <c r="E37" s="3038"/>
      <c r="F37" s="3038"/>
      <c r="G37" s="3039"/>
      <c r="I37" s="3055">
        <v>20</v>
      </c>
      <c r="J37" s="3055">
        <v>83.6</v>
      </c>
      <c r="K37" s="3055">
        <f t="shared" si="3"/>
        <v>7.2999999999999972</v>
      </c>
      <c r="L37" s="3055" t="s">
        <v>2564</v>
      </c>
      <c r="N37" s="3454">
        <v>10</v>
      </c>
    </row>
    <row r="38" spans="1:14">
      <c r="A38" s="3037" t="s">
        <v>2539</v>
      </c>
      <c r="B38" s="3038"/>
      <c r="C38" s="3038"/>
      <c r="D38" s="3038"/>
      <c r="E38" s="3038"/>
      <c r="F38" s="3038"/>
      <c r="G38" s="3039"/>
      <c r="I38" s="3055">
        <v>25</v>
      </c>
      <c r="J38" s="3055">
        <v>89.3</v>
      </c>
      <c r="K38" s="3055">
        <f t="shared" si="3"/>
        <v>5.7000000000000028</v>
      </c>
      <c r="L38" s="3055" t="s">
        <v>2568</v>
      </c>
      <c r="N38" s="3454">
        <v>8</v>
      </c>
    </row>
    <row r="39" spans="1:14">
      <c r="A39" s="3037"/>
      <c r="B39" s="3038"/>
      <c r="C39" s="3038"/>
      <c r="D39" s="3038"/>
      <c r="E39" s="3038"/>
      <c r="F39" s="3038"/>
      <c r="G39" s="3039"/>
      <c r="I39" s="3055">
        <v>30</v>
      </c>
      <c r="J39" s="3055">
        <v>93.8</v>
      </c>
      <c r="K39" s="3055">
        <f t="shared" si="3"/>
        <v>4.5</v>
      </c>
      <c r="L39" s="3055" t="s">
        <v>2569</v>
      </c>
      <c r="N39" s="3454">
        <v>6</v>
      </c>
    </row>
    <row r="40" spans="1:14">
      <c r="A40" s="3040" t="s">
        <v>2540</v>
      </c>
      <c r="B40" s="3041"/>
      <c r="C40" s="3041"/>
      <c r="D40" s="3041"/>
      <c r="E40" s="3041"/>
      <c r="F40" s="3041"/>
      <c r="G40" s="3042"/>
      <c r="I40" s="3055">
        <v>35</v>
      </c>
      <c r="J40" s="3055">
        <v>97.2</v>
      </c>
      <c r="K40" s="3055">
        <f t="shared" si="3"/>
        <v>3.4000000000000057</v>
      </c>
      <c r="L40" s="3055" t="s">
        <v>2570</v>
      </c>
      <c r="N40" s="3454">
        <v>3</v>
      </c>
    </row>
    <row r="41" spans="1:14">
      <c r="A41" s="3043" t="s">
        <v>2541</v>
      </c>
      <c r="B41" s="3044" t="s">
        <v>2542</v>
      </c>
      <c r="C41" s="3045" t="s">
        <v>2543</v>
      </c>
      <c r="D41" s="3045" t="s">
        <v>2544</v>
      </c>
      <c r="E41" s="3046"/>
      <c r="F41" s="3047"/>
      <c r="G41" s="3048"/>
      <c r="I41" s="3055">
        <v>40</v>
      </c>
      <c r="J41" s="3055">
        <v>100</v>
      </c>
      <c r="K41" s="3055">
        <f t="shared" si="3"/>
        <v>2.7999999999999972</v>
      </c>
    </row>
    <row r="42" spans="1:14">
      <c r="A42" s="3043" t="s">
        <v>2545</v>
      </c>
      <c r="B42" s="3044" t="s">
        <v>2546</v>
      </c>
      <c r="C42" s="3045" t="s">
        <v>2547</v>
      </c>
      <c r="D42" s="3049" t="s">
        <v>2548</v>
      </c>
      <c r="E42" s="3041" t="s">
        <v>2549</v>
      </c>
      <c r="F42" s="3041"/>
      <c r="G42" s="3042"/>
    </row>
    <row r="43" spans="1:14">
      <c r="A43" s="3043" t="s">
        <v>2550</v>
      </c>
      <c r="B43" s="3044" t="s">
        <v>2551</v>
      </c>
      <c r="C43" s="3045" t="s">
        <v>2552</v>
      </c>
      <c r="D43" s="3045" t="s">
        <v>2553</v>
      </c>
      <c r="E43" s="3046" t="s">
        <v>2554</v>
      </c>
      <c r="F43" s="3047"/>
      <c r="G43" s="3048"/>
      <c r="I43" s="3055" t="s">
        <v>2562</v>
      </c>
      <c r="J43" s="3055" t="s">
        <v>2573</v>
      </c>
    </row>
    <row r="44" spans="1:14">
      <c r="A44" s="3043" t="s">
        <v>2555</v>
      </c>
      <c r="B44" s="3044" t="s">
        <v>2556</v>
      </c>
      <c r="C44" s="3045" t="s">
        <v>2557</v>
      </c>
      <c r="D44" s="3049">
        <v>0.5</v>
      </c>
      <c r="E44" s="3046" t="s">
        <v>2558</v>
      </c>
      <c r="F44" s="3047"/>
      <c r="G44" s="3048"/>
      <c r="I44" s="3055">
        <v>30</v>
      </c>
      <c r="J44" s="3055">
        <v>81.7</v>
      </c>
    </row>
    <row r="45" spans="1:14" ht="14.25" thickBot="1">
      <c r="A45" s="3050" t="s">
        <v>2559</v>
      </c>
      <c r="B45" s="3051" t="s">
        <v>2546</v>
      </c>
      <c r="C45" s="3052" t="s">
        <v>2546</v>
      </c>
      <c r="D45" s="3052" t="s">
        <v>2560</v>
      </c>
      <c r="E45" s="3053" t="s">
        <v>2561</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3383</v>
      </c>
    </row>
    <row r="50" spans="1:4">
      <c r="A50" s="3446" t="s">
        <v>3384</v>
      </c>
      <c r="B50" s="3446" t="s">
        <v>3385</v>
      </c>
      <c r="C50" s="3446" t="s">
        <v>3386</v>
      </c>
      <c r="D50" s="3446" t="s">
        <v>3387</v>
      </c>
    </row>
    <row r="51" spans="1:4">
      <c r="A51" s="3446" t="s">
        <v>3388</v>
      </c>
      <c r="B51" s="3019">
        <f>B52+B53</f>
        <v>15000</v>
      </c>
      <c r="C51" s="3447">
        <f>D51/B51</f>
        <v>2666.6666666666665</v>
      </c>
      <c r="D51" s="3019">
        <f>D52+D53</f>
        <v>40000000</v>
      </c>
    </row>
    <row r="52" spans="1:4">
      <c r="A52" s="3448" t="s">
        <v>3389</v>
      </c>
      <c r="B52" s="3449">
        <v>10000</v>
      </c>
      <c r="C52" s="3449">
        <v>1500</v>
      </c>
      <c r="D52" s="3450">
        <f>C52*B52</f>
        <v>15000000</v>
      </c>
    </row>
    <row r="53" spans="1:4">
      <c r="A53" s="3448" t="s">
        <v>3390</v>
      </c>
      <c r="B53" s="3449">
        <v>5000</v>
      </c>
      <c r="C53" s="3449">
        <v>5000</v>
      </c>
      <c r="D53" s="3450">
        <f>C53*B53</f>
        <v>25000000</v>
      </c>
    </row>
    <row r="54" spans="1:4">
      <c r="A54" s="3446" t="s">
        <v>3391</v>
      </c>
      <c r="B54" s="3019">
        <f>B51</f>
        <v>15000</v>
      </c>
      <c r="C54" s="3026">
        <v>700</v>
      </c>
      <c r="D54" s="3019">
        <f t="shared" ref="D54:D55" si="5">C54*B54</f>
        <v>10500000</v>
      </c>
    </row>
    <row r="55" spans="1:4">
      <c r="A55" s="3446" t="s">
        <v>3392</v>
      </c>
      <c r="B55" s="3019">
        <f>B51</f>
        <v>15000</v>
      </c>
      <c r="C55" s="3026">
        <v>1500</v>
      </c>
      <c r="D55" s="3019">
        <f t="shared" si="5"/>
        <v>22500000</v>
      </c>
    </row>
    <row r="56" spans="1:4">
      <c r="A56" s="3446" t="s">
        <v>3393</v>
      </c>
      <c r="B56" s="3019">
        <f>B51</f>
        <v>15000</v>
      </c>
      <c r="C56" s="3451">
        <f>C51+C54+C55</f>
        <v>4866.6666666666661</v>
      </c>
      <c r="D56" s="3019">
        <f>D51+D54+D55</f>
        <v>73000000</v>
      </c>
    </row>
    <row r="58" spans="1:4">
      <c r="A58" s="3446" t="s">
        <v>3394</v>
      </c>
      <c r="B58" s="3452">
        <v>0.05</v>
      </c>
      <c r="C58" s="3019">
        <f>C56*(1+B58)</f>
        <v>5110</v>
      </c>
      <c r="D58" s="3019">
        <f>D56*B58</f>
        <v>3650000</v>
      </c>
    </row>
    <row r="60" spans="1:4">
      <c r="A60" s="3446" t="s">
        <v>3395</v>
      </c>
      <c r="B60" s="3026">
        <v>3500</v>
      </c>
      <c r="C60" s="3026">
        <f>C53</f>
        <v>5000</v>
      </c>
      <c r="D60" s="3019">
        <f>C60*B60</f>
        <v>17500000</v>
      </c>
    </row>
    <row r="62" spans="1:4">
      <c r="A62" s="3446" t="s">
        <v>3396</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7" sqref="H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7" t="str">
        <f>IF(B10="北京市","北京市",C10)&amp;F10&amp;IF(结果表!G1="在建","出让国有建设用地使用权及在建建筑物",IF(结果表!G1="土地","出让国有建设用地使用权",))&amp;B9&amp;"预评估"</f>
        <v>北京市房山区阎村镇焦庄村西大件路北侧1号楼2层商业用房房地产抵押价值预评估</v>
      </c>
      <c r="C1" s="3528"/>
      <c r="D1" s="3528"/>
      <c r="E1" s="3528"/>
      <c r="F1" s="3528"/>
      <c r="G1" s="3528"/>
      <c r="H1" s="3528"/>
      <c r="I1" s="352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北京市房山区阎村镇焦庄村西大件路北侧1号楼2层商业用房房地产抵押价值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北京市房山区阎村镇焦庄村西大件路北侧1号楼2层商业用房房地产</v>
      </c>
      <c r="T2" s="1743"/>
      <c r="U2" s="1743"/>
      <c r="V2" s="1743"/>
      <c r="W2" s="1743"/>
      <c r="X2" s="1743"/>
      <c r="Y2" s="1743"/>
      <c r="Z2" s="1743"/>
      <c r="AA2" s="1743"/>
      <c r="AB2" s="1743"/>
    </row>
    <row r="3" spans="1:30">
      <c r="A3" s="302" t="s">
        <v>2169</v>
      </c>
      <c r="B3" s="2371">
        <v>45825</v>
      </c>
      <c r="C3" s="2372" t="s">
        <v>2170</v>
      </c>
      <c r="D3" s="2371">
        <f>B3</f>
        <v>45825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3408</v>
      </c>
      <c r="C8" s="2388"/>
      <c r="D8" s="3530" t="s">
        <v>2176</v>
      </c>
      <c r="E8" s="2389" t="s">
        <v>3409</v>
      </c>
      <c r="F8" s="2390"/>
      <c r="G8" s="2661"/>
      <c r="H8" s="2661"/>
      <c r="I8" s="2661"/>
      <c r="J8" s="2437"/>
      <c r="K8" s="2612"/>
      <c r="L8" s="2611"/>
      <c r="M8" s="2611"/>
      <c r="N8" s="2437"/>
      <c r="O8" s="2448"/>
      <c r="P8" s="2437"/>
      <c r="Q8" s="2437"/>
      <c r="R8" s="2437"/>
    </row>
    <row r="9" spans="1:30" ht="13.5" thickBot="1">
      <c r="A9" s="2391" t="s">
        <v>2177</v>
      </c>
      <c r="B9" s="2392" t="s">
        <v>3409</v>
      </c>
      <c r="C9" s="2393"/>
      <c r="D9" s="3531"/>
      <c r="E9" s="2392"/>
      <c r="F9" s="2394"/>
      <c r="G9" s="2663"/>
      <c r="H9" s="2663"/>
      <c r="I9" s="2663"/>
      <c r="J9" s="2437"/>
      <c r="K9" s="2614"/>
      <c r="L9" s="2611"/>
      <c r="M9" s="2611"/>
      <c r="N9" s="2437"/>
      <c r="O9" s="2448"/>
      <c r="P9" s="2437"/>
      <c r="Q9" s="2437"/>
      <c r="R9" s="2437"/>
    </row>
    <row r="10" spans="1:30" ht="13.5" thickTop="1">
      <c r="A10" s="2395" t="s">
        <v>2178</v>
      </c>
      <c r="B10" s="2396" t="s">
        <v>3410</v>
      </c>
      <c r="C10" s="2397"/>
      <c r="D10" s="2380"/>
      <c r="E10" s="2398" t="s">
        <v>2179</v>
      </c>
      <c r="F10" s="3480" t="s">
        <v>3491</v>
      </c>
      <c r="G10" s="2664"/>
      <c r="H10" s="2665"/>
      <c r="I10" s="2666"/>
      <c r="J10" s="2437"/>
      <c r="K10" s="2614"/>
      <c r="L10" s="2611"/>
      <c r="M10" s="2611"/>
      <c r="N10" s="2437"/>
      <c r="O10" s="2448"/>
      <c r="P10" s="2437"/>
      <c r="Q10" s="2437"/>
      <c r="R10" s="2437"/>
    </row>
    <row r="11" spans="1:30">
      <c r="A11" s="2399" t="s">
        <v>2180</v>
      </c>
      <c r="B11" s="2400" t="s">
        <v>3492</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0" t="s">
        <v>3329</v>
      </c>
      <c r="B13" s="2405" t="s">
        <v>2189</v>
      </c>
      <c r="C13" s="855"/>
      <c r="D13" s="3827">
        <v>54563</v>
      </c>
      <c r="E13" s="3827">
        <v>54563</v>
      </c>
      <c r="F13" s="855"/>
      <c r="G13" s="855"/>
      <c r="H13" s="855"/>
      <c r="I13" s="855"/>
      <c r="J13" s="3059"/>
      <c r="K13" s="2611"/>
      <c r="L13" s="2611"/>
      <c r="M13" s="2437"/>
      <c r="N13" s="2448"/>
      <c r="O13" s="2437"/>
      <c r="P13" s="2437"/>
      <c r="Q13" s="2437"/>
      <c r="AD13" s="1743"/>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23.93</v>
      </c>
      <c r="E15" s="2408">
        <f>IF(A13="出让",IF(E13="","",ROUNDDOWN(MIN((E13-$D$3)/365,E14),2)),E14)</f>
        <v>23.93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37"/>
      <c r="C16" s="3538"/>
      <c r="D16" s="3539"/>
      <c r="E16" s="2411" t="s">
        <v>2193</v>
      </c>
      <c r="F16" s="3540"/>
      <c r="G16" s="3541"/>
      <c r="H16" s="3541"/>
      <c r="I16" s="3542"/>
      <c r="J16" s="2437"/>
      <c r="K16" s="2615"/>
      <c r="L16" s="2449"/>
      <c r="M16" s="2449"/>
      <c r="N16" s="2507"/>
      <c r="O16" s="2449"/>
      <c r="P16" s="2507"/>
      <c r="Q16" s="2437"/>
      <c r="R16" s="2437"/>
    </row>
    <row r="17" spans="1:28">
      <c r="A17" s="313" t="s">
        <v>2194</v>
      </c>
      <c r="B17" s="302" t="s">
        <v>2195</v>
      </c>
      <c r="C17" s="8">
        <f>'数据-汇总表'!E3</f>
        <v>909.8</v>
      </c>
      <c r="D17" s="2320" t="s">
        <v>2196</v>
      </c>
      <c r="E17" s="3543" t="s">
        <v>2197</v>
      </c>
      <c r="F17" s="3544"/>
      <c r="G17" s="3544"/>
      <c r="H17" s="3544"/>
      <c r="I17" s="354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6" t="s">
        <v>2201</v>
      </c>
      <c r="F18" s="3547"/>
      <c r="G18" s="3547"/>
      <c r="H18" s="3547"/>
      <c r="I18" s="3548"/>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3" t="s">
        <v>2205</v>
      </c>
      <c r="C20" s="3534"/>
      <c r="D20" s="3535" t="s">
        <v>2206</v>
      </c>
      <c r="E20" s="3536"/>
      <c r="F20" s="2645" t="s">
        <v>1056</v>
      </c>
      <c r="G20" s="2662"/>
      <c r="H20" s="2662"/>
      <c r="I20" s="2662"/>
      <c r="J20" s="2437"/>
      <c r="K20" s="353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0" t="s">
        <v>2213</v>
      </c>
      <c r="B27" s="320" t="s">
        <v>2214</v>
      </c>
      <c r="C27" s="2414" t="s">
        <v>3493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0"/>
      <c r="B28" s="302" t="s">
        <v>2215</v>
      </c>
      <c r="C28" s="2416" t="s">
        <v>3412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0"/>
      <c r="B29" s="302" t="s">
        <v>2216</v>
      </c>
      <c r="C29" s="2418" t="s">
        <v>3413</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1"/>
      <c r="B30" s="302" t="s">
        <v>2217</v>
      </c>
      <c r="C30" s="3552"/>
      <c r="D30" s="3553"/>
      <c r="E30" s="2662"/>
      <c r="F30" s="2662"/>
      <c r="G30" s="2662"/>
      <c r="H30" s="2662"/>
      <c r="I30" s="2662"/>
      <c r="J30" s="2437"/>
      <c r="K30" s="2614"/>
      <c r="L30" s="2611"/>
      <c r="M30" s="2611"/>
      <c r="N30" s="2437"/>
      <c r="O30" s="2448"/>
      <c r="P30" s="2437"/>
      <c r="Q30" s="2437"/>
      <c r="R30" s="2437"/>
      <c r="S30" s="2437"/>
      <c r="T30" s="2437"/>
      <c r="U30" s="2437"/>
      <c r="V30" s="2437"/>
    </row>
    <row r="31" spans="1:28">
      <c r="A31" s="3554" t="s">
        <v>2218</v>
      </c>
      <c r="B31" s="2420" t="s">
        <v>3414</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49" t="s">
        <v>2227</v>
      </c>
      <c r="T34" s="2426" t="str">
        <f>NUMBERSTRING(7-K34,1)&amp;"通"</f>
        <v>七通</v>
      </c>
      <c r="U34" s="2437"/>
      <c r="V34" s="2437"/>
    </row>
    <row r="35" spans="1:30">
      <c r="A35" s="2427"/>
      <c r="B35" s="3556" t="s">
        <v>2228</v>
      </c>
      <c r="C35" s="3556"/>
      <c r="D35" s="3556"/>
      <c r="E35" s="3556"/>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306</v>
      </c>
      <c r="C37" s="2429" t="s">
        <v>306</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174</v>
      </c>
      <c r="C38" s="2430" t="s">
        <v>174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909.8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909.8</v>
      </c>
      <c r="H5" s="13">
        <f t="shared" ref="H5:AT5" si="0">SUM(H13:H656)</f>
        <v>909.8</v>
      </c>
      <c r="I5" s="13">
        <f t="shared" si="0"/>
        <v>909.8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909.8</v>
      </c>
      <c r="BA5" s="15">
        <f t="shared" si="1"/>
        <v>909.8</v>
      </c>
      <c r="BB5" s="15">
        <f t="shared" si="1"/>
        <v>909.8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3416</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3494</v>
      </c>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3415</v>
      </c>
      <c r="E13" s="13">
        <f>IF($C$3="是",ROUND($A$3*G13/$B$3,2),ROUND($A$3*(G13-AT13)/$B$3,2))</f>
        <v>0</v>
      </c>
      <c r="F13" s="29"/>
      <c r="G13" s="30">
        <f>H13+AC13+AT13</f>
        <v>909.8</v>
      </c>
      <c r="H13" s="17">
        <f>SUMIF(I$12:AB$12,"总值",I13:AB13)</f>
        <v>909.8</v>
      </c>
      <c r="I13" s="1624">
        <v>909.8</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909.8</v>
      </c>
      <c r="BA13" s="13">
        <f>SUM(BB13:BK13)</f>
        <v>909.8</v>
      </c>
      <c r="BB13" s="13">
        <f>IF($D13="是",I13-J13,0)</f>
        <v>909.8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3828" t="s">
        <v>3497</v>
      </c>
      <c r="B15" s="1050" t="s">
        <v>3498</v>
      </c>
      <c r="C15" s="1568" t="s">
        <v>3499</v>
      </c>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t="str">
        <f t="shared" si="6"/>
        <v>宗地面积</v>
      </c>
      <c r="AW15" s="8" t="str">
        <f t="shared" si="6"/>
        <v>1层建面</v>
      </c>
      <c r="AX15" s="8" t="str">
        <f t="shared" si="6"/>
        <v>3层建面</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v>2789.34</v>
      </c>
      <c r="B16" s="1050">
        <v>1073.8</v>
      </c>
      <c r="C16" s="1568">
        <v>872.4</v>
      </c>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2789.34</v>
      </c>
      <c r="AW16" s="8">
        <f t="shared" si="6"/>
        <v>1073.8</v>
      </c>
      <c r="AX16" s="8">
        <f t="shared" si="6"/>
        <v>872.4</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828"/>
      <c r="B18" s="3828" t="s">
        <v>3500</v>
      </c>
      <c r="C18" s="3829" t="s">
        <v>3501</v>
      </c>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t="str">
        <f t="shared" ref="AW18:AW112" si="12">B18</f>
        <v>总建面</v>
      </c>
      <c r="AX18" s="1341" t="str">
        <f t="shared" ref="AX18:AX112" si="13">C18</f>
        <v>容积率</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830">
        <f>B3+B16+C16</f>
        <v>2856</v>
      </c>
      <c r="C19" s="31">
        <f>ROUND(B19/A16,2)</f>
        <v>1.02</v>
      </c>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2856</v>
      </c>
      <c r="AX19" s="1341">
        <f t="shared" si="13"/>
        <v>1.02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2" sqref="M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7" t="s">
        <v>1108</v>
      </c>
      <c r="F2" s="2657"/>
      <c r="G2" s="2648"/>
      <c r="H2" s="2649"/>
      <c r="I2" s="2323" t="s">
        <v>1132</v>
      </c>
      <c r="J2" s="2657"/>
      <c r="K2" s="2657"/>
      <c r="L2" s="2657"/>
      <c r="M2" s="2657"/>
      <c r="N2" s="2659"/>
      <c r="O2" s="2657"/>
      <c r="P2" s="2657"/>
    </row>
    <row r="3" spans="1:16" ht="15.75" thickBot="1">
      <c r="A3" s="3567" t="s">
        <v>1105</v>
      </c>
      <c r="B3" s="3567"/>
      <c r="C3" s="3567"/>
      <c r="D3" s="43">
        <f>'数据-基础表'!AY6</f>
        <v>0</v>
      </c>
      <c r="E3" s="43">
        <f>'数据-基础表'!AZ5</f>
        <v>909.8</v>
      </c>
      <c r="F3" s="2657"/>
      <c r="G3" s="1144"/>
      <c r="H3" s="1025" t="s">
        <v>1106</v>
      </c>
      <c r="I3" s="854" t="e">
        <f>ROUND('数据-基础表'!B3/'数据-基础表'!A3,2)</f>
        <v>#DIV/0!</v>
      </c>
      <c r="J3" s="2657"/>
      <c r="K3" s="2657"/>
      <c r="L3" s="2657"/>
      <c r="M3" s="2657"/>
      <c r="N3" s="2659"/>
      <c r="O3" s="2657"/>
      <c r="P3" s="2657"/>
    </row>
    <row r="4" spans="1:16" ht="15">
      <c r="A4" s="3568"/>
      <c r="B4" s="3569"/>
      <c r="C4" s="3570"/>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1" t="s">
        <v>1110</v>
      </c>
      <c r="C5" s="3571"/>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2"/>
      <c r="B6" s="3571" t="s">
        <v>1111</v>
      </c>
      <c r="C6" s="3571"/>
      <c r="D6" s="45">
        <f>ROUND($D$3*E6/$E$3,2)</f>
        <v>0</v>
      </c>
      <c r="E6" s="46">
        <f>E3-E5</f>
        <v>909.8</v>
      </c>
      <c r="F6" s="2657"/>
      <c r="G6" s="2651" t="s">
        <v>1112</v>
      </c>
      <c r="H6" s="1145" t="s">
        <v>1113</v>
      </c>
      <c r="I6" s="2652" t="e">
        <f>ROUND(F31/D31,2)</f>
        <v>#DIV/0!</v>
      </c>
      <c r="J6" s="2657"/>
      <c r="K6" s="2657"/>
      <c r="L6" s="2657"/>
      <c r="M6" s="2657"/>
      <c r="N6" s="2657"/>
      <c r="O6" s="2657"/>
      <c r="P6" s="2657"/>
    </row>
    <row r="7" spans="1:16" ht="15.75" thickBot="1">
      <c r="A7" s="3563"/>
      <c r="B7" s="3564"/>
      <c r="C7" s="3565"/>
      <c r="D7" s="1639" t="s">
        <v>1107</v>
      </c>
      <c r="E7" s="1643" t="s">
        <v>1114</v>
      </c>
      <c r="F7" s="2657"/>
      <c r="G7" s="2653" t="s">
        <v>1115</v>
      </c>
      <c r="H7" s="2654"/>
      <c r="I7" s="2655">
        <v>1.02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909.8</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909.8</v>
      </c>
      <c r="F16" s="2657"/>
      <c r="G16" s="2658"/>
      <c r="H16" s="1646" t="s">
        <v>1135</v>
      </c>
      <c r="I16" s="1647"/>
      <c r="J16" s="1138"/>
      <c r="K16" s="3560" t="s">
        <v>1135</v>
      </c>
      <c r="L16" s="3561"/>
      <c r="M16" s="3561"/>
      <c r="N16" s="3561"/>
      <c r="O16" s="3561"/>
      <c r="P16" s="3562"/>
    </row>
    <row r="17" spans="1:19" ht="15">
      <c r="A17" s="1648" t="s">
        <v>1136</v>
      </c>
      <c r="B17" s="1649" t="s">
        <v>1137</v>
      </c>
      <c r="C17" s="1650" t="s">
        <v>1138</v>
      </c>
      <c r="D17" s="1651" t="s">
        <v>1126</v>
      </c>
      <c r="E17" s="1652" t="s">
        <v>1127</v>
      </c>
      <c r="F17" s="1653"/>
      <c r="G17" s="1654"/>
      <c r="H17" s="1655" t="s">
        <v>1139</v>
      </c>
      <c r="I17" s="1656" t="s">
        <v>1124</v>
      </c>
      <c r="J17" s="1138"/>
      <c r="K17" s="3557" t="s">
        <v>1140</v>
      </c>
      <c r="L17" s="3558"/>
      <c r="M17" s="3559"/>
      <c r="N17" s="3557" t="s">
        <v>1141</v>
      </c>
      <c r="O17" s="3558"/>
      <c r="P17" s="355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4" t="s">
        <v>3496</v>
      </c>
      <c r="D19" s="45">
        <f>ROUND($D$3*E19/$E$3,2)</f>
        <v>0</v>
      </c>
      <c r="E19" s="53">
        <f t="shared" ref="E19:E26" si="1">SUM(F19:G19)</f>
        <v>909.8</v>
      </c>
      <c r="F19" s="2792">
        <f>'数据-基础表'!I13</f>
        <v>909.8</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909.8</v>
      </c>
    </row>
    <row r="20" spans="1:19">
      <c r="A20" s="1668"/>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909.8</v>
      </c>
      <c r="F27" s="1139">
        <f>IF(SUM(F19:F26)=E8,SUM(F19:F26),"地上面积有误")</f>
        <v>909.8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909.8</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0</v>
      </c>
      <c r="E31" s="675">
        <f>E27+E30</f>
        <v>909.8</v>
      </c>
      <c r="F31" s="676">
        <f>F27+F30</f>
        <v>909.8</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9.75" style="1680" customWidth="1"/>
    <col min="23" max="28" width="6.75" style="1680" customWidth="1"/>
    <col min="29" max="29" width="13" style="1680" customWidth="1"/>
    <col min="30"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45825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3411</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2层商业-酒店</v>
      </c>
      <c r="B6" s="1711" t="str">
        <f>IF(A6=0,"","经营性")</f>
        <v>经营性</v>
      </c>
      <c r="C6" s="1712" t="s">
        <v>21</v>
      </c>
      <c r="D6" s="857">
        <f>SUMIF(项目基本情况!C$12:I$12,C6,项目基本情况!C$14:I$14)</f>
        <v>50</v>
      </c>
      <c r="E6" s="856">
        <f>IF(B6="","",SUMIF(项目基本情况!C$12:I$12,C6,项目基本情况!C$13:I$13))</f>
        <v>54563</v>
      </c>
      <c r="F6" s="64">
        <f>SUMIF(项目基本情况!C$12:I$12,C6,项目基本情况!C$15:I$15)</f>
        <v>23.93</v>
      </c>
      <c r="G6" s="65">
        <f>IF(ISERROR(ROUND(POWER(1+H6,D6-F6)*(POWER(1+H6,F6)-1)/(POWER(1+H6,D6)-1),3)),0,ROUND(POWER(1+H6,D6-F6)*(POWER(1+H6,F6)-1)/(POWER(1+H6,D6)-1),3))</f>
        <v>0.755</v>
      </c>
      <c r="H6" s="731">
        <v>0.05</v>
      </c>
      <c r="I6" s="731">
        <v>5.5E-2</v>
      </c>
      <c r="J6" s="66">
        <v>7.0000000000000007E-2</v>
      </c>
      <c r="K6" s="1029">
        <f>SUMIF('数据-汇总表'!C$19:C$33,A6,'数据-汇总表'!E$19:E$33)</f>
        <v>909.8</v>
      </c>
      <c r="L6" s="732">
        <v>3500</v>
      </c>
      <c r="M6" s="67">
        <f t="shared" ref="M6:M14" si="0">ROUND(K6*L6/10000,0)</f>
        <v>318</v>
      </c>
      <c r="N6" s="730">
        <f>N22</f>
        <v>0.7</v>
      </c>
      <c r="O6" s="67" t="str">
        <f>IF($N$5="成新度","——",ROUND(M6*N6,0))</f>
        <v>——</v>
      </c>
      <c r="P6" s="68" t="str">
        <f>IF($N$5="成新度","——",M6-O6)</f>
        <v>——</v>
      </c>
      <c r="Q6" s="733">
        <v>0.08</v>
      </c>
      <c r="R6" s="69">
        <f ca="1">SUMIF('数据-汇总表'!C$19:C$33,A6,'数据-汇总表'!R$19:R$27)</f>
        <v>0</v>
      </c>
      <c r="S6" s="51">
        <f>IF('数据-汇总表'!$I$17="按面积比例",SUMIF('数据-汇总表'!C$19:C$33,A6,'数据-汇总表'!K$19:K$33),SUMIF('数据-汇总表'!C$19:C$33,A6,'数据-汇总表'!N$19:N$33))</f>
        <v>0</v>
      </c>
      <c r="T6" s="1171">
        <f>ROUND($L$14*S6/10000,0)</f>
        <v>0</v>
      </c>
      <c r="U6" s="3481">
        <v>1.5</v>
      </c>
      <c r="V6" s="70">
        <v>1.4999999999999999E-2</v>
      </c>
      <c r="W6" s="70">
        <v>0.1</v>
      </c>
      <c r="X6" s="1039"/>
      <c r="Y6" s="71">
        <f>N6</f>
        <v>0.7</v>
      </c>
      <c r="Z6" s="72"/>
      <c r="AA6" s="66"/>
      <c r="AB6" s="66"/>
      <c r="AC6" s="1039"/>
      <c r="AD6" s="73"/>
      <c r="AE6" s="1040">
        <f ca="1">IF(AN6="",0,SUMIF(INDIRECT("'"&amp;AN6&amp;"'"&amp;"!E:E"),$AE$5,INDIRECT("'"&amp;AN6&amp;"'"&amp;"!F:F")))</f>
        <v>23</v>
      </c>
      <c r="AF6" s="1346"/>
      <c r="AG6" s="138">
        <f>IF(AF6="",0,AE6-AF6)</f>
        <v>0</v>
      </c>
      <c r="AH6" s="74"/>
      <c r="AI6" s="76">
        <v>365</v>
      </c>
      <c r="AJ6" s="77"/>
      <c r="AK6" s="85">
        <v>3.0000000000000001E-3</v>
      </c>
      <c r="AL6" s="79">
        <v>1E-3</v>
      </c>
      <c r="AM6" s="80">
        <v>0.02</v>
      </c>
      <c r="AN6" s="1713" t="s">
        <v>3509</v>
      </c>
      <c r="AO6" s="52">
        <f ca="1">SUMIF(INDIRECT("'"&amp;AN6&amp;"'"&amp;"!A:A"),"总价",INDIRECT("'"&amp;AN6&amp;"'"&amp;"!B:B"))</f>
        <v>519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0.755</v>
      </c>
      <c r="H16" s="90">
        <f>ROUND(SUMPRODUCT(H6:H13,K6:K13)/SUMPRODUCT((H6:H13&gt;0)*(K6:K13)),3)</f>
        <v>0.05</v>
      </c>
      <c r="I16" s="91"/>
      <c r="J16" s="91"/>
      <c r="K16" s="92">
        <f>SUM(K6:K15)</f>
        <v>909.8</v>
      </c>
      <c r="L16" s="93">
        <f>ROUND(M16*10000/SUM(K6:K14),0)</f>
        <v>3495</v>
      </c>
      <c r="M16" s="93">
        <f>SUM(M6:M14)</f>
        <v>318</v>
      </c>
      <c r="N16" s="94">
        <f>ROUND(SUMPRODUCT(M6:M14,N6:N14)/M16,3)</f>
        <v>0.7</v>
      </c>
      <c r="O16" s="93">
        <f>SUM(O6:O14)</f>
        <v>0</v>
      </c>
      <c r="P16" s="93">
        <f>SUM(P6:P14)</f>
        <v>0</v>
      </c>
      <c r="Q16" s="95">
        <f>ROUND(SUMPRODUCT(Q6:Q13,K6:K13)/SUMPRODUCT((Q6:Q13&gt;0)*(K6:K13)),2)</f>
        <v>0.08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f>Q16/B20</f>
        <v>0.08</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2301</v>
      </c>
      <c r="D19" s="2673"/>
      <c r="E19" s="2670"/>
      <c r="F19" s="2670"/>
      <c r="G19" s="2670"/>
      <c r="H19" s="2670"/>
      <c r="I19" s="2670"/>
      <c r="J19" s="2670"/>
      <c r="K19" s="2669"/>
      <c r="L19" s="2669"/>
      <c r="M19" s="3476" t="s">
        <v>3505</v>
      </c>
      <c r="N19" s="3477">
        <v>1998</v>
      </c>
      <c r="O19" s="3477"/>
      <c r="P19" s="2668"/>
      <c r="Q19" s="2668"/>
      <c r="R19" s="2668"/>
      <c r="S19" s="2668"/>
      <c r="T19" s="3477"/>
      <c r="U19" s="3477"/>
      <c r="V19" s="3477"/>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v>
      </c>
      <c r="C20" s="2797" t="s">
        <v>2299</v>
      </c>
      <c r="D20" s="2673"/>
      <c r="E20" s="2670"/>
      <c r="F20" s="2670"/>
      <c r="G20" s="2670"/>
      <c r="H20" s="2670"/>
      <c r="I20" s="2670"/>
      <c r="J20" s="2670"/>
      <c r="K20" s="2669"/>
      <c r="L20" s="2669"/>
      <c r="M20" s="3476" t="s">
        <v>3502</v>
      </c>
      <c r="N20" s="3477">
        <f>ROUND(1-(1-2%)*(2025-N19)/50,2)</f>
        <v>0.47</v>
      </c>
      <c r="O20" s="3477">
        <v>0.3</v>
      </c>
      <c r="P20" s="2668"/>
      <c r="Q20" s="2668"/>
      <c r="R20" s="2668"/>
      <c r="S20" s="2668"/>
      <c r="T20" s="3468" t="s">
        <v>3506</v>
      </c>
      <c r="U20" s="3468" t="s">
        <v>3507</v>
      </c>
      <c r="V20" s="3468" t="s">
        <v>3508</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1</v>
      </c>
      <c r="C21" s="2670"/>
      <c r="D21" s="2673"/>
      <c r="E21" s="2670"/>
      <c r="F21" s="2670"/>
      <c r="G21" s="2670"/>
      <c r="H21" s="2670"/>
      <c r="I21" s="2670"/>
      <c r="J21" s="2670"/>
      <c r="K21" s="2669"/>
      <c r="L21" s="2669"/>
      <c r="M21" s="3476" t="s">
        <v>3503</v>
      </c>
      <c r="N21" s="3477">
        <v>0.8</v>
      </c>
      <c r="O21" s="3477">
        <v>0.7</v>
      </c>
      <c r="P21" s="2668"/>
      <c r="Q21" s="2668"/>
      <c r="R21" s="2668"/>
      <c r="S21" s="3468"/>
      <c r="T21" s="2669">
        <v>1</v>
      </c>
      <c r="U21" s="2669">
        <v>1</v>
      </c>
      <c r="V21" s="2669">
        <v>2</v>
      </c>
      <c r="W21" s="3468"/>
      <c r="X21" s="2669"/>
      <c r="Y21" s="2668"/>
      <c r="Z21" s="2668"/>
      <c r="AA21" s="3476"/>
      <c r="AB21" s="2668"/>
      <c r="AC21" s="347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1</v>
      </c>
      <c r="C22" s="2670"/>
      <c r="D22" s="2673"/>
      <c r="E22" s="2670"/>
      <c r="F22" s="2670"/>
      <c r="G22" s="2670"/>
      <c r="H22" s="2670"/>
      <c r="I22" s="2670"/>
      <c r="J22" s="2670"/>
      <c r="K22" s="2669"/>
      <c r="L22" s="2669"/>
      <c r="M22" s="3476" t="s">
        <v>3504</v>
      </c>
      <c r="N22" s="3477">
        <f>ROUND(N20*O20+N21*O21,2)</f>
        <v>0.7</v>
      </c>
      <c r="O22" s="3477"/>
      <c r="P22" s="2668"/>
      <c r="Q22" s="2668"/>
      <c r="R22" s="3468"/>
      <c r="S22" s="2669"/>
      <c r="T22" s="2669">
        <v>2</v>
      </c>
      <c r="U22" s="2669">
        <v>0.75</v>
      </c>
      <c r="V22" s="2669">
        <f>V21*U22</f>
        <v>1.5</v>
      </c>
      <c r="W22" s="2669"/>
      <c r="X22" s="2669"/>
      <c r="Y22" s="2668"/>
      <c r="Z22" s="2668"/>
      <c r="AA22" s="3476"/>
      <c r="AB22" s="2668"/>
      <c r="AC22" s="347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1</v>
      </c>
      <c r="C23" s="2670"/>
      <c r="D23" s="2673"/>
      <c r="E23" s="2670"/>
      <c r="F23" s="2670"/>
      <c r="G23" s="2670"/>
      <c r="H23" s="2670"/>
      <c r="I23" s="2670"/>
      <c r="J23" s="2670"/>
      <c r="K23" s="2669"/>
      <c r="L23" s="2669"/>
      <c r="M23" s="2668"/>
      <c r="N23" s="2668"/>
      <c r="O23" s="2668"/>
      <c r="P23" s="2668"/>
      <c r="Q23" s="2668"/>
      <c r="R23" s="3468"/>
      <c r="S23" s="2669"/>
      <c r="T23" s="2669">
        <v>3</v>
      </c>
      <c r="U23" s="2669">
        <v>0.65</v>
      </c>
      <c r="V23" s="2669">
        <f>V21*U23</f>
        <v>1.3</v>
      </c>
      <c r="W23" s="2669"/>
      <c r="X23" s="2669"/>
      <c r="Y23" s="2668"/>
      <c r="Z23" s="2668"/>
      <c r="AA23" s="3477"/>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3467"/>
      <c r="S24" s="2669"/>
      <c r="T24" s="2669"/>
      <c r="U24" s="2669"/>
      <c r="V24" s="2669"/>
      <c r="W24" s="2669"/>
      <c r="X24" s="2669"/>
      <c r="Y24" s="2668"/>
      <c r="Z24" s="2668"/>
      <c r="AA24" s="3476"/>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9"/>
      <c r="T25" s="2669"/>
      <c r="U25" s="2669"/>
      <c r="V25" s="2669"/>
      <c r="W25" s="2669"/>
      <c r="X25" s="2669"/>
      <c r="Y25" s="2668"/>
      <c r="Z25" s="2668"/>
      <c r="AA25" s="3476"/>
      <c r="AB25" s="2668"/>
      <c r="AC25" s="3482"/>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9"/>
      <c r="T26" s="2669"/>
      <c r="U26" s="2669"/>
      <c r="V26" s="2669"/>
      <c r="W26" s="2669"/>
      <c r="X26" s="2669"/>
      <c r="Y26" s="2668"/>
      <c r="Z26" s="2668"/>
      <c r="AA26" s="3476"/>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150</v>
      </c>
      <c r="C27" s="2798" t="s">
        <v>2303</v>
      </c>
      <c r="D27" s="2676"/>
      <c r="E27" s="2659"/>
      <c r="F27" s="2659"/>
      <c r="G27" s="2670"/>
      <c r="H27" s="2670"/>
      <c r="I27" s="2670"/>
      <c r="J27" s="2670"/>
      <c r="K27" s="2669"/>
      <c r="L27" s="2669"/>
      <c r="M27" s="2668"/>
      <c r="N27" s="2668"/>
      <c r="O27" s="2668"/>
      <c r="P27" s="2668"/>
      <c r="Q27" s="2668"/>
      <c r="R27" s="2668"/>
      <c r="S27" s="2669"/>
      <c r="T27" s="2669"/>
      <c r="U27" s="2669"/>
      <c r="V27" s="2669"/>
      <c r="W27" s="2669"/>
      <c r="X27" s="2669"/>
      <c r="Y27" s="2668"/>
      <c r="Z27" s="2668"/>
      <c r="AA27" s="3476"/>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190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3467"/>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17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3467"/>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0" t="s">
        <v>3379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2.5000000000000001E-2</v>
      </c>
      <c r="C36" s="2800" t="s">
        <v>3397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0.03</v>
      </c>
      <c r="C37" s="2800" t="s">
        <v>3380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3381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0.03</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3475" t="s">
        <v>3526</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3382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72" t="s">
        <v>2285</v>
      </c>
      <c r="B1" s="3573"/>
      <c r="C1" s="3573"/>
      <c r="D1" s="3573"/>
      <c r="E1" s="3573"/>
      <c r="F1" s="3573"/>
      <c r="G1" s="357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909.8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45825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724</v>
      </c>
      <c r="C5" s="2510">
        <f ca="1">IF(B5=D14,结果表!H102,ROUND(B5*10000/$B$1,0))</f>
        <v>7958</v>
      </c>
      <c r="D5" s="2510" t="e">
        <f ca="1">ROUND(B5*10000/$B$2,0)</f>
        <v>#DIV/0!</v>
      </c>
      <c r="E5" s="2683"/>
      <c r="F5" s="2684"/>
      <c r="G5" s="2684"/>
      <c r="H5" s="2685"/>
      <c r="I5" s="2685"/>
      <c r="J5" s="2685"/>
      <c r="K5" s="2685"/>
    </row>
    <row r="6" spans="1:11" ht="16.5">
      <c r="A6" s="2510" t="s">
        <v>656</v>
      </c>
      <c r="B6" s="2510">
        <f ca="1">SUM(G14:G23)</f>
        <v>724</v>
      </c>
      <c r="C6" s="2510">
        <f ca="1">IF(B6=G14,结果表!H108,ROUND(B6*10000/$B$1,0))</f>
        <v>7958</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3352</v>
      </c>
      <c r="D10" s="2510" t="s">
        <v>3353</v>
      </c>
      <c r="E10" s="3438"/>
      <c r="F10" s="3442" t="s">
        <v>3354</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'数据-汇总表'!F19</f>
        <v>909.8</v>
      </c>
      <c r="C14" s="2516"/>
      <c r="D14" s="2516">
        <f ca="1">结果表!G19</f>
        <v>724</v>
      </c>
      <c r="E14" s="2516">
        <f ca="1">结果表!G20</f>
        <v>7958</v>
      </c>
      <c r="F14" s="2516" t="e">
        <f ca="1">ROUND(D14*10000/C14,0)</f>
        <v>#DIV/0!</v>
      </c>
      <c r="G14" s="2516">
        <f ca="1">D14</f>
        <v>724</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D31" sqref="D31"/>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41" t="str">
        <f>项目基本情况!S2</f>
        <v>北京市房山区阎村镇焦庄村西大件路北侧1号楼2层商业用房房地产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52" t="s">
        <v>1265</v>
      </c>
      <c r="B4" s="1753" t="s">
        <v>1266</v>
      </c>
      <c r="C4" s="1754" t="s">
        <v>3524</v>
      </c>
      <c r="D4" s="1754" t="s">
        <v>3525</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1268</v>
      </c>
      <c r="B5" s="3644">
        <v>25</v>
      </c>
      <c r="C5" s="3647"/>
      <c r="D5" s="3635"/>
      <c r="E5" s="131" t="s">
        <v>1269</v>
      </c>
      <c r="F5" s="1755"/>
      <c r="G5" s="1755"/>
      <c r="H5" s="1755"/>
      <c r="I5" s="1371"/>
    </row>
    <row r="6" spans="1:12" ht="12.75">
      <c r="A6" s="3589"/>
      <c r="B6" s="3644"/>
      <c r="C6" s="3649"/>
      <c r="D6" s="3635"/>
      <c r="E6" s="131" t="s">
        <v>1270</v>
      </c>
      <c r="F6" s="1755"/>
      <c r="G6" s="1755"/>
      <c r="H6" s="1755"/>
      <c r="I6" s="1371"/>
    </row>
    <row r="7" spans="1:12" ht="12.75">
      <c r="A7" s="3589"/>
      <c r="B7" s="3644"/>
      <c r="C7" s="3648"/>
      <c r="D7" s="3635"/>
      <c r="E7" s="131" t="s">
        <v>1271</v>
      </c>
      <c r="F7" s="1755"/>
      <c r="G7" s="1755"/>
      <c r="H7" s="1755"/>
      <c r="I7" s="1371"/>
    </row>
    <row r="8" spans="1:12" ht="12.75">
      <c r="A8" s="3589" t="s">
        <v>1272</v>
      </c>
      <c r="B8" s="3644">
        <v>15</v>
      </c>
      <c r="C8" s="3647"/>
      <c r="D8" s="3635"/>
      <c r="E8" s="131" t="s">
        <v>1273</v>
      </c>
      <c r="F8" s="1755"/>
      <c r="G8" s="1755"/>
      <c r="H8" s="1755"/>
      <c r="I8" s="1371"/>
    </row>
    <row r="9" spans="1:12" ht="12.75">
      <c r="A9" s="3589"/>
      <c r="B9" s="3644"/>
      <c r="C9" s="3648"/>
      <c r="D9" s="3635"/>
      <c r="E9" s="131" t="s">
        <v>1274</v>
      </c>
      <c r="F9" s="1755"/>
      <c r="G9" s="1755"/>
      <c r="H9" s="1755"/>
      <c r="I9" s="1371"/>
    </row>
    <row r="10" spans="1:12" ht="12.75">
      <c r="A10" s="3589" t="s">
        <v>1275</v>
      </c>
      <c r="B10" s="3644">
        <v>15</v>
      </c>
      <c r="C10" s="3647"/>
      <c r="D10" s="3635"/>
      <c r="E10" s="131" t="s">
        <v>1276</v>
      </c>
      <c r="F10" s="1755"/>
      <c r="G10" s="1755"/>
      <c r="H10" s="1755"/>
      <c r="I10" s="1371"/>
    </row>
    <row r="11" spans="1:12" ht="12.75">
      <c r="A11" s="3589"/>
      <c r="B11" s="3644"/>
      <c r="C11" s="3648"/>
      <c r="D11" s="3635"/>
      <c r="E11" s="131" t="s">
        <v>1277</v>
      </c>
      <c r="F11" s="1755"/>
      <c r="G11" s="1755"/>
      <c r="H11" s="1755"/>
      <c r="I11" s="1371"/>
    </row>
    <row r="12" spans="1:12" ht="12.75">
      <c r="A12" s="3589" t="s">
        <v>1278</v>
      </c>
      <c r="B12" s="3644">
        <v>15</v>
      </c>
      <c r="C12" s="3647"/>
      <c r="D12" s="3635"/>
      <c r="E12" s="131" t="s">
        <v>1279</v>
      </c>
      <c r="F12" s="1755"/>
      <c r="G12" s="1755"/>
      <c r="H12" s="1755"/>
      <c r="I12" s="1371"/>
    </row>
    <row r="13" spans="1:12" ht="12.75">
      <c r="A13" s="3589"/>
      <c r="B13" s="3644"/>
      <c r="C13" s="3648"/>
      <c r="D13" s="3635"/>
      <c r="E13" s="131" t="s">
        <v>1280</v>
      </c>
      <c r="F13" s="1755"/>
      <c r="G13" s="1755"/>
      <c r="H13" s="1755"/>
      <c r="I13" s="1371"/>
    </row>
    <row r="14" spans="1:12" ht="12.75">
      <c r="A14" s="3589" t="s">
        <v>1281</v>
      </c>
      <c r="B14" s="3644">
        <v>30</v>
      </c>
      <c r="C14" s="3647">
        <v>5</v>
      </c>
      <c r="D14" s="3635">
        <v>5</v>
      </c>
      <c r="E14" s="131" t="s">
        <v>1282</v>
      </c>
      <c r="F14" s="1755"/>
      <c r="G14" s="1755"/>
      <c r="H14" s="1755"/>
      <c r="I14" s="1371"/>
    </row>
    <row r="15" spans="1:12" ht="12.75">
      <c r="A15" s="3589"/>
      <c r="B15" s="3644"/>
      <c r="C15" s="3649"/>
      <c r="D15" s="3635"/>
      <c r="E15" s="131" t="s">
        <v>1283</v>
      </c>
      <c r="F15" s="1755"/>
      <c r="G15" s="1755"/>
      <c r="H15" s="1755"/>
      <c r="I15" s="1371"/>
    </row>
    <row r="16" spans="1:12" ht="12.75">
      <c r="A16" s="3589"/>
      <c r="B16" s="3644"/>
      <c r="C16" s="3648"/>
      <c r="D16" s="3635"/>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66" t="s">
        <v>2130</v>
      </c>
      <c r="F18" s="3667"/>
      <c r="G18" s="3667"/>
      <c r="H18" s="3667"/>
      <c r="I18" s="3667"/>
      <c r="J18" s="3832">
        <v>45352</v>
      </c>
      <c r="K18" s="302" t="s">
        <v>1289</v>
      </c>
      <c r="L18" s="302">
        <f>IF(C1="",'数据-汇总表'!E3,SUMIF(项目类型,C1,'数据-汇总表'!E17:E26)+SUMIF(项目类型,C1,'数据-汇总表'!I17:I26))</f>
        <v>909.8</v>
      </c>
      <c r="M18" s="302">
        <f>IF(C1="",'数据-汇总表'!E3,SUMIF(项目类型,C1,'数据-汇总表'!E17:E26))</f>
        <v>909.8</v>
      </c>
    </row>
    <row r="19" spans="1:36" ht="15">
      <c r="A19" s="1759" t="s">
        <v>1290</v>
      </c>
      <c r="B19" s="1760" t="s">
        <v>1291</v>
      </c>
      <c r="C19" s="134">
        <f ca="1">SUMIF(INDIRECT("'"&amp;C4&amp;"'"&amp;"!A:A"),结果表!B19,INDIRECT("'"&amp;C4&amp;"'"&amp;"!B:B"))</f>
        <v>805</v>
      </c>
      <c r="D19" s="135">
        <f ca="1">SUMIF(INDIRECT("'"&amp;D4&amp;"'"&amp;"!A:A"),结果表!B19,INDIRECT("'"&amp;D4&amp;"'"&amp;"!B:B"))</f>
        <v>643</v>
      </c>
      <c r="E19" s="1759" t="s">
        <v>1292</v>
      </c>
      <c r="F19" s="1760" t="s">
        <v>1291</v>
      </c>
      <c r="G19" s="136">
        <f ca="1">ROUND(C19*$C$18+D19*$D$18,0)</f>
        <v>724</v>
      </c>
      <c r="H19" s="1761" t="s">
        <v>1293</v>
      </c>
      <c r="I19" s="129"/>
      <c r="J19" s="724">
        <v>815</v>
      </c>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8848</v>
      </c>
      <c r="D20" s="138">
        <f ca="1">SUMIF(INDIRECT("'"&amp;D4&amp;"'"&amp;"!A:A"),结果表!B20,INDIRECT("'"&amp;D4&amp;"'"&amp;"!B:B"))</f>
        <v>7067</v>
      </c>
      <c r="E20" s="1762"/>
      <c r="F20" s="1025" t="s">
        <v>1295</v>
      </c>
      <c r="G20" s="139">
        <f ca="1">ROUND(C20*$C$18+D20*$D$18,0)</f>
        <v>7958</v>
      </c>
      <c r="H20" s="807" t="s">
        <v>1296</v>
      </c>
      <c r="I20" s="129"/>
      <c r="J20" s="724">
        <v>8953</v>
      </c>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0.25194401244167963</v>
      </c>
      <c r="E22" s="129"/>
      <c r="F22" s="129"/>
      <c r="G22" s="129"/>
      <c r="H22" s="129"/>
      <c r="I22" s="129"/>
    </row>
    <row r="23" spans="1:36" ht="13.5" thickBot="1">
      <c r="A23" s="1745"/>
      <c r="B23" s="1745"/>
      <c r="C23" s="1745"/>
      <c r="D23" s="1745"/>
      <c r="E23" s="129"/>
      <c r="F23" s="129"/>
      <c r="G23" s="129"/>
      <c r="H23" s="129"/>
      <c r="I23" s="129"/>
    </row>
    <row r="24" spans="1:36" ht="14.25">
      <c r="A24" s="3659" t="s">
        <v>1299</v>
      </c>
      <c r="B24" s="1760" t="s">
        <v>1291</v>
      </c>
      <c r="C24" s="136">
        <f>IF(B30=0,0,D30)</f>
        <v>0</v>
      </c>
      <c r="D24" s="1767"/>
      <c r="E24" s="129"/>
      <c r="F24" s="129"/>
      <c r="G24" s="129"/>
      <c r="H24" s="129"/>
      <c r="I24" s="129"/>
    </row>
    <row r="25" spans="1:36" ht="14.25">
      <c r="A25" s="3660"/>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7958</v>
      </c>
      <c r="D32" s="1773" t="s">
        <v>3435</v>
      </c>
      <c r="E32" s="129"/>
      <c r="F32" s="129"/>
      <c r="G32" s="129"/>
      <c r="H32" s="129"/>
      <c r="I32" s="129"/>
    </row>
    <row r="33" spans="1:15" ht="15">
      <c r="A33" s="785" t="s">
        <v>1306</v>
      </c>
      <c r="B33" s="1774"/>
      <c r="C33" s="1775" t="s">
        <v>3436</v>
      </c>
      <c r="D33" s="1776" t="s">
        <v>3524</v>
      </c>
      <c r="E33" s="1777" t="s">
        <v>1307</v>
      </c>
      <c r="F33" s="1778" t="str">
        <f>IF(D32="楼面单价","取值（单价）","取值（总价）")</f>
        <v>取值（单价）</v>
      </c>
      <c r="G33" s="129"/>
      <c r="H33" s="129"/>
      <c r="I33" s="129"/>
    </row>
    <row r="34" spans="1:15" ht="15">
      <c r="A34" s="1779"/>
      <c r="B34" s="1780" t="s">
        <v>1308</v>
      </c>
      <c r="C34" s="148">
        <f ca="1">IF(C33="自定义",F34,C32-C35)</f>
        <v>4926</v>
      </c>
      <c r="D34" s="860">
        <f ca="1">IF(C33="自定义",ROUND(C34/C32,3),IF(C33="收益比率",SUMIF(INDIRECT("'"&amp;D33&amp;"'"&amp;"!b:b"),"土地收益比率",INDIRECT("'"&amp;D33&amp;"'"&amp;"!c:c")),SUMIF(INDIRECT("'"&amp;D33&amp;"'"&amp;"!b:b"),"土地成本比率",INDIRECT("'"&amp;D33&amp;"'"&amp;"!c:c"))))</f>
        <v>0.61899999999999999</v>
      </c>
      <c r="E34" s="1781" t="s">
        <v>1309</v>
      </c>
      <c r="F34" s="1328"/>
      <c r="G34" s="129"/>
      <c r="H34" s="129"/>
      <c r="I34" s="129"/>
    </row>
    <row r="35" spans="1:15" ht="15.75" thickBot="1">
      <c r="A35" s="1782"/>
      <c r="B35" s="1783" t="s">
        <v>1310</v>
      </c>
      <c r="C35" s="1169">
        <f ca="1">IF(C33="自定义",F35,ROUND(C32*D35,0))</f>
        <v>3032</v>
      </c>
      <c r="D35" s="1170">
        <f ca="1">IF(C33="自定义",ROUND(C35/C32,3),IF(C33="收益比率",SUMIF(INDIRECT("'"&amp;D33&amp;"'"&amp;"!b:b"),"建筑物收益比率",INDIRECT("'"&amp;D33&amp;"'"&amp;"!c:c")),SUMIF(INDIRECT("'"&amp;D33&amp;"'"&amp;"!b:b"),"建筑物成本比率",INDIRECT("'"&amp;D33&amp;"'"&amp;"!c:c"))))</f>
        <v>0.38100000000000001</v>
      </c>
      <c r="E35" s="1784" t="s">
        <v>1311</v>
      </c>
      <c r="F35" s="154"/>
      <c r="G35" s="129"/>
      <c r="H35" s="129"/>
      <c r="I35" s="129"/>
    </row>
    <row r="36" spans="1:15" ht="15.75" thickBot="1">
      <c r="A36" s="3636" t="s">
        <v>1312</v>
      </c>
      <c r="B36" s="1785" t="s">
        <v>1313</v>
      </c>
      <c r="C36" s="145"/>
      <c r="D36" s="1786"/>
      <c r="E36" s="1787"/>
      <c r="F36" s="1788"/>
      <c r="G36" s="129"/>
      <c r="H36" s="129"/>
      <c r="I36" s="129"/>
    </row>
    <row r="37" spans="1:15" ht="15.75" thickBot="1">
      <c r="A37" s="3637"/>
      <c r="B37" s="1672" t="s">
        <v>1314</v>
      </c>
      <c r="C37" s="147"/>
      <c r="D37" s="1138"/>
      <c r="E37" s="1138"/>
      <c r="F37" s="1788"/>
      <c r="G37" s="129"/>
      <c r="H37" s="129"/>
      <c r="I37" s="129"/>
    </row>
    <row r="38" spans="1:15" ht="15.75" thickBot="1">
      <c r="A38" s="3638"/>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6" t="s">
        <v>1326</v>
      </c>
      <c r="B45" s="3657"/>
      <c r="C45" s="3658"/>
      <c r="D45" s="155">
        <f ca="1">ROUND(H101*F45,0)</f>
        <v>724</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4"/>
      <c r="I46" s="159"/>
      <c r="J46" s="2521">
        <v>1</v>
      </c>
      <c r="K46" s="3577" t="s">
        <v>1331</v>
      </c>
      <c r="L46" s="3577"/>
      <c r="M46" s="3578"/>
      <c r="N46" s="3578"/>
      <c r="O46" s="3578"/>
    </row>
    <row r="47" spans="1:15" ht="12" customHeight="1">
      <c r="A47" s="160" t="s">
        <v>1332</v>
      </c>
      <c r="B47" s="161"/>
      <c r="C47" s="162"/>
      <c r="D47" s="1086" t="s">
        <v>1333</v>
      </c>
      <c r="E47" s="302" t="s">
        <v>1334</v>
      </c>
      <c r="F47" s="163" t="s">
        <v>1335</v>
      </c>
      <c r="G47" s="2544" t="s">
        <v>1336</v>
      </c>
      <c r="H47" s="2545"/>
      <c r="I47" s="159"/>
      <c r="J47" s="2521">
        <v>2</v>
      </c>
      <c r="K47" s="3577" t="s">
        <v>1337</v>
      </c>
      <c r="L47" s="3577"/>
      <c r="M47" s="3579">
        <f>'数据-取费表'!B2</f>
        <v>45825</v>
      </c>
      <c r="N47" s="3579"/>
      <c r="O47" s="3579"/>
    </row>
    <row r="48" spans="1:15" ht="25.5">
      <c r="A48" s="3639" t="s">
        <v>1338</v>
      </c>
      <c r="B48" s="3640"/>
      <c r="C48" s="3640"/>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77" t="s">
        <v>1340</v>
      </c>
      <c r="L48" s="3577"/>
      <c r="M48" s="3580">
        <f ca="1">H101</f>
        <v>724</v>
      </c>
      <c r="N48" s="3580"/>
      <c r="O48" s="3580"/>
    </row>
    <row r="49" spans="1:35" ht="25.5" customHeight="1">
      <c r="A49" s="2331" t="s">
        <v>1341</v>
      </c>
      <c r="B49" s="3625" t="s">
        <v>1342</v>
      </c>
      <c r="C49" s="3625"/>
      <c r="D49" s="1588">
        <v>0</v>
      </c>
      <c r="E49" s="324" t="s">
        <v>1343</v>
      </c>
      <c r="F49" s="2422" t="s">
        <v>28</v>
      </c>
      <c r="G49" s="3608"/>
      <c r="H49" s="2308" t="s">
        <v>2133</v>
      </c>
      <c r="I49" s="2309"/>
      <c r="J49" s="2521">
        <v>4</v>
      </c>
      <c r="K49" s="3577" t="str">
        <f>IF(项目基本情况!E8="房地产抵押价值","房地产抵押价值","抵押担保权已注销时的房地产抵押价值")</f>
        <v>房地产抵押价值</v>
      </c>
      <c r="L49" s="3577"/>
      <c r="M49" s="3580">
        <f ca="1">IF(项目基本情况!E8="房地产抵押价值",H107,H109)</f>
        <v>724</v>
      </c>
      <c r="N49" s="3580"/>
      <c r="O49" s="3580"/>
    </row>
    <row r="50" spans="1:35" ht="25.5" customHeight="1">
      <c r="A50" s="2549"/>
      <c r="B50" s="3625" t="s">
        <v>1344</v>
      </c>
      <c r="C50" s="3625"/>
      <c r="D50" s="2550"/>
      <c r="E50" s="332"/>
      <c r="F50" s="2422"/>
      <c r="G50" s="3609"/>
      <c r="H50" s="2310" t="s">
        <v>2134</v>
      </c>
      <c r="I50" s="2309"/>
      <c r="J50" s="3576" t="s">
        <v>1345</v>
      </c>
      <c r="K50" s="3576"/>
      <c r="L50" s="3576"/>
      <c r="M50" s="3576"/>
      <c r="N50" s="3576"/>
      <c r="O50" s="3576"/>
    </row>
    <row r="51" spans="1:35" ht="20.45" customHeight="1">
      <c r="A51" s="2551"/>
      <c r="B51" s="3625" t="s">
        <v>1346</v>
      </c>
      <c r="C51" s="3625"/>
      <c r="D51" s="1086"/>
      <c r="E51" s="327"/>
      <c r="F51" s="2422"/>
      <c r="G51" s="3610"/>
      <c r="H51" s="2310" t="s">
        <v>2135</v>
      </c>
      <c r="I51" s="2309"/>
      <c r="J51" s="2522" t="s">
        <v>1347</v>
      </c>
      <c r="K51" s="3577" t="s">
        <v>1348</v>
      </c>
      <c r="L51" s="3577"/>
      <c r="M51" s="2522" t="s">
        <v>1349</v>
      </c>
      <c r="N51" s="2522" t="s">
        <v>1350</v>
      </c>
      <c r="O51" s="2522" t="s">
        <v>1351</v>
      </c>
    </row>
    <row r="52" spans="1:35" ht="24" customHeight="1">
      <c r="A52" s="2333" t="s">
        <v>1352</v>
      </c>
      <c r="B52" s="3625" t="s">
        <v>1353</v>
      </c>
      <c r="C52" s="3625"/>
      <c r="D52" s="1086">
        <f ca="1">ROUND(D45*'数据-取费表'!B41/(1+'数据-取费表'!C42),0)</f>
        <v>38</v>
      </c>
      <c r="E52" s="2332" t="s">
        <v>1354</v>
      </c>
      <c r="F52" s="2552">
        <f>'数据-取费表'!B41</f>
        <v>5.5000000000000007E-2</v>
      </c>
      <c r="G52" s="2553"/>
      <c r="H52" s="2542"/>
      <c r="I52" s="1805"/>
      <c r="J52" s="2521">
        <v>1</v>
      </c>
      <c r="K52" s="3602" t="s">
        <v>1355</v>
      </c>
      <c r="L52" s="3602"/>
      <c r="M52" s="2523" t="b">
        <f>D48</f>
        <v>0</v>
      </c>
      <c r="N52" s="2521" t="str">
        <f>E48</f>
        <v>销售额×税（费）率</v>
      </c>
      <c r="O52" s="2524">
        <f>F48</f>
        <v>5.5000000000000007E-2</v>
      </c>
    </row>
    <row r="53" spans="1:35" ht="12" customHeight="1">
      <c r="A53" s="2333" t="s">
        <v>1356</v>
      </c>
      <c r="B53" s="3626" t="s">
        <v>2290</v>
      </c>
      <c r="C53" s="3627"/>
      <c r="D53" s="1086">
        <f ca="1">ROUND(D45*'数据-取费表'!B41/(1+'数据-取费表'!C42),0)</f>
        <v>38</v>
      </c>
      <c r="E53" s="2332" t="s">
        <v>1354</v>
      </c>
      <c r="F53" s="2552">
        <f>'数据-取费表'!B41</f>
        <v>5.5000000000000007E-2</v>
      </c>
      <c r="G53" s="2553"/>
      <c r="H53" s="2542"/>
      <c r="I53" s="1805"/>
      <c r="J53" s="2521">
        <v>2</v>
      </c>
      <c r="K53" s="3602" t="s">
        <v>1357</v>
      </c>
      <c r="L53" s="3602"/>
      <c r="M53" s="2523">
        <f t="shared" ref="M53:O54" ca="1" si="0">D55</f>
        <v>0</v>
      </c>
      <c r="N53" s="2521" t="str">
        <f t="shared" si="0"/>
        <v>销售额×税（费）率</v>
      </c>
      <c r="O53" s="2524" t="str">
        <f t="shared" si="0"/>
        <v>免征</v>
      </c>
    </row>
    <row r="54" spans="1:35" ht="12" customHeight="1">
      <c r="A54" s="2333" t="s">
        <v>1358</v>
      </c>
      <c r="B54" s="3626" t="s">
        <v>2291</v>
      </c>
      <c r="C54" s="3627"/>
      <c r="D54" s="1086">
        <f ca="1">C68</f>
        <v>38</v>
      </c>
      <c r="E54" s="327" t="s">
        <v>1359</v>
      </c>
      <c r="F54" s="2552">
        <f>'数据-取费表'!B41</f>
        <v>5.5000000000000007E-2</v>
      </c>
      <c r="G54" s="2553"/>
      <c r="H54" s="2554"/>
      <c r="I54" s="1805"/>
      <c r="J54" s="2521">
        <v>3</v>
      </c>
      <c r="K54" s="3602" t="s">
        <v>1360</v>
      </c>
      <c r="L54" s="3602"/>
      <c r="M54" s="2523">
        <f t="shared" ca="1" si="0"/>
        <v>411</v>
      </c>
      <c r="N54" s="2521" t="str">
        <f t="shared" si="0"/>
        <v>增值额×税（费）率</v>
      </c>
      <c r="O54" s="2525" t="str">
        <f t="shared" si="0"/>
        <v>免征</v>
      </c>
    </row>
    <row r="55" spans="1:35" ht="24" customHeight="1">
      <c r="A55" s="3662" t="s">
        <v>1361</v>
      </c>
      <c r="B55" s="3640"/>
      <c r="C55" s="3640"/>
      <c r="D55" s="2322">
        <f ca="1">IF(H55="个人住宅",0,ROUND(D45*I55,0))</f>
        <v>0</v>
      </c>
      <c r="E55" s="2332"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f ca="1">D59</f>
        <v>7</v>
      </c>
      <c r="N55" s="2038" t="str">
        <f>E59</f>
        <v>差额计税</v>
      </c>
      <c r="O55" s="2527">
        <f>F59</f>
        <v>0.01</v>
      </c>
    </row>
    <row r="56" spans="1:35" ht="24.75">
      <c r="A56" s="3662" t="s">
        <v>1363</v>
      </c>
      <c r="B56" s="3640"/>
      <c r="C56" s="3640"/>
      <c r="D56" s="2322">
        <f ca="1">IF(H56="个人住宅",D57,D58)</f>
        <v>411</v>
      </c>
      <c r="E56" s="2332" t="s">
        <v>1364</v>
      </c>
      <c r="F56" s="2552" t="str">
        <f>IF(H56="正常",F58,"免征")</f>
        <v>免征</v>
      </c>
      <c r="G56" s="2555" t="s">
        <v>1365</v>
      </c>
      <c r="H56" s="2556"/>
      <c r="I56" s="1806"/>
      <c r="J56" s="2521" t="str">
        <f>IF(项目基本情况!K6="上海银行",IF(J55="",4,J55+1),"")</f>
        <v/>
      </c>
      <c r="K56" s="3583" t="str">
        <f>IF(项目基本情况!K6="上海银行","其他处置费用","")</f>
        <v/>
      </c>
      <c r="L56" s="3584"/>
      <c r="M56" s="2523" t="str">
        <f>IF(项目基本情况!K6="上海银行",M69,"")</f>
        <v/>
      </c>
      <c r="N56" s="3583" t="str">
        <f>IF(项目基本情况!K6="上海银行","包含处置中涉及的律师、诉讼、拍卖、评估等费用","")</f>
        <v/>
      </c>
      <c r="O56" s="3586"/>
    </row>
    <row r="57" spans="1:35" ht="12.75">
      <c r="A57" s="2333" t="s">
        <v>1341</v>
      </c>
      <c r="B57" s="3626" t="s">
        <v>1366</v>
      </c>
      <c r="C57" s="3627"/>
      <c r="D57" s="1588">
        <v>0</v>
      </c>
      <c r="E57" s="324" t="s">
        <v>1343</v>
      </c>
      <c r="F57" s="302"/>
      <c r="G57" s="2553"/>
      <c r="H57" s="2557"/>
      <c r="I57" s="1806"/>
      <c r="J57" s="3602">
        <f>IF(AND(J55="",J56=""),4,IF(项目基本情况!K6="上海银行",结果表!J56+1,结果表!J55+1))</f>
        <v>5</v>
      </c>
      <c r="K57" s="3602" t="s">
        <v>1367</v>
      </c>
      <c r="L57" s="2528" t="s">
        <v>1368</v>
      </c>
      <c r="M57" s="2529"/>
      <c r="N57" s="2530">
        <f ca="1">SUMIF(M52:M56,"&lt;9e307")</f>
        <v>418</v>
      </c>
      <c r="O57" s="2531"/>
      <c r="P57" s="2687">
        <f ca="1">N57/M49</f>
        <v>0.57734806629834257</v>
      </c>
    </row>
    <row r="58" spans="1:35" ht="24.75">
      <c r="A58" s="2333" t="s">
        <v>1352</v>
      </c>
      <c r="B58" s="3626" t="s">
        <v>1369</v>
      </c>
      <c r="C58" s="3625"/>
      <c r="D58" s="2322">
        <f ca="1">IF(H58="转让取得",C81,C97)</f>
        <v>411</v>
      </c>
      <c r="E58" s="2332" t="s">
        <v>1364</v>
      </c>
      <c r="F58" s="302" t="s">
        <v>28</v>
      </c>
      <c r="G58" s="2553"/>
      <c r="H58" s="2556"/>
      <c r="I58" s="1806"/>
      <c r="J58" s="3602"/>
      <c r="K58" s="3602"/>
      <c r="L58" s="2528" t="s">
        <v>1370</v>
      </c>
      <c r="M58" s="2532"/>
      <c r="N58" s="2533" t="str">
        <f ca="1">NUMBERSTRING(INT(N57*10000),2)&amp;"元整"</f>
        <v>肆佰壹拾捌万元整</v>
      </c>
      <c r="O58" s="2534"/>
    </row>
    <row r="59" spans="1:35" ht="24.75" thickBot="1">
      <c r="A59" s="3606" t="s">
        <v>1371</v>
      </c>
      <c r="B59" s="3607"/>
      <c r="C59" s="3607"/>
      <c r="D59" s="2558">
        <f ca="1">IF(H59="非个人房产","——",IF(H59="个人住宅（满五唯一有凭证）",0,IF(H59="个人其他（无凭证）",ROUND(D45*F59,0),ROUND(C67*F59,0))))</f>
        <v>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4">
        <f>J57+1</f>
        <v>6</v>
      </c>
      <c r="K59" s="3602" t="s">
        <v>1372</v>
      </c>
      <c r="L59" s="2521" t="s">
        <v>1368</v>
      </c>
      <c r="M59" s="2535"/>
      <c r="N59" s="2536">
        <f ca="1">M49-N57</f>
        <v>306</v>
      </c>
      <c r="O59" s="2537"/>
    </row>
    <row r="60" spans="1:35" ht="12" customHeight="1">
      <c r="A60" s="1807"/>
      <c r="B60" s="1745"/>
      <c r="C60" s="1745"/>
      <c r="D60" s="1745"/>
      <c r="E60" s="1576"/>
      <c r="F60" s="1806"/>
      <c r="G60" s="1806"/>
      <c r="H60" s="1808"/>
      <c r="I60" s="129"/>
      <c r="J60" s="3605"/>
      <c r="K60" s="3602"/>
      <c r="L60" s="2528" t="s">
        <v>1370</v>
      </c>
      <c r="M60" s="2532"/>
      <c r="N60" s="2533" t="str">
        <f ca="1">NUMBERSTRING(INT(N59*10000),2)&amp;"元整"</f>
        <v>叁佰零陆万元整</v>
      </c>
      <c r="O60" s="2534"/>
    </row>
    <row r="61" spans="1:35" ht="13.5" thickBot="1">
      <c r="A61" s="3661" t="s">
        <v>1373</v>
      </c>
      <c r="B61" s="3661"/>
      <c r="C61" s="3661"/>
      <c r="D61" s="3661"/>
      <c r="E61" s="3661"/>
      <c r="F61" s="1806"/>
      <c r="G61" s="1806"/>
      <c r="H61" s="1808"/>
      <c r="I61" s="129"/>
      <c r="J61" s="2521">
        <f>J59+1</f>
        <v>7</v>
      </c>
      <c r="K61" s="3602" t="s">
        <v>1374</v>
      </c>
      <c r="L61" s="3602"/>
      <c r="M61" s="2538"/>
      <c r="N61" s="2539">
        <f ca="1">ROUND(N59*10000/'数据-汇总表'!E3,0)</f>
        <v>3363</v>
      </c>
      <c r="O61" s="2540"/>
    </row>
    <row r="62" spans="1:35" ht="12.75">
      <c r="A62" s="3621" t="s">
        <v>1375</v>
      </c>
      <c r="B62" s="3622"/>
      <c r="C62" s="2019"/>
      <c r="D62" s="2019" t="s">
        <v>1376</v>
      </c>
      <c r="E62" s="166" t="s">
        <v>1377</v>
      </c>
      <c r="F62" s="1806"/>
      <c r="G62" s="1806"/>
      <c r="H62" s="1808"/>
      <c r="I62" s="129"/>
    </row>
    <row r="63" spans="1:35" ht="12.75">
      <c r="A63" s="173" t="s">
        <v>330</v>
      </c>
      <c r="B63" s="167" t="s">
        <v>1378</v>
      </c>
      <c r="C63" s="2562">
        <f ca="1">ROUND((C64+C65)/(1+'数据-取费表'!C42),0)</f>
        <v>690</v>
      </c>
      <c r="D63" s="167"/>
      <c r="E63" s="168"/>
      <c r="F63" s="1806"/>
      <c r="G63" s="1806"/>
      <c r="H63" s="1808"/>
      <c r="I63" s="129"/>
      <c r="J63" s="3585" t="s">
        <v>1379</v>
      </c>
      <c r="K63" s="1330" t="s">
        <v>1380</v>
      </c>
      <c r="L63" s="1330">
        <f ca="1">IF(M49&gt;10000,M49*0.5%,IF(AND(M49&gt;1000,M49&lt;=10000),M49*1%,IF(AND(M49&gt;100,M49&lt;=1000),M49*3%,IF(AND(M49&gt;10,M49&lt;=100),M49*5%,M49*8%))))</f>
        <v>21.72</v>
      </c>
      <c r="M63" s="302">
        <f ca="1">ROUND(L63,1)</f>
        <v>21.7</v>
      </c>
      <c r="N63" s="2541"/>
      <c r="Z63" s="1750"/>
      <c r="AI63" s="1751"/>
    </row>
    <row r="64" spans="1:35" ht="14.25" customHeight="1">
      <c r="A64" s="169" t="s">
        <v>325</v>
      </c>
      <c r="B64" s="170" t="s">
        <v>1381</v>
      </c>
      <c r="C64" s="2563">
        <f ca="1">D45</f>
        <v>724</v>
      </c>
      <c r="D64" s="170" t="s">
        <v>26</v>
      </c>
      <c r="E64" s="172"/>
      <c r="F64" s="1806"/>
      <c r="G64" s="1806"/>
      <c r="H64" s="1808"/>
      <c r="I64" s="129"/>
      <c r="J64" s="3585"/>
      <c r="K64" s="1330" t="s">
        <v>1382</v>
      </c>
      <c r="L64" s="1330">
        <f ca="1">IF(M49&gt;2000,M49*0.5%,IF(AND(M49&gt;1000,M49&lt;=2000),M49*0.6%,IF(AND(M49&gt;500,M49&lt;=1000),M49*0.7%,IF(AND(M49&gt;200,M49&lt;=500),M49*0.8%,IF(AND(M49&gt;100,M49&lt;=200),M49*0.9%,IF(AND(M49&gt;50,M49&lt;=100),M49*1%,IF(AND(M49&gt;20,M49&lt;=50),M49*1.5%,IF(AND(M49&gt;10,M49&lt;=20),M49*2%,IF(AND(M49&gt;1,M49&lt;=10),M49*2.5%)))))))))</f>
        <v>5.0679999999999996</v>
      </c>
      <c r="M64" s="302">
        <f t="shared" ref="M64:M65" ca="1" si="1">ROUND(L64,1)</f>
        <v>5.0999999999999996</v>
      </c>
      <c r="N64" s="2542" t="s">
        <v>1383</v>
      </c>
      <c r="Z64" s="1750"/>
      <c r="AI64" s="1751"/>
    </row>
    <row r="65" spans="1:35" ht="14.25" customHeight="1">
      <c r="A65" s="169" t="s">
        <v>326</v>
      </c>
      <c r="B65" s="170" t="s">
        <v>1384</v>
      </c>
      <c r="C65" s="2564"/>
      <c r="D65" s="170"/>
      <c r="E65" s="172"/>
      <c r="F65" s="1806"/>
      <c r="G65" s="1806"/>
      <c r="H65" s="1808"/>
      <c r="I65" s="129"/>
      <c r="J65" s="3585"/>
      <c r="K65" s="1330" t="s">
        <v>1385</v>
      </c>
      <c r="L65" s="1330">
        <f ca="1">IF(M49&gt;1000,M49*0.1%,IF(AND(M49&gt;500,M49&lt;=1000),M49*0.5%,IF(AND(M49&gt;50,M49&lt;=500),M49*1%,IF(AND(M49&gt;1,M49&lt;=50),M49*1.5%))))</f>
        <v>3.62</v>
      </c>
      <c r="M65" s="302">
        <f t="shared" ca="1" si="1"/>
        <v>3.6</v>
      </c>
      <c r="N65" s="2542" t="s">
        <v>1383</v>
      </c>
      <c r="Z65" s="1750"/>
      <c r="AI65" s="1751"/>
    </row>
    <row r="66" spans="1:35" ht="14.25" customHeight="1">
      <c r="A66" s="173" t="s">
        <v>327</v>
      </c>
      <c r="B66" s="174" t="s">
        <v>1386</v>
      </c>
      <c r="C66" s="2565"/>
      <c r="D66" s="174" t="s">
        <v>26</v>
      </c>
      <c r="E66" s="1336" t="s">
        <v>671</v>
      </c>
      <c r="F66" s="1806"/>
      <c r="G66" s="1806"/>
      <c r="H66" s="1808"/>
      <c r="I66" s="129"/>
      <c r="J66" s="3585"/>
      <c r="K66" s="1330" t="s">
        <v>1387</v>
      </c>
      <c r="L66" s="1330">
        <f ca="1">M49*0.5%</f>
        <v>3.62</v>
      </c>
      <c r="M66" s="302">
        <f ca="1">IF(L66&gt;0.5,0.5,ROUND(L66,0))</f>
        <v>0.5</v>
      </c>
      <c r="N66" s="2542" t="s">
        <v>1388</v>
      </c>
      <c r="Z66" s="1750"/>
      <c r="AI66" s="1751"/>
    </row>
    <row r="67" spans="1:35" ht="14.25" customHeight="1">
      <c r="A67" s="173" t="s">
        <v>328</v>
      </c>
      <c r="B67" s="174" t="s">
        <v>1389</v>
      </c>
      <c r="C67" s="2566">
        <f ca="1">C63-C66</f>
        <v>690</v>
      </c>
      <c r="D67" s="170" t="s">
        <v>26</v>
      </c>
      <c r="E67" s="172"/>
      <c r="F67" s="1806"/>
      <c r="G67" s="1806"/>
      <c r="H67" s="1808"/>
      <c r="I67" s="129"/>
      <c r="J67" s="3585"/>
      <c r="K67" s="1330" t="s">
        <v>1390</v>
      </c>
      <c r="L67" s="1330">
        <f ca="1">IF(M49&gt;=10000,(8.25+(M49-10000)*0.01%),IF(AND(M49&gt;=8000,M49&lt;10000),(7.85+(M49-8000)*0.02%),IF(AND(M49&gt;=5000,M49&lt;8000),(6.65+(M49-5000)*0.04%),IF(AND(M49&gt;=2000,M49&lt;5000),(4.25+(PM49-2000)*0.08%),IF(AND(M49&gt;=1000,M49&lt;2000),(2.75+(M49-1000)*0.15%),IF(AND(M49&gt;=100,M49&lt;1000),(0.5+(M49-100)*0.25%),IF(AND(M49&gt;0,M49&lt;100),M49*0.5%)))))))</f>
        <v>2.06</v>
      </c>
      <c r="M67" s="302">
        <f ca="1">ROUND(L67*0.9,1)</f>
        <v>1.9</v>
      </c>
      <c r="N67" s="2541"/>
      <c r="Z67" s="1750"/>
      <c r="AI67" s="1751"/>
    </row>
    <row r="68" spans="1:35" ht="14.25" customHeight="1" thickBot="1">
      <c r="A68" s="176" t="s">
        <v>329</v>
      </c>
      <c r="B68" s="177" t="s">
        <v>1391</v>
      </c>
      <c r="C68" s="2567">
        <f ca="1">IF(C67&lt;=0,0,ROUND(C67*D68,0))</f>
        <v>38</v>
      </c>
      <c r="D68" s="2568">
        <f>'数据-取费表'!B41</f>
        <v>5.5000000000000007E-2</v>
      </c>
      <c r="E68" s="178"/>
      <c r="F68" s="1806"/>
      <c r="G68" s="1806"/>
      <c r="H68" s="1808"/>
      <c r="I68" s="129"/>
      <c r="J68" s="3585"/>
      <c r="K68" s="1330" t="s">
        <v>1392</v>
      </c>
      <c r="L68" s="1330">
        <f ca="1">IF(M49&gt;10000,M49*0.5%,IF(AND(M49&gt;5000,M49&lt;=10000),M49*1%,IF(AND(M49&gt;1000,M49&lt;=5000),M49*2%,IF(AND(M49&gt;200,M49&lt;=1000),M49*3%,M49*5%))))</f>
        <v>21.72</v>
      </c>
      <c r="M68" s="302">
        <f ca="1">ROUND(L68,1)</f>
        <v>21.7</v>
      </c>
      <c r="N68" s="2541"/>
      <c r="Z68" s="1750"/>
      <c r="AI68" s="1751"/>
    </row>
    <row r="69" spans="1:35" s="1770" customFormat="1" ht="16.5" customHeight="1">
      <c r="A69" s="1809"/>
      <c r="B69" s="1810"/>
      <c r="C69" s="1811"/>
      <c r="D69" s="1812"/>
      <c r="E69" s="1813"/>
      <c r="F69" s="1576"/>
      <c r="G69" s="1576"/>
      <c r="H69" s="1575"/>
      <c r="I69" s="1745"/>
      <c r="J69" s="3585"/>
      <c r="K69" s="1330" t="s">
        <v>1393</v>
      </c>
      <c r="L69" s="1330"/>
      <c r="M69" s="302">
        <f ca="1">ROUND(SUM(M63:M68),0)</f>
        <v>55</v>
      </c>
      <c r="N69" s="2543">
        <f ca="1">M69/M49</f>
        <v>7.5966850828729282E-2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29" t="s">
        <v>1394</v>
      </c>
      <c r="B70" s="3630"/>
      <c r="C70" s="3630"/>
      <c r="D70" s="3630"/>
      <c r="E70" s="3630"/>
      <c r="F70" s="3630"/>
      <c r="G70" s="3630"/>
      <c r="H70" s="363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1" t="s">
        <v>1375</v>
      </c>
      <c r="B71" s="3622"/>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690</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6" t="s">
        <v>1402</v>
      </c>
      <c r="F76" s="3625"/>
      <c r="G76" s="3625"/>
      <c r="H76" s="362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5.000000000000001E-3</v>
      </c>
      <c r="E78" s="3618" t="s">
        <v>1406</v>
      </c>
      <c r="F78" s="3619"/>
      <c r="G78" s="3619"/>
      <c r="H78" s="362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687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229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411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9" t="s">
        <v>1410</v>
      </c>
      <c r="B83" s="3630"/>
      <c r="C83" s="3630"/>
      <c r="D83" s="3630"/>
      <c r="E83" s="3630"/>
      <c r="F83" s="3630"/>
      <c r="G83" s="3630"/>
      <c r="H83" s="363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1" t="s">
        <v>1375</v>
      </c>
      <c r="B84" s="362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690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87" t="s">
        <v>2128</v>
      </c>
      <c r="H90" s="358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8" t="s">
        <v>1419</v>
      </c>
      <c r="F91" s="3619"/>
      <c r="G91" s="361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8" t="s">
        <v>1422</v>
      </c>
      <c r="F92" s="3619"/>
      <c r="G92" s="3619"/>
      <c r="H92" s="362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5.000000000000001E-3</v>
      </c>
      <c r="E93" s="3618" t="s">
        <v>1406</v>
      </c>
      <c r="F93" s="3619"/>
      <c r="G93" s="3619"/>
      <c r="H93" s="362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63" t="s">
        <v>1426</v>
      </c>
      <c r="F94" s="3664"/>
      <c r="G94" s="3664"/>
      <c r="H94" s="36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687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229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411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3" t="str">
        <f>C4</f>
        <v>成本法</v>
      </c>
      <c r="D101" s="2584" t="str">
        <f>D4</f>
        <v>收益法-酒店模型</v>
      </c>
      <c r="E101" s="3581" t="s">
        <v>1431</v>
      </c>
      <c r="F101" s="3582"/>
      <c r="G101" s="1825" t="s">
        <v>1432</v>
      </c>
      <c r="H101" s="2593">
        <f ca="1">H118</f>
        <v>724</v>
      </c>
      <c r="I101" s="129"/>
    </row>
    <row r="102" spans="1:35" ht="18.75" customHeight="1">
      <c r="A102" s="3613" t="s">
        <v>1433</v>
      </c>
      <c r="B102" s="2582" t="s">
        <v>1432</v>
      </c>
      <c r="C102" s="2583">
        <f ca="1">IF(D32="楼面单价",ROUND(C19,0),C19)</f>
        <v>805</v>
      </c>
      <c r="D102" s="2584">
        <f ca="1">IF(D32="楼面单价",ROUND(D19,0),D19)</f>
        <v>643</v>
      </c>
      <c r="E102" s="3581"/>
      <c r="F102" s="3582"/>
      <c r="G102" s="1825" t="s">
        <v>1434</v>
      </c>
      <c r="H102" s="2553">
        <f ca="1">I118</f>
        <v>7958</v>
      </c>
      <c r="I102" s="129"/>
    </row>
    <row r="103" spans="1:35" ht="42.75" customHeight="1">
      <c r="A103" s="3613"/>
      <c r="B103" s="2582" t="s">
        <v>1434</v>
      </c>
      <c r="C103" s="2585">
        <f ca="1">C20</f>
        <v>8848</v>
      </c>
      <c r="D103" s="2586">
        <f ca="1">D20</f>
        <v>7067</v>
      </c>
      <c r="E103" s="3574" t="s">
        <v>1435</v>
      </c>
      <c r="F103" s="3575"/>
      <c r="G103" s="1826" t="s">
        <v>1436</v>
      </c>
      <c r="H103" s="2593">
        <f>IF(D36="正常操作",H104+H105+H106,H105+H106)</f>
        <v>0</v>
      </c>
      <c r="I103" s="129"/>
    </row>
    <row r="104" spans="1:35" ht="18.75" customHeight="1">
      <c r="A104" s="3613" t="s">
        <v>1437</v>
      </c>
      <c r="B104" s="2587" t="s">
        <v>1432</v>
      </c>
      <c r="C104" s="2588">
        <f ca="1">H118</f>
        <v>724</v>
      </c>
      <c r="D104" s="2589"/>
      <c r="E104" s="1672" t="s">
        <v>1438</v>
      </c>
      <c r="F104" s="1664"/>
      <c r="G104" s="1826" t="s">
        <v>1436</v>
      </c>
      <c r="H104" s="2594">
        <f>IF(D36="同一抵押权人同一抵押物续贷",C36&amp;"（续贷，未扣减，详见特别提示）",C36)</f>
        <v>0</v>
      </c>
      <c r="I104" s="129"/>
    </row>
    <row r="105" spans="1:35" ht="18.75" customHeight="1" thickBot="1">
      <c r="A105" s="3623"/>
      <c r="B105" s="2590" t="s">
        <v>1434</v>
      </c>
      <c r="C105" s="2591">
        <f ca="1">I118</f>
        <v>7958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14" t="str">
        <f>IF(项目基本情况!E8="已注销","——","3.房地产抵押价值")</f>
        <v>3.房地产抵押价值</v>
      </c>
      <c r="F107" s="3582"/>
      <c r="G107" s="1825" t="s">
        <v>1432</v>
      </c>
      <c r="H107" s="2593">
        <f ca="1">IF(E107="——","——",H101-H103)</f>
        <v>724</v>
      </c>
      <c r="I107" s="129"/>
    </row>
    <row r="108" spans="1:35" ht="18.75" customHeight="1">
      <c r="A108" s="129"/>
      <c r="B108" s="129"/>
      <c r="C108" s="129"/>
      <c r="D108" s="129"/>
      <c r="E108" s="3614"/>
      <c r="F108" s="3582"/>
      <c r="G108" s="1825" t="s">
        <v>1434</v>
      </c>
      <c r="H108" s="2553">
        <f ca="1">IF(H107=H101,H102,ROUND(H107*10000/'数据-汇总表'!E3,0))</f>
        <v>7958</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5" t="s">
        <v>1432</v>
      </c>
      <c r="H109" s="2596" t="str">
        <f>IF(E109="——","——",H101-H105-H106)</f>
        <v>——</v>
      </c>
      <c r="I109" s="129"/>
    </row>
    <row r="110" spans="1:35" ht="18.75" customHeight="1">
      <c r="A110" s="129"/>
      <c r="B110" s="129"/>
      <c r="C110" s="129"/>
      <c r="D110" s="129"/>
      <c r="E110" s="3614"/>
      <c r="F110" s="3582"/>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624" t="s">
        <v>1440</v>
      </c>
      <c r="F113" s="3624"/>
      <c r="G113" s="3624"/>
      <c r="H113" s="3624"/>
      <c r="I113" s="129"/>
    </row>
    <row r="114" spans="1:27" ht="3.75" customHeight="1">
      <c r="A114" s="1745"/>
      <c r="B114" s="1745"/>
      <c r="C114" s="1745"/>
      <c r="D114" s="1745"/>
      <c r="E114" s="1807"/>
      <c r="F114" s="1807"/>
      <c r="G114" s="1807"/>
      <c r="H114" s="1807"/>
      <c r="I114" s="1745"/>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7" t="s">
        <v>1449</v>
      </c>
      <c r="E117" s="2327" t="s">
        <v>1450</v>
      </c>
      <c r="F117" s="2327" t="s">
        <v>1449</v>
      </c>
      <c r="G117" s="2327" t="s">
        <v>1451</v>
      </c>
      <c r="H117" s="2327" t="s">
        <v>1449</v>
      </c>
      <c r="I117" s="2327" t="s">
        <v>1451</v>
      </c>
    </row>
    <row r="118" spans="1:27" ht="24.75" customHeight="1">
      <c r="A118" s="2598" t="str">
        <f>项目基本情况!S2</f>
        <v>北京市房山区阎村镇焦庄村西大件路北侧1号楼2层商业用房房地产</v>
      </c>
      <c r="B118" s="2327">
        <f>M18</f>
        <v>909.8</v>
      </c>
      <c r="C118" s="2327">
        <f>M19</f>
        <v>0</v>
      </c>
      <c r="D118" s="2327">
        <f ca="1">ROUND(IF(D32="总价",C34,E118*B118/10000),0)</f>
        <v>448</v>
      </c>
      <c r="E118" s="2327">
        <f ca="1">ROUND(IF(C33="自定义",IF(D32="楼面单价",C34,D118*10000/B118),I118-G118),0)</f>
        <v>4926</v>
      </c>
      <c r="F118" s="2327">
        <f ca="1">ROUND(IF(D32="总价",C35,G118*B118/10000),0)</f>
        <v>276</v>
      </c>
      <c r="G118" s="2327">
        <f ca="1">ROUND(IF(D32="楼面单价",C35,F118*10000/B118),0)</f>
        <v>3032</v>
      </c>
      <c r="H118" s="2327">
        <f ca="1">ROUND(IF(D32="总价",C32,I118*B118/10000),0)</f>
        <v>724</v>
      </c>
      <c r="I118" s="2327">
        <f ca="1">ROUND(IF(D32="楼面单价",C32,H118*10000/B118),0)</f>
        <v>7958</v>
      </c>
    </row>
    <row r="119" spans="1:27" ht="18.75" customHeight="1">
      <c r="A119" s="3589" t="s">
        <v>1452</v>
      </c>
      <c r="B119" s="3589"/>
      <c r="C119" s="3589"/>
      <c r="D119" s="3595" t="str">
        <f ca="1">NUMBERSTRING(INT(D118*10000),2)&amp;"元整"</f>
        <v>肆佰肆拾捌万元整</v>
      </c>
      <c r="E119" s="3596"/>
      <c r="F119" s="3595" t="str">
        <f ca="1">NUMBERSTRING(INT(F118*10000),2)&amp;"元整"</f>
        <v>贰佰柒拾陆万元整</v>
      </c>
      <c r="G119" s="3596"/>
      <c r="H119" s="3595" t="str">
        <f ca="1">NUMBERSTRING(INT(H118*10000),2)&amp;"元整"</f>
        <v>柒佰贰拾肆万元整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5" t="s">
        <v>1452</v>
      </c>
      <c r="B121" s="3597"/>
      <c r="C121" s="3596"/>
      <c r="D121" s="3595" t="str">
        <f>IF(D120=0,"零元整",NUMBERSTRING(INT(D120*10000),2)&amp;"元整")</f>
        <v>零元整</v>
      </c>
      <c r="E121" s="3597"/>
      <c r="F121" s="3597"/>
      <c r="G121" s="3597"/>
      <c r="H121" s="3597"/>
      <c r="I121" s="3596"/>
      <c r="AA121" s="724"/>
    </row>
    <row r="122" spans="1:27" ht="18.75" customHeight="1">
      <c r="A122" s="3601" t="str">
        <f>IF(项目基本情况!B9="房地产市场价值","",MID(E107,3,LEN(E107)-2))</f>
        <v>房地产抵押价值</v>
      </c>
      <c r="B122" s="3601"/>
      <c r="C122" s="3601"/>
      <c r="D122" s="3590">
        <f ca="1">H107</f>
        <v>724</v>
      </c>
      <c r="E122" s="3591"/>
      <c r="F122" s="3591"/>
      <c r="G122" s="3591"/>
      <c r="H122" s="3591"/>
      <c r="I122" s="3592"/>
      <c r="AA122" s="724"/>
    </row>
    <row r="123" spans="1:27" ht="18.75" customHeight="1">
      <c r="A123" s="3589" t="s">
        <v>1452</v>
      </c>
      <c r="B123" s="3589"/>
      <c r="C123" s="3589"/>
      <c r="D123" s="3595" t="str">
        <f ca="1">NUMBERSTRING(INT(D122*10000),2)&amp;"元整"</f>
        <v>柒佰贰拾肆万元整</v>
      </c>
      <c r="E123" s="3597"/>
      <c r="F123" s="3597"/>
      <c r="G123" s="3597"/>
      <c r="H123" s="3597"/>
      <c r="I123" s="3596"/>
      <c r="AA123" s="724"/>
    </row>
    <row r="124" spans="1:27" ht="18.75" customHeight="1">
      <c r="A124" s="3601" t="str">
        <f>IF(项目基本情况!B9="房地产市场价值","",MID(E109,3,LEN(E109)-2))</f>
        <v/>
      </c>
      <c r="B124" s="3601"/>
      <c r="C124" s="3601"/>
      <c r="D124" s="3590" t="str">
        <f>H109</f>
        <v>——</v>
      </c>
      <c r="E124" s="3591"/>
      <c r="F124" s="3591"/>
      <c r="G124" s="3591"/>
      <c r="H124" s="3591"/>
      <c r="I124" s="3592"/>
      <c r="AA124" s="724"/>
    </row>
    <row r="125" spans="1:27" ht="18.75" customHeight="1">
      <c r="A125" s="3589" t="s">
        <v>1452</v>
      </c>
      <c r="B125" s="3589"/>
      <c r="C125" s="3589"/>
      <c r="D125" s="3595" t="e">
        <f>NUMBERSTRING(INT(D124*10000),2)&amp;"元整"</f>
        <v>#VALUE!</v>
      </c>
      <c r="E125" s="3597"/>
      <c r="F125" s="3597"/>
      <c r="G125" s="3597"/>
      <c r="H125" s="3597"/>
      <c r="I125" s="3596"/>
      <c r="AA125" s="724"/>
    </row>
    <row r="126" spans="1:27" ht="18.75" customHeight="1">
      <c r="A126" s="3601" t="str">
        <f>IF(项目基本情况!B9="房地产市场价值","",MID(E111,3,LEN(E111)-2))</f>
        <v/>
      </c>
      <c r="B126" s="3601"/>
      <c r="C126" s="3601"/>
      <c r="D126" s="3590" t="str">
        <f>H111</f>
        <v>——</v>
      </c>
      <c r="E126" s="3591"/>
      <c r="F126" s="3591"/>
      <c r="G126" s="3591"/>
      <c r="H126" s="3591"/>
      <c r="I126" s="3592"/>
      <c r="AA126" s="724"/>
    </row>
    <row r="127" spans="1:27" ht="18.75" customHeight="1">
      <c r="A127" s="3589" t="s">
        <v>1452</v>
      </c>
      <c r="B127" s="3589"/>
      <c r="C127" s="3589"/>
      <c r="D127" s="3595" t="e">
        <f>NUMBERSTRING(INT(D126*10000),2)&amp;"元整"</f>
        <v>#VALUE!</v>
      </c>
      <c r="E127" s="3597"/>
      <c r="F127" s="3597"/>
      <c r="G127" s="3597"/>
      <c r="H127" s="3597"/>
      <c r="I127" s="3596"/>
      <c r="AA127" s="724"/>
    </row>
    <row r="128" spans="1:27" ht="21.75" customHeight="1">
      <c r="A128" s="3598" t="s">
        <v>1453</v>
      </c>
      <c r="B128" s="3598"/>
      <c r="C128" s="3598"/>
      <c r="D128" s="3598"/>
      <c r="E128" s="3598"/>
      <c r="F128" s="3598"/>
      <c r="G128" s="3598"/>
      <c r="H128" s="3598"/>
      <c r="I128" s="359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90" zoomScaleNormal="70" zoomScaleSheetLayoutView="9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3475</v>
      </c>
      <c r="E1" s="3423" t="s">
        <v>3437</v>
      </c>
      <c r="F1" s="1877" t="s">
        <v>3438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0</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52003</v>
      </c>
      <c r="C3" s="354" t="s">
        <v>1768</v>
      </c>
      <c r="D3" s="353">
        <f>IF(D1="",'数据-汇总表'!E3,SUMIF('数据-汇总表'!$C19:$C33,D1,'数据-汇总表'!$E19:$E33))</f>
        <v>0</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74" t="s">
        <v>1771</v>
      </c>
      <c r="S4" s="3675"/>
      <c r="T4" s="3674" t="s">
        <v>1772</v>
      </c>
      <c r="U4" s="3675"/>
      <c r="V4" s="3671" t="s">
        <v>1773</v>
      </c>
      <c r="W4" s="3671"/>
      <c r="X4" s="1353"/>
      <c r="Y4" s="3674" t="s">
        <v>1775</v>
      </c>
      <c r="Z4" s="3675"/>
      <c r="AA4" s="3668" t="s">
        <v>1771</v>
      </c>
      <c r="AB4" s="3671" t="s">
        <v>1772</v>
      </c>
      <c r="AC4" s="3668" t="s">
        <v>1773</v>
      </c>
    </row>
    <row r="5" spans="1:29" ht="15">
      <c r="A5" s="358"/>
      <c r="B5" s="359"/>
      <c r="C5" s="3680" t="s">
        <v>3476</v>
      </c>
      <c r="D5" s="3681"/>
      <c r="E5" s="3678" t="s">
        <v>3477</v>
      </c>
      <c r="F5" s="3679"/>
      <c r="G5" s="3680" t="s">
        <v>3478</v>
      </c>
      <c r="H5" s="3681"/>
      <c r="I5" s="3680" t="s">
        <v>3481</v>
      </c>
      <c r="J5" s="3681"/>
      <c r="K5" s="559"/>
      <c r="L5" s="2712"/>
      <c r="M5" s="2713"/>
      <c r="N5" s="2713"/>
      <c r="O5" s="2713"/>
      <c r="P5" s="3694"/>
      <c r="Q5" s="3695"/>
      <c r="R5" s="3676"/>
      <c r="S5" s="3677"/>
      <c r="T5" s="3676"/>
      <c r="U5" s="3677"/>
      <c r="V5" s="3671"/>
      <c r="W5" s="3671"/>
      <c r="X5" s="1353"/>
      <c r="Y5" s="3676"/>
      <c r="Z5" s="3677"/>
      <c r="AA5" s="3669"/>
      <c r="AB5" s="3671"/>
      <c r="AC5" s="3669"/>
    </row>
    <row r="6" spans="1:29" ht="15.75" thickBot="1">
      <c r="A6" s="360"/>
      <c r="B6" s="361"/>
      <c r="C6" s="3682" t="s">
        <v>1677</v>
      </c>
      <c r="D6" s="3683"/>
      <c r="E6" s="3684" t="s">
        <v>1677</v>
      </c>
      <c r="F6" s="3685"/>
      <c r="G6" s="3686"/>
      <c r="H6" s="3683"/>
      <c r="I6" s="3686" t="s">
        <v>3472</v>
      </c>
      <c r="J6" s="3683"/>
      <c r="K6" s="559" t="s">
        <v>1678</v>
      </c>
      <c r="L6" s="2712"/>
      <c r="M6" s="2713"/>
      <c r="N6" s="2713"/>
      <c r="O6" s="2713"/>
      <c r="P6" s="3696"/>
      <c r="Q6" s="3697"/>
      <c r="R6" s="3676"/>
      <c r="S6" s="3677"/>
      <c r="T6" s="3698"/>
      <c r="U6" s="3699"/>
      <c r="V6" s="3671"/>
      <c r="W6" s="3671"/>
      <c r="X6" s="1353"/>
      <c r="Y6" s="3698"/>
      <c r="Z6" s="3699"/>
      <c r="AA6" s="3670"/>
      <c r="AB6" s="3671"/>
      <c r="AC6" s="3670"/>
    </row>
    <row r="7" spans="1:29" s="108" customFormat="1" ht="15.75" thickBot="1">
      <c r="A7" s="362" t="s">
        <v>1679</v>
      </c>
      <c r="B7" s="363"/>
      <c r="C7" s="364">
        <f>'数据-取费表'!B2</f>
        <v>45825</v>
      </c>
      <c r="D7" s="365">
        <v>100</v>
      </c>
      <c r="E7" s="366">
        <f>C7</f>
        <v>45825</v>
      </c>
      <c r="F7" s="367">
        <f>SUMIF(58:58,YEAR(E7)&amp;"-"&amp;MONTH(E7),59:59)</f>
        <v>100</v>
      </c>
      <c r="G7" s="366">
        <f>C7</f>
        <v>45825</v>
      </c>
      <c r="H7" s="365">
        <f>SUMIF(58:58,YEAR(G7)&amp;"-"&amp;MONTH(G7),59:59)</f>
        <v>100</v>
      </c>
      <c r="I7" s="366">
        <f>C7</f>
        <v>45825</v>
      </c>
      <c r="J7" s="365">
        <f>SUMIF(58:58,YEAR(I7)&amp;"-"&amp;MONTH(I7),59:59)</f>
        <v>100</v>
      </c>
      <c r="K7" s="560"/>
      <c r="L7" s="2714"/>
      <c r="M7" s="2715"/>
      <c r="N7" s="2715"/>
      <c r="O7" s="2715"/>
      <c r="P7" s="3672" t="s">
        <v>1680</v>
      </c>
      <c r="Q7" s="3700"/>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703">
        <f>D7/J7</f>
        <v>1</v>
      </c>
    </row>
    <row r="8" spans="1:29" s="108" customFormat="1" ht="15.75" thickBot="1">
      <c r="A8" s="362" t="s">
        <v>1681</v>
      </c>
      <c r="B8" s="363"/>
      <c r="C8" s="368" t="s">
        <v>3439</v>
      </c>
      <c r="D8" s="365">
        <v>100</v>
      </c>
      <c r="E8" s="368" t="s">
        <v>3441</v>
      </c>
      <c r="F8" s="367">
        <f>SUMIF(61:61,E8,62:62)-SUMIF(61:61,C8,62:62)+100</f>
        <v>110</v>
      </c>
      <c r="G8" s="368" t="s">
        <v>3441</v>
      </c>
      <c r="H8" s="365">
        <f>SUMIF(61:61,G8,62:62)-SUMIF(61:61,C8,62:62)+100</f>
        <v>110</v>
      </c>
      <c r="I8" s="368" t="s">
        <v>3441</v>
      </c>
      <c r="J8" s="365">
        <f>SUMIF(61:61,I8,62:62)-SUMIF(61:61,C8,62:62)+100</f>
        <v>110</v>
      </c>
      <c r="K8" s="560"/>
      <c r="L8" s="2714"/>
      <c r="M8" s="2715"/>
      <c r="N8" s="2715"/>
      <c r="O8" s="2715"/>
      <c r="P8" s="3672" t="s">
        <v>1683</v>
      </c>
      <c r="Q8" s="3673"/>
      <c r="R8" s="700" t="s">
        <v>14</v>
      </c>
      <c r="S8" s="701">
        <f t="shared" si="0"/>
        <v>110</v>
      </c>
      <c r="T8" s="700" t="s">
        <v>14</v>
      </c>
      <c r="U8" s="701">
        <f t="shared" si="1"/>
        <v>110</v>
      </c>
      <c r="V8" s="700" t="s">
        <v>14</v>
      </c>
      <c r="W8" s="701">
        <f t="shared" si="2"/>
        <v>110</v>
      </c>
      <c r="X8" s="702"/>
      <c r="Y8" s="3672" t="s">
        <v>1683</v>
      </c>
      <c r="Z8" s="3673"/>
      <c r="AA8" s="703">
        <f t="shared" ref="AA8:AA46" si="3">D8/F8</f>
        <v>0.90909090909090906</v>
      </c>
      <c r="AB8" s="703">
        <f t="shared" ref="AB8:AB46" si="4">D8/H8</f>
        <v>0.90909090909090906</v>
      </c>
      <c r="AC8" s="703">
        <f t="shared" ref="AC8:AC46" si="5">D8/J8</f>
        <v>0.90909090909090906</v>
      </c>
    </row>
    <row r="9" spans="1:29" s="108" customFormat="1">
      <c r="A9" s="369" t="s">
        <v>1684</v>
      </c>
      <c r="B9" s="63" t="s">
        <v>1685</v>
      </c>
      <c r="C9" s="3464" t="s">
        <v>3440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87" t="s">
        <v>1686</v>
      </c>
      <c r="Q9" s="1341"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C10</f>
        <v>20（含）-10</v>
      </c>
      <c r="F10" s="376">
        <f>SUMIF(65:65,E10,66:66)-SUMIF(65:65,C10,66:66)+100</f>
        <v>100</v>
      </c>
      <c r="G10" s="3431" t="str">
        <f>E65</f>
        <v>20（含）-10</v>
      </c>
      <c r="H10" s="127">
        <f>SUMIF(65:65,G10,66:66)-SUMIF(65:65,C10,66:66)+100</f>
        <v>100</v>
      </c>
      <c r="I10" s="3431" t="str">
        <f>D65</f>
        <v>30（含）-20</v>
      </c>
      <c r="J10" s="127">
        <f>SUMIF(65:65,I10,66:66)-SUMIF(65:65,C10,66:66)+100</f>
        <v>103</v>
      </c>
      <c r="K10" s="560"/>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103</v>
      </c>
      <c r="X10" s="702"/>
      <c r="Y10" s="3644"/>
      <c r="Z10" s="52" t="str">
        <f t="shared" si="7"/>
        <v>土地使用年限（年）</v>
      </c>
      <c r="AA10" s="703">
        <f t="shared" si="3"/>
        <v>1</v>
      </c>
      <c r="AB10" s="703">
        <f t="shared" si="4"/>
        <v>1</v>
      </c>
      <c r="AC10" s="703">
        <f t="shared" si="5"/>
        <v>0.970873786407767</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87"/>
      <c r="Q11" s="1341"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7"/>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7"/>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7"/>
      <c r="Q14" s="1341">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01" t="s">
        <v>1691</v>
      </c>
      <c r="Q15" s="1350" t="str">
        <f t="shared" si="6"/>
        <v>商业繁华度</v>
      </c>
      <c r="R15" s="704" t="s">
        <v>14</v>
      </c>
      <c r="S15" s="705">
        <f t="shared" si="0"/>
        <v>100</v>
      </c>
      <c r="T15" s="704" t="s">
        <v>14</v>
      </c>
      <c r="U15" s="705">
        <f t="shared" si="1"/>
        <v>100</v>
      </c>
      <c r="V15" s="704" t="s">
        <v>14</v>
      </c>
      <c r="W15" s="705">
        <f t="shared" si="2"/>
        <v>100</v>
      </c>
      <c r="X15" s="1353"/>
      <c r="Y15" s="3703" t="s">
        <v>1691</v>
      </c>
      <c r="Z15" s="1354" t="str">
        <f t="shared" si="7"/>
        <v>商业繁华度</v>
      </c>
      <c r="AA15" s="1351">
        <f t="shared" si="3"/>
        <v>1</v>
      </c>
      <c r="AB15" s="1351">
        <f t="shared" si="4"/>
        <v>1</v>
      </c>
      <c r="AC15" s="1351">
        <f t="shared" si="5"/>
        <v>1</v>
      </c>
    </row>
    <row r="16" spans="1:29" ht="15">
      <c r="A16" s="379"/>
      <c r="B16" s="397"/>
      <c r="C16" s="398" t="s">
        <v>3430</v>
      </c>
      <c r="D16" s="399"/>
      <c r="E16" s="398" t="s">
        <v>3430</v>
      </c>
      <c r="F16" s="400"/>
      <c r="G16" s="398" t="s">
        <v>3430</v>
      </c>
      <c r="H16" s="401"/>
      <c r="I16" s="398" t="s">
        <v>3430</v>
      </c>
      <c r="J16" s="399"/>
      <c r="K16" s="564"/>
      <c r="L16" s="2719"/>
      <c r="M16" s="2713"/>
      <c r="N16" s="2713"/>
      <c r="O16" s="2713"/>
      <c r="P16" s="3702"/>
      <c r="Q16" s="1350"/>
      <c r="R16" s="704"/>
      <c r="S16" s="705"/>
      <c r="T16" s="704"/>
      <c r="U16" s="705"/>
      <c r="V16" s="704"/>
      <c r="W16" s="705"/>
      <c r="X16" s="1353"/>
      <c r="Y16" s="370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02"/>
      <c r="Q17" s="1350" t="str">
        <f>B17</f>
        <v>交通便捷度</v>
      </c>
      <c r="R17" s="704" t="s">
        <v>14</v>
      </c>
      <c r="S17" s="705">
        <f>F17</f>
        <v>100</v>
      </c>
      <c r="T17" s="704" t="s">
        <v>14</v>
      </c>
      <c r="U17" s="705">
        <f>H17</f>
        <v>100</v>
      </c>
      <c r="V17" s="704" t="s">
        <v>14</v>
      </c>
      <c r="W17" s="705">
        <f>J17</f>
        <v>100</v>
      </c>
      <c r="X17" s="1353"/>
      <c r="Y17" s="3704"/>
      <c r="Z17" s="1354" t="str">
        <f>Q17</f>
        <v>交通便捷度</v>
      </c>
      <c r="AA17" s="1351">
        <f t="shared" si="3"/>
        <v>1</v>
      </c>
      <c r="AB17" s="1351">
        <f t="shared" si="4"/>
        <v>1</v>
      </c>
      <c r="AC17" s="1351">
        <f t="shared" si="5"/>
        <v>1</v>
      </c>
    </row>
    <row r="18" spans="1:29" ht="15">
      <c r="A18" s="379"/>
      <c r="B18" s="407"/>
      <c r="C18" s="1899" t="s">
        <v>3430</v>
      </c>
      <c r="D18" s="401"/>
      <c r="E18" s="1899" t="s">
        <v>3430</v>
      </c>
      <c r="F18" s="404"/>
      <c r="G18" s="1899" t="s">
        <v>3430</v>
      </c>
      <c r="H18" s="399"/>
      <c r="I18" s="1899" t="s">
        <v>3430</v>
      </c>
      <c r="J18" s="399"/>
      <c r="K18" s="564"/>
      <c r="L18" s="2719"/>
      <c r="M18" s="2713"/>
      <c r="N18" s="2713"/>
      <c r="O18" s="2713"/>
      <c r="P18" s="3702"/>
      <c r="Q18" s="1350"/>
      <c r="R18" s="704"/>
      <c r="S18" s="705"/>
      <c r="T18" s="704"/>
      <c r="U18" s="705"/>
      <c r="V18" s="704"/>
      <c r="W18" s="705"/>
      <c r="X18" s="1353"/>
      <c r="Y18" s="370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02"/>
      <c r="Q19" s="1350" t="str">
        <f>B19</f>
        <v>公共配套设施</v>
      </c>
      <c r="R19" s="704" t="s">
        <v>14</v>
      </c>
      <c r="S19" s="705">
        <f>F19</f>
        <v>100</v>
      </c>
      <c r="T19" s="704" t="s">
        <v>14</v>
      </c>
      <c r="U19" s="705">
        <f>H19</f>
        <v>100</v>
      </c>
      <c r="V19" s="704" t="s">
        <v>14</v>
      </c>
      <c r="W19" s="705">
        <f>J19</f>
        <v>100</v>
      </c>
      <c r="X19" s="1353"/>
      <c r="Y19" s="3704"/>
      <c r="Z19" s="1354" t="str">
        <f>Q19</f>
        <v>公共配套设施</v>
      </c>
      <c r="AA19" s="1351">
        <f t="shared" si="3"/>
        <v>1</v>
      </c>
      <c r="AB19" s="1351">
        <f t="shared" si="4"/>
        <v>1</v>
      </c>
      <c r="AC19" s="1351">
        <f t="shared" si="5"/>
        <v>1</v>
      </c>
    </row>
    <row r="20" spans="1:29" ht="15">
      <c r="A20" s="379"/>
      <c r="B20" s="407"/>
      <c r="C20" s="398" t="s">
        <v>3430</v>
      </c>
      <c r="D20" s="399"/>
      <c r="E20" s="398" t="s">
        <v>3430</v>
      </c>
      <c r="F20" s="400"/>
      <c r="G20" s="398" t="s">
        <v>3430</v>
      </c>
      <c r="H20" s="399"/>
      <c r="I20" s="398" t="s">
        <v>3430</v>
      </c>
      <c r="J20" s="399"/>
      <c r="K20" s="564"/>
      <c r="L20" s="2719"/>
      <c r="M20" s="2713"/>
      <c r="N20" s="2713"/>
      <c r="O20" s="2713"/>
      <c r="P20" s="3702"/>
      <c r="Q20" s="1350"/>
      <c r="R20" s="704"/>
      <c r="S20" s="705"/>
      <c r="T20" s="704"/>
      <c r="U20" s="705"/>
      <c r="V20" s="704"/>
      <c r="W20" s="705"/>
      <c r="X20" s="1353"/>
      <c r="Y20" s="3704"/>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02"/>
      <c r="Q21" s="1350" t="str">
        <f>B21</f>
        <v>基础设施水平</v>
      </c>
      <c r="R21" s="704" t="s">
        <v>14</v>
      </c>
      <c r="S21" s="705">
        <f>F21</f>
        <v>100</v>
      </c>
      <c r="T21" s="704" t="s">
        <v>14</v>
      </c>
      <c r="U21" s="705">
        <f>H21</f>
        <v>100</v>
      </c>
      <c r="V21" s="704" t="s">
        <v>14</v>
      </c>
      <c r="W21" s="705">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30"/>
      <c r="C22" s="1899" t="s">
        <v>3466</v>
      </c>
      <c r="D22" s="399"/>
      <c r="E22" s="1899" t="s">
        <v>3466</v>
      </c>
      <c r="F22" s="400"/>
      <c r="G22" s="1899" t="s">
        <v>3466</v>
      </c>
      <c r="H22" s="399"/>
      <c r="I22" s="1899" t="s">
        <v>3466</v>
      </c>
      <c r="J22" s="399"/>
      <c r="K22" s="1129"/>
      <c r="L22" s="2719"/>
      <c r="M22" s="2713"/>
      <c r="N22" s="2713"/>
      <c r="O22" s="2713"/>
      <c r="P22" s="3702"/>
      <c r="Q22" s="1350"/>
      <c r="R22" s="704"/>
      <c r="S22" s="705"/>
      <c r="T22" s="704"/>
      <c r="U22" s="705"/>
      <c r="V22" s="704"/>
      <c r="W22" s="705"/>
      <c r="X22" s="1353"/>
      <c r="Y22" s="370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02"/>
      <c r="Q23" s="1350" t="str">
        <f>B23</f>
        <v>自然及人文环境</v>
      </c>
      <c r="R23" s="704" t="s">
        <v>14</v>
      </c>
      <c r="S23" s="705">
        <f>F23</f>
        <v>100</v>
      </c>
      <c r="T23" s="704" t="s">
        <v>14</v>
      </c>
      <c r="U23" s="705">
        <f>H23</f>
        <v>100</v>
      </c>
      <c r="V23" s="704" t="s">
        <v>14</v>
      </c>
      <c r="W23" s="705">
        <f>J23</f>
        <v>100</v>
      </c>
      <c r="X23" s="1353"/>
      <c r="Y23" s="3704"/>
      <c r="Z23" s="1354" t="str">
        <f>Q23</f>
        <v>自然及人文环境</v>
      </c>
      <c r="AA23" s="1351">
        <f t="shared" si="3"/>
        <v>1</v>
      </c>
      <c r="AB23" s="1351">
        <f t="shared" si="4"/>
        <v>1</v>
      </c>
      <c r="AC23" s="1351">
        <f t="shared" si="5"/>
        <v>1</v>
      </c>
    </row>
    <row r="24" spans="1:29" ht="15">
      <c r="A24" s="379"/>
      <c r="B24" s="407"/>
      <c r="C24" s="398" t="s">
        <v>3430</v>
      </c>
      <c r="D24" s="399"/>
      <c r="E24" s="398" t="s">
        <v>3430</v>
      </c>
      <c r="F24" s="400"/>
      <c r="G24" s="398" t="s">
        <v>3430</v>
      </c>
      <c r="H24" s="399"/>
      <c r="I24" s="398" t="s">
        <v>3430</v>
      </c>
      <c r="J24" s="399"/>
      <c r="K24" s="564"/>
      <c r="L24" s="2719"/>
      <c r="M24" s="2713"/>
      <c r="N24" s="2713"/>
      <c r="O24" s="2713"/>
      <c r="P24" s="3702"/>
      <c r="Q24" s="1350"/>
      <c r="R24" s="704"/>
      <c r="S24" s="705"/>
      <c r="T24" s="704"/>
      <c r="U24" s="705"/>
      <c r="V24" s="704"/>
      <c r="W24" s="705"/>
      <c r="X24" s="1353"/>
      <c r="Y24" s="3704"/>
      <c r="Z24" s="1354"/>
      <c r="AA24" s="1351">
        <v>1</v>
      </c>
      <c r="AB24" s="1351">
        <v>1</v>
      </c>
      <c r="AC24" s="1351">
        <v>1</v>
      </c>
    </row>
    <row r="25" spans="1:29" ht="15">
      <c r="A25" s="379"/>
      <c r="B25" s="375" t="s">
        <v>1780</v>
      </c>
      <c r="C25" s="565" t="s">
        <v>3485</v>
      </c>
      <c r="D25" s="386">
        <v>100</v>
      </c>
      <c r="E25" s="565" t="s">
        <v>3474</v>
      </c>
      <c r="F25" s="412">
        <f>SUMIF(86:86,E25,87:87)-SUMIF(86:86,C25,87:87)+100</f>
        <v>110</v>
      </c>
      <c r="G25" s="565" t="s">
        <v>3474</v>
      </c>
      <c r="H25" s="386">
        <f>SUMIF(86:86,G25,87:87)-SUMIF(86:86,C25,87:87)+100</f>
        <v>110</v>
      </c>
      <c r="I25" s="565" t="s">
        <v>3474</v>
      </c>
      <c r="J25" s="386">
        <f>SUMIF(86:86,I25,87:87)-SUMIF(86:86,C25,87:87)+100</f>
        <v>110</v>
      </c>
      <c r="K25" s="561">
        <v>10</v>
      </c>
      <c r="L25" s="2719"/>
      <c r="M25" s="2713"/>
      <c r="N25" s="2713"/>
      <c r="O25" s="2713"/>
      <c r="P25" s="3702"/>
      <c r="Q25" s="1350" t="str">
        <f t="shared" ref="Q25:Q46" si="11">B25</f>
        <v>临街状况</v>
      </c>
      <c r="R25" s="704" t="s">
        <v>14</v>
      </c>
      <c r="S25" s="705">
        <f>F25</f>
        <v>110</v>
      </c>
      <c r="T25" s="704" t="s">
        <v>14</v>
      </c>
      <c r="U25" s="705">
        <f>H25</f>
        <v>110</v>
      </c>
      <c r="V25" s="704" t="s">
        <v>14</v>
      </c>
      <c r="W25" s="705">
        <f>J25</f>
        <v>110</v>
      </c>
      <c r="X25" s="1353"/>
      <c r="Y25" s="3704"/>
      <c r="Z25" s="1354" t="str">
        <f>Q25</f>
        <v>临街状况</v>
      </c>
      <c r="AA25" s="1351">
        <f t="shared" si="3"/>
        <v>0.90909090909090906</v>
      </c>
      <c r="AB25" s="1351">
        <f t="shared" si="4"/>
        <v>0.90909090909090906</v>
      </c>
      <c r="AC25" s="1351">
        <f t="shared" si="5"/>
        <v>0.90909090909090906</v>
      </c>
    </row>
    <row r="26" spans="1:29" ht="15">
      <c r="A26" s="379"/>
      <c r="B26" s="1132" t="s">
        <v>1781</v>
      </c>
      <c r="C26" s="3471" t="s">
        <v>3489</v>
      </c>
      <c r="D26" s="386">
        <v>100</v>
      </c>
      <c r="E26" s="3471" t="s">
        <v>3490</v>
      </c>
      <c r="F26" s="412">
        <f>SUMIF(88:88,E26,89:89)-SUMIF(88:88,C26,89:89)+100</f>
        <v>110</v>
      </c>
      <c r="G26" s="3471" t="str">
        <f>E26</f>
        <v>外铺（较好）</v>
      </c>
      <c r="H26" s="386">
        <f>SUMIF(88:88,G26,89:89)-SUMIF(88:88,C26,89:89)+100</f>
        <v>110</v>
      </c>
      <c r="I26" s="3471" t="str">
        <f>E26</f>
        <v>外铺（较好）</v>
      </c>
      <c r="J26" s="386">
        <f>SUMIF(88:88,I26,89:89)-SUMIF(88:88,C26,89:89)+100</f>
        <v>110</v>
      </c>
      <c r="K26" s="562"/>
      <c r="L26" s="2719"/>
      <c r="M26" s="2713"/>
      <c r="N26" s="2713"/>
      <c r="O26" s="2713"/>
      <c r="P26" s="3702"/>
      <c r="Q26" s="1350" t="str">
        <f t="shared" si="11"/>
        <v>平面位置/可视性</v>
      </c>
      <c r="R26" s="704" t="s">
        <v>14</v>
      </c>
      <c r="S26" s="705">
        <f>F26</f>
        <v>110</v>
      </c>
      <c r="T26" s="704" t="s">
        <v>14</v>
      </c>
      <c r="U26" s="705">
        <f>H26</f>
        <v>110</v>
      </c>
      <c r="V26" s="704" t="s">
        <v>14</v>
      </c>
      <c r="W26" s="705">
        <f>J26</f>
        <v>110</v>
      </c>
      <c r="X26" s="1353"/>
      <c r="Y26" s="3704"/>
      <c r="Z26" s="1354" t="str">
        <f>Q26</f>
        <v>平面位置/可视性</v>
      </c>
      <c r="AA26" s="1351">
        <f t="shared" si="3"/>
        <v>0.90909090909090906</v>
      </c>
      <c r="AB26" s="1351">
        <f t="shared" si="4"/>
        <v>0.90909090909090906</v>
      </c>
      <c r="AC26" s="1351">
        <f t="shared" si="5"/>
        <v>0.90909090909090906</v>
      </c>
    </row>
    <row r="27" spans="1:29" s="108" customFormat="1" ht="15">
      <c r="A27" s="382"/>
      <c r="B27" s="402" t="s">
        <v>1782</v>
      </c>
      <c r="C27" s="1954" t="s">
        <v>3448</v>
      </c>
      <c r="D27" s="413">
        <v>100</v>
      </c>
      <c r="E27" s="1954" t="s">
        <v>3431</v>
      </c>
      <c r="F27" s="415">
        <f>SUMIF(90:90,E27,91:91)-SUMIF(90:90,C27,91:91)+100</f>
        <v>98</v>
      </c>
      <c r="G27" s="1954" t="s">
        <v>3431</v>
      </c>
      <c r="H27" s="413">
        <f>SUMIF(90:90,G27,91:91)-SUMIF(90:90,C27,91:91)+100</f>
        <v>98</v>
      </c>
      <c r="I27" s="1954" t="s">
        <v>3431</v>
      </c>
      <c r="J27" s="413">
        <f>SUMIF(90:90,I27,91:91)-SUMIF(90:90,C27,91:91)+100</f>
        <v>98</v>
      </c>
      <c r="K27" s="561">
        <v>2</v>
      </c>
      <c r="L27" s="2714"/>
      <c r="M27" s="2715"/>
      <c r="N27" s="2715"/>
      <c r="O27" s="2715"/>
      <c r="P27" s="3702"/>
      <c r="Q27" s="1341" t="str">
        <f t="shared" si="11"/>
        <v>人流量</v>
      </c>
      <c r="R27" s="700" t="s">
        <v>14</v>
      </c>
      <c r="S27" s="701">
        <f>F27</f>
        <v>98</v>
      </c>
      <c r="T27" s="700" t="s">
        <v>14</v>
      </c>
      <c r="U27" s="701">
        <f>H27</f>
        <v>98</v>
      </c>
      <c r="V27" s="700" t="s">
        <v>14</v>
      </c>
      <c r="W27" s="701">
        <f>J27</f>
        <v>98</v>
      </c>
      <c r="X27" s="702"/>
      <c r="Y27" s="3704"/>
      <c r="Z27" s="52" t="str">
        <f>Q27</f>
        <v>人流量</v>
      </c>
      <c r="AA27" s="1351">
        <f>D27/F27</f>
        <v>1.0204081632653061</v>
      </c>
      <c r="AB27" s="1351">
        <f>D27/H27</f>
        <v>1.0204081632653061</v>
      </c>
      <c r="AC27" s="1351">
        <f>D27/J27</f>
        <v>1.0204081632653061</v>
      </c>
    </row>
    <row r="28" spans="1:29" ht="15">
      <c r="A28" s="379"/>
      <c r="B28" s="375" t="s">
        <v>1783</v>
      </c>
      <c r="C28" s="565" t="s">
        <v>3470</v>
      </c>
      <c r="D28" s="386">
        <v>100</v>
      </c>
      <c r="E28" s="565" t="s">
        <v>3470</v>
      </c>
      <c r="F28" s="412">
        <f>SUMIF(92:92,E28,93:93)-SUMIF(92:92,C28,93:93)+100</f>
        <v>100</v>
      </c>
      <c r="G28" s="565" t="s">
        <v>3470</v>
      </c>
      <c r="H28" s="386">
        <f>SUMIF(92:92,G28,93:93)-SUMIF(92:92,C28,93:93)+100</f>
        <v>100</v>
      </c>
      <c r="I28" s="565" t="s">
        <v>3470</v>
      </c>
      <c r="J28" s="386">
        <f>SUMIF(92:92,I28,93:93)-SUMIF(92:92,C28,93:93)+100</f>
        <v>100</v>
      </c>
      <c r="K28" s="562"/>
      <c r="L28" s="2719"/>
      <c r="M28" s="2713"/>
      <c r="N28" s="2713"/>
      <c r="O28" s="2713"/>
      <c r="P28" s="370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04"/>
      <c r="Z28" s="1354" t="str">
        <f t="shared" ref="Z28:Z46" si="15">Q28</f>
        <v>楼层</v>
      </c>
      <c r="AA28" s="1351">
        <f t="shared" si="3"/>
        <v>1</v>
      </c>
      <c r="AB28" s="1351">
        <f t="shared" si="4"/>
        <v>1</v>
      </c>
      <c r="AC28" s="1351">
        <f t="shared" si="5"/>
        <v>1</v>
      </c>
    </row>
    <row r="29" spans="1:29" ht="15">
      <c r="A29" s="379"/>
      <c r="B29" s="3474" t="s">
        <v>3479</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2"/>
      <c r="Q29" s="1350" t="str">
        <f t="shared" si="11"/>
        <v>环线位置</v>
      </c>
      <c r="R29" s="704" t="s">
        <v>14</v>
      </c>
      <c r="S29" s="705">
        <f t="shared" si="12"/>
        <v>100</v>
      </c>
      <c r="T29" s="704" t="s">
        <v>14</v>
      </c>
      <c r="U29" s="705">
        <f t="shared" si="13"/>
        <v>100</v>
      </c>
      <c r="V29" s="704" t="s">
        <v>14</v>
      </c>
      <c r="W29" s="705">
        <f t="shared" si="14"/>
        <v>100</v>
      </c>
      <c r="X29" s="1353"/>
      <c r="Y29" s="3704"/>
      <c r="Z29" s="1354" t="str">
        <f t="shared" si="15"/>
        <v>环线位置</v>
      </c>
      <c r="AA29" s="1351">
        <f t="shared" si="3"/>
        <v>1</v>
      </c>
      <c r="AB29" s="1351">
        <f t="shared" si="4"/>
        <v>1</v>
      </c>
      <c r="AC29" s="1351">
        <f t="shared" si="5"/>
        <v>1</v>
      </c>
    </row>
    <row r="30" spans="1:29" ht="15">
      <c r="A30" s="379"/>
      <c r="B30" s="1132"/>
      <c r="C30" s="3471"/>
      <c r="D30" s="386">
        <v>100</v>
      </c>
      <c r="E30" s="3471"/>
      <c r="F30" s="412">
        <f>SUMIF(96:96,E30,97:97)-SUMIF(96:96,C30,97:97)+100</f>
        <v>100</v>
      </c>
      <c r="G30" s="3471"/>
      <c r="H30" s="386">
        <f>SUMIF(96:96,G30,97:97)-SUMIF(96:96,C30,97:97)+100</f>
        <v>100</v>
      </c>
      <c r="I30" s="3471"/>
      <c r="J30" s="386">
        <f>SUMIF(96:96,I30,97:97)-SUMIF(96:96,C30,97:97)+100</f>
        <v>100</v>
      </c>
      <c r="K30" s="562"/>
      <c r="L30" s="2719"/>
      <c r="M30" s="2713"/>
      <c r="N30" s="2713"/>
      <c r="O30" s="2713"/>
      <c r="P30" s="3702"/>
      <c r="Q30" s="1350">
        <f t="shared" si="11"/>
        <v>0</v>
      </c>
      <c r="R30" s="704" t="s">
        <v>14</v>
      </c>
      <c r="S30" s="705">
        <f t="shared" si="12"/>
        <v>100</v>
      </c>
      <c r="T30" s="704" t="s">
        <v>14</v>
      </c>
      <c r="U30" s="705">
        <f t="shared" si="13"/>
        <v>100</v>
      </c>
      <c r="V30" s="704" t="s">
        <v>14</v>
      </c>
      <c r="W30" s="705">
        <f t="shared" si="14"/>
        <v>100</v>
      </c>
      <c r="X30" s="1353"/>
      <c r="Y30" s="3704"/>
      <c r="Z30" s="1354">
        <f t="shared" si="15"/>
        <v>0</v>
      </c>
      <c r="AA30" s="1351">
        <f t="shared" si="3"/>
        <v>1</v>
      </c>
      <c r="AB30" s="1351">
        <f t="shared" si="4"/>
        <v>1</v>
      </c>
      <c r="AC30" s="1351">
        <f t="shared" si="5"/>
        <v>1</v>
      </c>
    </row>
    <row r="31" spans="1:29" ht="15.75" thickBot="1">
      <c r="A31" s="387"/>
      <c r="B31" s="3474"/>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2"/>
      <c r="Q31" s="1350">
        <f t="shared" si="11"/>
        <v>0</v>
      </c>
      <c r="R31" s="704" t="s">
        <v>14</v>
      </c>
      <c r="S31" s="705">
        <f t="shared" si="12"/>
        <v>100</v>
      </c>
      <c r="T31" s="704" t="s">
        <v>14</v>
      </c>
      <c r="U31" s="705">
        <f t="shared" si="13"/>
        <v>100</v>
      </c>
      <c r="V31" s="704" t="s">
        <v>14</v>
      </c>
      <c r="W31" s="705">
        <f t="shared" si="14"/>
        <v>100</v>
      </c>
      <c r="X31" s="1353"/>
      <c r="Y31" s="3704"/>
      <c r="Z31" s="1354">
        <f t="shared" si="15"/>
        <v>0</v>
      </c>
      <c r="AA31" s="1351">
        <f t="shared" si="3"/>
        <v>1</v>
      </c>
      <c r="AB31" s="1351">
        <f t="shared" si="4"/>
        <v>1</v>
      </c>
      <c r="AC31" s="1351">
        <f t="shared" si="5"/>
        <v>1</v>
      </c>
    </row>
    <row r="32" spans="1:29" ht="15">
      <c r="A32" s="391" t="s">
        <v>1694</v>
      </c>
      <c r="B32" s="63" t="s">
        <v>1784</v>
      </c>
      <c r="C32" s="1908" t="s">
        <v>3417</v>
      </c>
      <c r="D32" s="418">
        <v>100</v>
      </c>
      <c r="E32" s="1908" t="s">
        <v>3417</v>
      </c>
      <c r="F32" s="412">
        <f>SUMIF(100:100,E32,101:101)-SUMIF(100:100,C32,101:101)+100</f>
        <v>100</v>
      </c>
      <c r="G32" s="1908" t="s">
        <v>3417</v>
      </c>
      <c r="H32" s="386">
        <f>SUMIF(100:100,G32,101:101)-SUMIF(100:100,C32,101:101)+100</f>
        <v>100</v>
      </c>
      <c r="I32" s="1908" t="s">
        <v>3417</v>
      </c>
      <c r="J32" s="418">
        <f>SUMIF(100:100,I32,101:101)-SUMIF(100:100,C32,101:101)+100</f>
        <v>100</v>
      </c>
      <c r="K32" s="561">
        <v>2</v>
      </c>
      <c r="L32" s="2719"/>
      <c r="M32" s="2713"/>
      <c r="N32" s="2713"/>
      <c r="O32" s="2713"/>
      <c r="P32" s="3705" t="s">
        <v>1696</v>
      </c>
      <c r="Q32" s="1350" t="str">
        <f t="shared" si="11"/>
        <v>商业类型</v>
      </c>
      <c r="R32" s="704" t="s">
        <v>14</v>
      </c>
      <c r="S32" s="705">
        <f t="shared" si="12"/>
        <v>100</v>
      </c>
      <c r="T32" s="704" t="s">
        <v>14</v>
      </c>
      <c r="U32" s="705">
        <f t="shared" si="13"/>
        <v>100</v>
      </c>
      <c r="V32" s="704" t="s">
        <v>14</v>
      </c>
      <c r="W32" s="705">
        <f t="shared" si="14"/>
        <v>100</v>
      </c>
      <c r="X32" s="1353"/>
      <c r="Y32" s="3708"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909.8</v>
      </c>
      <c r="D33" s="127">
        <v>100</v>
      </c>
      <c r="E33" s="381">
        <v>431.35</v>
      </c>
      <c r="F33" s="376">
        <f>LOOKUP(E33,103:103,104:104)-LOOKUP(C33,103:103,104:104)+100</f>
        <v>100</v>
      </c>
      <c r="G33" s="380">
        <v>126.8</v>
      </c>
      <c r="H33" s="127">
        <f>LOOKUP(G33,103:103,104:104)-LOOKUP(C33,103:103,104:104)+100</f>
        <v>102</v>
      </c>
      <c r="I33" s="380">
        <v>115</v>
      </c>
      <c r="J33" s="127">
        <f>LOOKUP(I33,103:103,104:104)-LOOKUP(C33,103:103,104:104)+100</f>
        <v>102</v>
      </c>
      <c r="K33" s="562"/>
      <c r="L33" s="2718"/>
      <c r="M33" s="2720"/>
      <c r="N33" s="2720"/>
      <c r="O33" s="2720"/>
      <c r="P33" s="3706"/>
      <c r="Q33" s="706" t="str">
        <f t="shared" si="11"/>
        <v>项目建筑规模</v>
      </c>
      <c r="R33" s="707" t="s">
        <v>14</v>
      </c>
      <c r="S33" s="708">
        <f t="shared" si="12"/>
        <v>100</v>
      </c>
      <c r="T33" s="707" t="s">
        <v>14</v>
      </c>
      <c r="U33" s="708">
        <f t="shared" si="13"/>
        <v>102</v>
      </c>
      <c r="V33" s="707" t="s">
        <v>14</v>
      </c>
      <c r="W33" s="708">
        <f t="shared" si="14"/>
        <v>102</v>
      </c>
      <c r="X33" s="709"/>
      <c r="Y33" s="3708"/>
      <c r="Z33" s="710" t="str">
        <f t="shared" si="15"/>
        <v>项目建筑规模</v>
      </c>
      <c r="AA33" s="1351">
        <f t="shared" si="3"/>
        <v>1</v>
      </c>
      <c r="AB33" s="1351">
        <f t="shared" si="4"/>
        <v>0.98039215686274506</v>
      </c>
      <c r="AC33" s="1351">
        <f t="shared" si="5"/>
        <v>0.98039215686274506</v>
      </c>
    </row>
    <row r="34" spans="1:29" ht="15">
      <c r="A34" s="423"/>
      <c r="B34" s="375" t="s">
        <v>1698</v>
      </c>
      <c r="C34" s="1910" t="s">
        <v>3419</v>
      </c>
      <c r="D34" s="386">
        <v>100</v>
      </c>
      <c r="E34" s="1910" t="s">
        <v>3419</v>
      </c>
      <c r="F34" s="412">
        <f>SUMIF(105:105,E34,106:106)-SUMIF(105:105,C34,106:106)+100</f>
        <v>100</v>
      </c>
      <c r="G34" s="1910" t="s">
        <v>3419</v>
      </c>
      <c r="H34" s="386">
        <f>SUMIF(105:105,G34,106:106)-SUMIF(105:105,C34,106:106)+100</f>
        <v>100</v>
      </c>
      <c r="I34" s="1910" t="s">
        <v>3419</v>
      </c>
      <c r="J34" s="386">
        <f>SUMIF(105:105,I34,106:106)-SUMIF(105:105,C34,106:106)+100</f>
        <v>100</v>
      </c>
      <c r="K34" s="561">
        <v>1</v>
      </c>
      <c r="L34" s="2719"/>
      <c r="M34" s="2713"/>
      <c r="N34" s="2713"/>
      <c r="O34" s="2713"/>
      <c r="P34" s="3706"/>
      <c r="Q34" s="1350" t="str">
        <f t="shared" si="11"/>
        <v>建筑结构</v>
      </c>
      <c r="R34" s="704" t="s">
        <v>14</v>
      </c>
      <c r="S34" s="705">
        <f t="shared" si="12"/>
        <v>100</v>
      </c>
      <c r="T34" s="704" t="s">
        <v>14</v>
      </c>
      <c r="U34" s="705">
        <f t="shared" si="13"/>
        <v>100</v>
      </c>
      <c r="V34" s="704" t="s">
        <v>14</v>
      </c>
      <c r="W34" s="705">
        <f t="shared" si="14"/>
        <v>100</v>
      </c>
      <c r="X34" s="1353"/>
      <c r="Y34" s="3708"/>
      <c r="Z34" s="1354" t="str">
        <f t="shared" si="15"/>
        <v>建筑结构</v>
      </c>
      <c r="AA34" s="1351">
        <f t="shared" si="3"/>
        <v>1</v>
      </c>
      <c r="AB34" s="1351">
        <f t="shared" si="4"/>
        <v>1</v>
      </c>
      <c r="AC34" s="1351">
        <f t="shared" si="5"/>
        <v>1</v>
      </c>
    </row>
    <row r="35" spans="1:29" ht="15">
      <c r="A35" s="423"/>
      <c r="B35" s="375" t="s">
        <v>1785</v>
      </c>
      <c r="C35" s="1904" t="s">
        <v>3455</v>
      </c>
      <c r="D35" s="386">
        <v>100</v>
      </c>
      <c r="E35" s="1904" t="s">
        <v>3455</v>
      </c>
      <c r="F35" s="412">
        <f>SUMIF(107:107,E35,108:108)-SUMIF(107:107,C35,108:108)+100</f>
        <v>100</v>
      </c>
      <c r="G35" s="1904" t="s">
        <v>3455</v>
      </c>
      <c r="H35" s="386">
        <f>SUMIF(107:107,G35,108:108)-SUMIF(107:107,C35,108:108)+100</f>
        <v>100</v>
      </c>
      <c r="I35" s="1904" t="s">
        <v>3455</v>
      </c>
      <c r="J35" s="386">
        <f>SUMIF(107:107,I35,108:108)-SUMIF(107:107,C35,108:108)+100</f>
        <v>100</v>
      </c>
      <c r="K35" s="561">
        <v>2</v>
      </c>
      <c r="L35" s="2719"/>
      <c r="M35" s="2713"/>
      <c r="N35" s="2713"/>
      <c r="O35" s="2713"/>
      <c r="P35" s="3706"/>
      <c r="Q35" s="1350" t="str">
        <f t="shared" si="11"/>
        <v>公共部分装修</v>
      </c>
      <c r="R35" s="704" t="s">
        <v>14</v>
      </c>
      <c r="S35" s="705">
        <f t="shared" si="12"/>
        <v>100</v>
      </c>
      <c r="T35" s="704" t="s">
        <v>14</v>
      </c>
      <c r="U35" s="705">
        <f t="shared" si="13"/>
        <v>100</v>
      </c>
      <c r="V35" s="704" t="s">
        <v>14</v>
      </c>
      <c r="W35" s="705">
        <f t="shared" si="14"/>
        <v>100</v>
      </c>
      <c r="X35" s="1353"/>
      <c r="Y35" s="3708"/>
      <c r="Z35" s="1354" t="str">
        <f t="shared" si="15"/>
        <v>公共部分装修</v>
      </c>
      <c r="AA35" s="1351">
        <f t="shared" si="3"/>
        <v>1</v>
      </c>
      <c r="AB35" s="1351">
        <f t="shared" si="4"/>
        <v>1</v>
      </c>
      <c r="AC35" s="1351">
        <f t="shared" si="5"/>
        <v>1</v>
      </c>
    </row>
    <row r="36" spans="1:29" ht="15">
      <c r="A36" s="423"/>
      <c r="B36" s="375" t="s">
        <v>1786</v>
      </c>
      <c r="C36" s="425">
        <f>'数据-取费表'!N6</f>
        <v>0.7</v>
      </c>
      <c r="D36" s="386">
        <v>100</v>
      </c>
      <c r="E36" s="425">
        <v>0.67</v>
      </c>
      <c r="F36" s="412">
        <f>LOOKUP(E36,110:110,111:111)-LOOKUP(C36,110:110,111:111)+100</f>
        <v>99</v>
      </c>
      <c r="G36" s="425">
        <v>0.67</v>
      </c>
      <c r="H36" s="412">
        <f>LOOKUP(G36,110:110,111:111)-LOOKUP(C36,110:110,111:111)+100</f>
        <v>99</v>
      </c>
      <c r="I36" s="425">
        <v>0.78</v>
      </c>
      <c r="J36" s="386">
        <f>LOOKUP(I36,110:110,111:111)-LOOKUP(C36,110:110,111:111)+100</f>
        <v>100</v>
      </c>
      <c r="K36" s="561">
        <v>1</v>
      </c>
      <c r="L36" s="2719"/>
      <c r="M36" s="2713"/>
      <c r="N36" s="2713"/>
      <c r="O36" s="2713"/>
      <c r="P36" s="3706"/>
      <c r="Q36" s="1350" t="str">
        <f t="shared" si="11"/>
        <v>成新度</v>
      </c>
      <c r="R36" s="704" t="s">
        <v>14</v>
      </c>
      <c r="S36" s="705">
        <f t="shared" si="12"/>
        <v>99</v>
      </c>
      <c r="T36" s="704" t="s">
        <v>14</v>
      </c>
      <c r="U36" s="705">
        <f t="shared" si="13"/>
        <v>99</v>
      </c>
      <c r="V36" s="704" t="s">
        <v>14</v>
      </c>
      <c r="W36" s="705">
        <f t="shared" si="14"/>
        <v>100</v>
      </c>
      <c r="X36" s="1353"/>
      <c r="Y36" s="3708"/>
      <c r="Z36" s="1354" t="str">
        <f t="shared" si="15"/>
        <v>成新度</v>
      </c>
      <c r="AA36" s="1351">
        <f t="shared" si="3"/>
        <v>1.0101010101010102</v>
      </c>
      <c r="AB36" s="1351">
        <f t="shared" si="4"/>
        <v>1.0101010101010102</v>
      </c>
      <c r="AC36" s="1351">
        <f t="shared" si="5"/>
        <v>1</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6"/>
      <c r="Q37" s="1341"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1788</v>
      </c>
      <c r="C38" s="1904" t="s">
        <v>3462</v>
      </c>
      <c r="D38" s="386">
        <v>100</v>
      </c>
      <c r="E38" s="1904" t="s">
        <v>3464</v>
      </c>
      <c r="F38" s="412">
        <f>SUMIF(114:114,E38,115:115)-SUMIF(114:114,C38,115:115)+100</f>
        <v>98</v>
      </c>
      <c r="G38" s="1904" t="s">
        <v>3464</v>
      </c>
      <c r="H38" s="386">
        <f>SUMIF(114:114,G38,115:115)-SUMIF(114:114,C38,115:115)+100</f>
        <v>98</v>
      </c>
      <c r="I38" s="1904" t="s">
        <v>3464</v>
      </c>
      <c r="J38" s="386">
        <f>SUMIF(114:114,I38,115:115)-SUMIF(114:114,C38,115:115)+100</f>
        <v>98</v>
      </c>
      <c r="K38" s="561">
        <v>2</v>
      </c>
      <c r="L38" s="2719"/>
      <c r="M38" s="2713"/>
      <c r="N38" s="2713"/>
      <c r="O38" s="2713"/>
      <c r="P38" s="3706" t="s">
        <v>1696</v>
      </c>
      <c r="Q38" s="1350" t="str">
        <f t="shared" si="11"/>
        <v>业态</v>
      </c>
      <c r="R38" s="704" t="s">
        <v>14</v>
      </c>
      <c r="S38" s="705">
        <f t="shared" si="12"/>
        <v>98</v>
      </c>
      <c r="T38" s="704" t="s">
        <v>14</v>
      </c>
      <c r="U38" s="705">
        <f t="shared" si="13"/>
        <v>98</v>
      </c>
      <c r="V38" s="704" t="s">
        <v>14</v>
      </c>
      <c r="W38" s="705">
        <f t="shared" si="14"/>
        <v>98</v>
      </c>
      <c r="X38" s="1353"/>
      <c r="Y38" s="3708" t="s">
        <v>1696</v>
      </c>
      <c r="Z38" s="1354" t="str">
        <f t="shared" si="15"/>
        <v>业态</v>
      </c>
      <c r="AA38" s="1351">
        <f t="shared" si="3"/>
        <v>1.0204081632653061</v>
      </c>
      <c r="AB38" s="1351">
        <f t="shared" si="4"/>
        <v>1.0204081632653061</v>
      </c>
      <c r="AC38" s="1351">
        <f t="shared" si="5"/>
        <v>1.0204081632653061</v>
      </c>
    </row>
    <row r="39" spans="1:29" ht="15">
      <c r="A39" s="423"/>
      <c r="B39" s="375" t="s">
        <v>1789</v>
      </c>
      <c r="C39" s="1904" t="s">
        <v>3460</v>
      </c>
      <c r="D39" s="386">
        <v>100</v>
      </c>
      <c r="E39" s="1904" t="s">
        <v>3460</v>
      </c>
      <c r="F39" s="412">
        <f>SUMIF(116:116,E39,117:117)-SUMIF(116:116,C39,117:117)+100</f>
        <v>100</v>
      </c>
      <c r="G39" s="1904" t="s">
        <v>3460</v>
      </c>
      <c r="H39" s="386">
        <f>SUMIF(116:116,G39,117:117)-SUMIF(116:116,C39,117:117)+100</f>
        <v>100</v>
      </c>
      <c r="I39" s="1904" t="s">
        <v>3460</v>
      </c>
      <c r="J39" s="386">
        <f>SUMIF(116:116,I39,117:117)-SUMIF(116:116,C39,117:117)+100</f>
        <v>100</v>
      </c>
      <c r="K39" s="561">
        <v>2</v>
      </c>
      <c r="L39" s="2719"/>
      <c r="M39" s="2713"/>
      <c r="N39" s="2713"/>
      <c r="O39" s="2713"/>
      <c r="P39" s="3706"/>
      <c r="Q39" s="1350" t="str">
        <f t="shared" si="11"/>
        <v>层高</v>
      </c>
      <c r="R39" s="704" t="s">
        <v>14</v>
      </c>
      <c r="S39" s="705">
        <f t="shared" si="12"/>
        <v>100</v>
      </c>
      <c r="T39" s="704" t="s">
        <v>14</v>
      </c>
      <c r="U39" s="705">
        <f t="shared" si="13"/>
        <v>100</v>
      </c>
      <c r="V39" s="704" t="s">
        <v>14</v>
      </c>
      <c r="W39" s="705">
        <f t="shared" si="14"/>
        <v>100</v>
      </c>
      <c r="X39" s="1353"/>
      <c r="Y39" s="3708"/>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06"/>
      <c r="Q40" s="1350" t="str">
        <f t="shared" si="11"/>
        <v>单套建筑面积</v>
      </c>
      <c r="R40" s="704" t="s">
        <v>14</v>
      </c>
      <c r="S40" s="705">
        <f t="shared" si="12"/>
        <v>100</v>
      </c>
      <c r="T40" s="704" t="s">
        <v>14</v>
      </c>
      <c r="U40" s="705">
        <f t="shared" si="13"/>
        <v>100</v>
      </c>
      <c r="V40" s="704" t="s">
        <v>14</v>
      </c>
      <c r="W40" s="705">
        <f t="shared" si="14"/>
        <v>100</v>
      </c>
      <c r="X40" s="1353"/>
      <c r="Y40" s="3708"/>
      <c r="Z40" s="1354" t="str">
        <f t="shared" si="15"/>
        <v>单套建筑面积</v>
      </c>
      <c r="AA40" s="1351">
        <f t="shared" si="3"/>
        <v>1</v>
      </c>
      <c r="AB40" s="1351">
        <f t="shared" si="4"/>
        <v>1</v>
      </c>
      <c r="AC40" s="1351">
        <f t="shared" si="5"/>
        <v>1</v>
      </c>
    </row>
    <row r="41" spans="1:29" s="422" customFormat="1" ht="15" hidden="1">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1">
        <f t="shared" si="3"/>
        <v>1</v>
      </c>
      <c r="AB41" s="1351">
        <f t="shared" si="4"/>
        <v>1</v>
      </c>
      <c r="AC41" s="1351">
        <f t="shared" si="5"/>
        <v>1</v>
      </c>
    </row>
    <row r="42" spans="1:29" ht="15">
      <c r="A42" s="423"/>
      <c r="B42" s="375" t="s">
        <v>1792</v>
      </c>
      <c r="C42" s="1904" t="s">
        <v>3455</v>
      </c>
      <c r="D42" s="386">
        <v>100</v>
      </c>
      <c r="E42" s="1904" t="s">
        <v>3455</v>
      </c>
      <c r="F42" s="412">
        <f>SUMIF(122:122,E42,123:123)-SUMIF(122:122,C42,123:123)+100</f>
        <v>100</v>
      </c>
      <c r="G42" s="1904" t="s">
        <v>3455</v>
      </c>
      <c r="H42" s="386">
        <f>SUMIF(122:122,G42,123:123)-SUMIF(122:122,C42,123:123)+100</f>
        <v>100</v>
      </c>
      <c r="I42" s="1904" t="s">
        <v>3455</v>
      </c>
      <c r="J42" s="386">
        <f>SUMIF(122:122,I42,123:123)-SUMIF(122:122,C42,123:123)+100</f>
        <v>100</v>
      </c>
      <c r="K42" s="561">
        <v>2</v>
      </c>
      <c r="L42" s="2719"/>
      <c r="M42" s="2713"/>
      <c r="N42" s="2713"/>
      <c r="O42" s="2713"/>
      <c r="P42" s="3706"/>
      <c r="Q42" s="1350" t="str">
        <f t="shared" si="11"/>
        <v>内部装修</v>
      </c>
      <c r="R42" s="704" t="s">
        <v>14</v>
      </c>
      <c r="S42" s="705">
        <f t="shared" si="12"/>
        <v>100</v>
      </c>
      <c r="T42" s="704" t="s">
        <v>14</v>
      </c>
      <c r="U42" s="705">
        <f t="shared" si="13"/>
        <v>100</v>
      </c>
      <c r="V42" s="704" t="s">
        <v>14</v>
      </c>
      <c r="W42" s="705">
        <f t="shared" si="14"/>
        <v>100</v>
      </c>
      <c r="X42" s="1353"/>
      <c r="Y42" s="3708"/>
      <c r="Z42" s="1354" t="str">
        <f t="shared" si="15"/>
        <v>内部装修</v>
      </c>
      <c r="AA42" s="1351">
        <f t="shared" si="3"/>
        <v>1</v>
      </c>
      <c r="AB42" s="1351">
        <f t="shared" si="4"/>
        <v>1</v>
      </c>
      <c r="AC42" s="1351">
        <f t="shared" si="5"/>
        <v>1</v>
      </c>
    </row>
    <row r="43" spans="1:29" ht="15">
      <c r="A43" s="423"/>
      <c r="B43" s="375" t="s">
        <v>1707</v>
      </c>
      <c r="C43" s="1904" t="s">
        <v>3430</v>
      </c>
      <c r="D43" s="386">
        <v>100</v>
      </c>
      <c r="E43" s="1904" t="s">
        <v>3430</v>
      </c>
      <c r="F43" s="412">
        <f>SUMIF(124:124,E43,125:125)-SUMIF(124:124,C43,125:125)+100</f>
        <v>100</v>
      </c>
      <c r="G43" s="1904" t="s">
        <v>3430</v>
      </c>
      <c r="H43" s="386">
        <f>SUMIF(124:124,G43,125:125)-SUMIF(124:124,C43,125:125)+100</f>
        <v>100</v>
      </c>
      <c r="I43" s="1904" t="s">
        <v>3430</v>
      </c>
      <c r="J43" s="386">
        <f>SUMIF(124:124,I43,125:125)-SUMIF(124:124,C43,125:125)+100</f>
        <v>100</v>
      </c>
      <c r="K43" s="561">
        <v>1</v>
      </c>
      <c r="L43" s="2719"/>
      <c r="M43" s="2713"/>
      <c r="N43" s="2713"/>
      <c r="O43" s="2713"/>
      <c r="P43" s="3706"/>
      <c r="Q43" s="1350" t="str">
        <f t="shared" si="11"/>
        <v>内部装修维护情况</v>
      </c>
      <c r="R43" s="704" t="s">
        <v>14</v>
      </c>
      <c r="S43" s="705">
        <f t="shared" si="12"/>
        <v>100</v>
      </c>
      <c r="T43" s="704" t="s">
        <v>14</v>
      </c>
      <c r="U43" s="705">
        <f t="shared" si="13"/>
        <v>100</v>
      </c>
      <c r="V43" s="704" t="s">
        <v>14</v>
      </c>
      <c r="W43" s="705">
        <f t="shared" si="14"/>
        <v>100</v>
      </c>
      <c r="X43" s="1353"/>
      <c r="Y43" s="3708"/>
      <c r="Z43" s="1354" t="str">
        <f t="shared" si="15"/>
        <v>内部装修维护情况</v>
      </c>
      <c r="AA43" s="1351">
        <f t="shared" si="3"/>
        <v>1</v>
      </c>
      <c r="AB43" s="1351">
        <f t="shared" si="4"/>
        <v>1</v>
      </c>
      <c r="AC43" s="1351">
        <f t="shared" si="5"/>
        <v>1</v>
      </c>
    </row>
    <row r="44" spans="1:29" s="108" customFormat="1" ht="15">
      <c r="A44" s="424"/>
      <c r="B44" s="3474" t="s">
        <v>3471</v>
      </c>
      <c r="C44" s="420">
        <f>'数据-取费表'!N18</f>
        <v>0</v>
      </c>
      <c r="D44" s="127">
        <v>100</v>
      </c>
      <c r="E44" s="385" t="s">
        <v>3483</v>
      </c>
      <c r="F44" s="376">
        <f>SUMIF(126:126,E44,127:127)-SUMIF(126:126,C44,127:127)+100</f>
        <v>100</v>
      </c>
      <c r="G44" s="385">
        <v>2005</v>
      </c>
      <c r="H44" s="127">
        <f>SUMIF(126:126,G44,127:127)-SUMIF(126:126,C44,127:127)+100</f>
        <v>100</v>
      </c>
      <c r="I44" s="385" t="s">
        <v>3473</v>
      </c>
      <c r="J44" s="127">
        <f>SUMIF(126:126,I44,127:127)-SUMIF(126:126,C44,127:127)+100</f>
        <v>100</v>
      </c>
      <c r="K44" s="562"/>
      <c r="L44" s="2714"/>
      <c r="M44" s="2715"/>
      <c r="N44" s="2715"/>
      <c r="O44" s="2715"/>
      <c r="P44" s="3706"/>
      <c r="Q44" s="1341" t="str">
        <f t="shared" si="11"/>
        <v>建成年代</v>
      </c>
      <c r="R44" s="700" t="s">
        <v>14</v>
      </c>
      <c r="S44" s="701">
        <f t="shared" si="12"/>
        <v>100</v>
      </c>
      <c r="T44" s="700" t="s">
        <v>14</v>
      </c>
      <c r="U44" s="701">
        <f t="shared" si="13"/>
        <v>100</v>
      </c>
      <c r="V44" s="700" t="s">
        <v>14</v>
      </c>
      <c r="W44" s="701">
        <f t="shared" si="14"/>
        <v>100</v>
      </c>
      <c r="X44" s="702"/>
      <c r="Y44" s="3708"/>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6"/>
      <c r="Q45" s="1350">
        <f t="shared" si="11"/>
        <v>111</v>
      </c>
      <c r="R45" s="704" t="s">
        <v>14</v>
      </c>
      <c r="S45" s="705">
        <f t="shared" si="12"/>
        <v>100</v>
      </c>
      <c r="T45" s="704" t="s">
        <v>14</v>
      </c>
      <c r="U45" s="705">
        <f t="shared" si="13"/>
        <v>100</v>
      </c>
      <c r="V45" s="704" t="s">
        <v>14</v>
      </c>
      <c r="W45" s="705">
        <f t="shared" si="14"/>
        <v>100</v>
      </c>
      <c r="X45" s="1353"/>
      <c r="Y45" s="370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7"/>
      <c r="Q46" s="1350">
        <f t="shared" si="11"/>
        <v>111</v>
      </c>
      <c r="R46" s="704" t="s">
        <v>14</v>
      </c>
      <c r="S46" s="705">
        <f t="shared" si="12"/>
        <v>100</v>
      </c>
      <c r="T46" s="704" t="s">
        <v>14</v>
      </c>
      <c r="U46" s="705">
        <f t="shared" si="13"/>
        <v>100</v>
      </c>
      <c r="V46" s="704" t="s">
        <v>14</v>
      </c>
      <c r="W46" s="705">
        <f t="shared" si="14"/>
        <v>100</v>
      </c>
      <c r="X46" s="1353"/>
      <c r="Y46" s="3709"/>
      <c r="Z46" s="1354">
        <f t="shared" si="15"/>
        <v>111</v>
      </c>
      <c r="AA46" s="1351">
        <f t="shared" si="3"/>
        <v>1</v>
      </c>
      <c r="AB46" s="1351">
        <f t="shared" si="4"/>
        <v>1</v>
      </c>
      <c r="AC46" s="1351">
        <f t="shared" si="5"/>
        <v>1</v>
      </c>
    </row>
    <row r="47" spans="1:29" ht="15">
      <c r="A47" s="430" t="s">
        <v>1708</v>
      </c>
      <c r="B47" s="431"/>
      <c r="C47" s="1153" t="s">
        <v>0</v>
      </c>
      <c r="D47" s="1154"/>
      <c r="E47" s="3483">
        <v>69480</v>
      </c>
      <c r="F47" s="1156"/>
      <c r="G47" s="3484">
        <v>67824</v>
      </c>
      <c r="H47" s="1158"/>
      <c r="I47" s="3484">
        <v>65218</v>
      </c>
      <c r="J47" s="1158"/>
      <c r="K47" s="713"/>
      <c r="L47" s="2721"/>
      <c r="M47" s="2722"/>
      <c r="N47" s="2713"/>
      <c r="O47" s="2722"/>
      <c r="P47" s="3710" t="str">
        <f>A47</f>
        <v>成交单价（元/平方米）</v>
      </c>
      <c r="Q47" s="3710"/>
      <c r="R47" s="3671">
        <f>E47</f>
        <v>69480</v>
      </c>
      <c r="S47" s="3671"/>
      <c r="T47" s="3671">
        <f>G47</f>
        <v>67824</v>
      </c>
      <c r="U47" s="3671"/>
      <c r="V47" s="3671">
        <f>I47</f>
        <v>65218</v>
      </c>
      <c r="W47" s="3671"/>
      <c r="X47" s="689"/>
      <c r="Y47" s="711"/>
      <c r="Z47" s="689"/>
      <c r="AA47" s="689"/>
      <c r="AB47" s="689"/>
      <c r="AC47" s="689"/>
    </row>
    <row r="48" spans="1:29" ht="15.75" thickBot="1">
      <c r="A48" s="437" t="s">
        <v>1793</v>
      </c>
      <c r="B48" s="438"/>
      <c r="C48" s="1159">
        <f>R49</f>
        <v>52003</v>
      </c>
      <c r="D48" s="2315" t="s">
        <v>2137</v>
      </c>
      <c r="E48" s="1160">
        <f>R48</f>
        <v>54903</v>
      </c>
      <c r="F48" s="2316"/>
      <c r="G48" s="1159">
        <f>T48</f>
        <v>52543</v>
      </c>
      <c r="H48" s="2316"/>
      <c r="I48" s="1160">
        <f>V48</f>
        <v>48562</v>
      </c>
      <c r="J48" s="2316"/>
      <c r="K48" s="2318">
        <f>F48+H48+J48</f>
        <v>0</v>
      </c>
      <c r="L48" s="2721"/>
      <c r="M48" s="2722"/>
      <c r="N48" s="2713"/>
      <c r="O48" s="2722"/>
      <c r="P48" s="3710" t="str">
        <f>A48</f>
        <v>比较价值（元/平方米）</v>
      </c>
      <c r="Q48" s="3710"/>
      <c r="R48" s="3711">
        <f>IF(F1="售价",ROUND(PRODUCT(R47,AA7:AA46),0),ROUND(PRODUCT(R47,AA7:AA46),1))</f>
        <v>54903</v>
      </c>
      <c r="S48" s="3711"/>
      <c r="T48" s="3711">
        <f>IF(F1="售价",ROUND(PRODUCT(T47,AB7:AB46),0),ROUND(PRODUCT(T47,AB7:AB46),1))</f>
        <v>52543</v>
      </c>
      <c r="U48" s="3711"/>
      <c r="V48" s="3711">
        <f>IF(F1="售价",ROUND(PRODUCT(V47,AC7:AC46),0),ROUND(PRODUCT(V47,AC7:AC46),1))</f>
        <v>48562</v>
      </c>
      <c r="W48" s="3711"/>
      <c r="X48" s="689"/>
      <c r="Y48" s="689"/>
      <c r="Z48" s="689"/>
      <c r="AA48" s="689"/>
      <c r="AB48" s="689"/>
      <c r="AC48" s="689"/>
    </row>
    <row r="49" spans="1:29" ht="15.75" thickBot="1">
      <c r="A49" s="441" t="s">
        <v>1794</v>
      </c>
      <c r="B49" s="442"/>
      <c r="C49" s="1162">
        <f>R49</f>
        <v>52003</v>
      </c>
      <c r="D49" s="1162"/>
      <c r="E49" s="1162"/>
      <c r="F49" s="1162"/>
      <c r="G49" s="1162"/>
      <c r="H49" s="1162"/>
      <c r="I49" s="1162"/>
      <c r="J49" s="1162"/>
      <c r="K49" s="714"/>
      <c r="L49" s="2721"/>
      <c r="M49" s="2722"/>
      <c r="N49" s="2713"/>
      <c r="O49" s="2722"/>
      <c r="P49" s="3712" t="str">
        <f>A49</f>
        <v>估价对象XX用房的比较价值（楼面单价，元/平方米）</v>
      </c>
      <c r="Q49" s="3713"/>
      <c r="R49" s="3714">
        <f>IF(F1="售价",ROUND(IF(D48="简单平均",AVERAGE(R48:V48),R48*F48+T48*H48+V48*J48),0),ROUND(IF(D48="简单平均",AVERAGE(R48:V48),R48*F48+T48*H48+V48*J48),1))</f>
        <v>52003</v>
      </c>
      <c r="S49" s="3714"/>
      <c r="T49" s="3714"/>
      <c r="U49" s="3714"/>
      <c r="V49" s="3714"/>
      <c r="W49" s="3714"/>
      <c r="X49" s="689"/>
      <c r="Y49" s="689"/>
      <c r="Z49" s="689"/>
      <c r="AA49" s="689"/>
      <c r="AB49" s="689"/>
      <c r="AC49" s="689"/>
    </row>
    <row r="50" spans="1:29">
      <c r="A50" s="2722"/>
      <c r="B50" s="2722"/>
      <c r="C50" s="3472"/>
      <c r="D50" s="2722"/>
      <c r="E50" s="2722"/>
      <c r="F50" s="2722"/>
      <c r="G50" s="3473"/>
      <c r="H50" s="3473"/>
      <c r="I50" s="3473"/>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0.26550461723403096</v>
      </c>
      <c r="F52" s="449" t="str">
        <f>IF(OR(E52&gt;=0.3,E52&lt;=-0.3),"超过30%","")</f>
        <v/>
      </c>
      <c r="G52" s="448">
        <f>IF(G47&lt;G48,G48/G47-1,G47/G48-1)</f>
        <v>0.29082846430542597</v>
      </c>
      <c r="H52" s="449" t="str">
        <f>IF(OR(G52&gt;=0.3,G52&lt;=-0.3),"超过30%","")</f>
        <v/>
      </c>
      <c r="I52" s="448">
        <f>IF(I47&lt;I48,I48/I47-1,I47/I48-1)</f>
        <v>0.34298422634982084</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4.4915592942923022E-2</v>
      </c>
      <c r="F53" s="449" t="str">
        <f>IF(OR(E53&gt;=0.2,E53&lt;=-0.2),"超过20%","")</f>
        <v/>
      </c>
      <c r="G53" s="448">
        <f>IF(G48&lt;I48,I48/G48-1,G48/I48-1)</f>
        <v>8.1977678019850897E-2</v>
      </c>
      <c r="H53" s="449" t="str">
        <f>IF(OR(G53&gt;=0.2,G53&lt;=-0.2),"超过20%","")</f>
        <v/>
      </c>
      <c r="I53" s="448">
        <f>IF(I48&lt;E48,E48/I48-1,I48/E48-1)</f>
        <v>0.13057534697911954</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2.441613588110414E-2</v>
      </c>
      <c r="F54" s="449" t="str">
        <f>IF(OR(E54&gt;=0.3,E54&lt;=-0.3),"超过30%","")</f>
        <v/>
      </c>
      <c r="G54" s="448">
        <f>IF(G47&lt;I47,I47/G47-1,G47/I47-1)</f>
        <v>3.9958293722591964E-2</v>
      </c>
      <c r="H54" s="449" t="str">
        <f>IF(OR(G54&gt;=0.3,G54&lt;=-0.3),"超过30%","")</f>
        <v/>
      </c>
      <c r="I54" s="448">
        <f>IF(I47&lt;E47,E47/I47-1,I47/E47-1)</f>
        <v>6.5350056732803807E-2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2025-6</v>
      </c>
      <c r="D58" s="1183">
        <f>EDATE(C58,-1)</f>
        <v>45778</v>
      </c>
      <c r="E58" s="1183">
        <f t="shared" ref="E58:N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EDATE(N58,-1)</f>
        <v>45444</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5" t="s">
        <v>3442</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110</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3443</v>
      </c>
      <c r="D65" s="532" t="s">
        <v>3444</v>
      </c>
      <c r="E65" s="532" t="s">
        <v>3445</v>
      </c>
      <c r="F65" s="532" t="s">
        <v>3446</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C66-$N$66</f>
        <v>97</v>
      </c>
      <c r="E66" s="485">
        <f t="shared" ref="E66:F66" si="17">D66-$N$66</f>
        <v>94</v>
      </c>
      <c r="F66" s="485">
        <f t="shared" si="17"/>
        <v>91</v>
      </c>
      <c r="G66" s="485"/>
      <c r="H66" s="485"/>
      <c r="I66" s="485"/>
      <c r="J66" s="485"/>
      <c r="K66" s="485"/>
      <c r="L66" s="485"/>
      <c r="M66" s="486"/>
      <c r="N66" s="2751">
        <v>3</v>
      </c>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0（含）-2</v>
      </c>
      <c r="D67" s="496" t="str">
        <f t="shared" ref="D67:L67" si="18">D68&amp;"（含）"&amp;"-"&amp;E68</f>
        <v>2（含）-4</v>
      </c>
      <c r="E67" s="496" t="str">
        <f t="shared" si="18"/>
        <v>4（含）-6</v>
      </c>
      <c r="F67" s="496" t="str">
        <f t="shared" si="18"/>
        <v>6（含）-8</v>
      </c>
      <c r="G67" s="496" t="str">
        <f t="shared" si="18"/>
        <v>8（含）-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2</v>
      </c>
      <c r="E68" s="498">
        <v>4</v>
      </c>
      <c r="F68" s="498">
        <v>6</v>
      </c>
      <c r="G68" s="498">
        <v>8</v>
      </c>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6" t="s">
        <v>3484</v>
      </c>
      <c r="D86" s="3466" t="s">
        <v>3486</v>
      </c>
      <c r="E86" s="3466"/>
      <c r="F86" s="3466"/>
      <c r="G86" s="3466"/>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90</v>
      </c>
      <c r="E87" s="493">
        <f t="shared" si="21"/>
        <v>80</v>
      </c>
      <c r="F87" s="493">
        <f t="shared" si="21"/>
        <v>70</v>
      </c>
      <c r="G87" s="493">
        <f t="shared" si="21"/>
        <v>60</v>
      </c>
      <c r="H87" s="493">
        <f t="shared" si="21"/>
        <v>50</v>
      </c>
      <c r="I87" s="493">
        <f t="shared" si="21"/>
        <v>40</v>
      </c>
      <c r="J87" s="493">
        <f t="shared" si="21"/>
        <v>30</v>
      </c>
      <c r="K87" s="493">
        <f t="shared" si="21"/>
        <v>20</v>
      </c>
      <c r="L87" s="493">
        <f t="shared" si="21"/>
        <v>10</v>
      </c>
      <c r="M87" s="493">
        <f t="shared" si="21"/>
        <v>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66" t="s">
        <v>3487</v>
      </c>
      <c r="D88" s="3466" t="s">
        <v>3488</v>
      </c>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v>90</v>
      </c>
      <c r="E89" s="485"/>
      <c r="F89" s="485"/>
      <c r="G89" s="485"/>
      <c r="H89" s="485"/>
      <c r="I89" s="485"/>
      <c r="J89" s="485"/>
      <c r="K89" s="485"/>
      <c r="L89" s="485"/>
      <c r="M89" s="485"/>
      <c r="N89" s="2751">
        <v>5</v>
      </c>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6" t="s">
        <v>3447</v>
      </c>
      <c r="D90" s="3466" t="s">
        <v>3449</v>
      </c>
      <c r="E90" s="3466" t="s">
        <v>3450</v>
      </c>
      <c r="F90" s="3466" t="s">
        <v>3451</v>
      </c>
      <c r="G90" s="3466" t="s">
        <v>3452</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环线位置</v>
      </c>
      <c r="C94" s="385" t="s">
        <v>3480</v>
      </c>
      <c r="D94" s="385" t="s">
        <v>3482</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98</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0</v>
      </c>
      <c r="C96" s="3466"/>
      <c r="D96" s="3466"/>
      <c r="E96" s="3466"/>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v>5</v>
      </c>
      <c r="O97" s="2751"/>
      <c r="P97" s="2741"/>
      <c r="Q97" s="2736"/>
      <c r="R97" s="2722"/>
      <c r="S97" s="2722"/>
      <c r="T97" s="2722"/>
      <c r="U97" s="2722"/>
      <c r="V97" s="2722"/>
      <c r="W97" s="2722"/>
      <c r="X97" s="2722"/>
      <c r="Y97" s="2722"/>
      <c r="Z97" s="2722"/>
      <c r="AA97" s="2722"/>
      <c r="AB97" s="2722"/>
      <c r="AC97" s="2722"/>
    </row>
    <row r="98" spans="1:29" ht="15.75" thickTop="1">
      <c r="A98" s="483"/>
      <c r="B98" s="495">
        <f>B31</f>
        <v>0</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69" t="s">
        <v>3453</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0(含)-50</v>
      </c>
      <c r="D102" s="527" t="str">
        <f t="shared" ref="D102:L102" si="24">D103&amp;"(含)"&amp;"-"&amp;E103</f>
        <v>50(含)-100</v>
      </c>
      <c r="E102" s="527" t="str">
        <f t="shared" si="24"/>
        <v>100(含)-150</v>
      </c>
      <c r="F102" s="527" t="str">
        <f t="shared" si="24"/>
        <v>150(含)-200</v>
      </c>
      <c r="G102" s="527" t="str">
        <f t="shared" si="24"/>
        <v>200(含)-</v>
      </c>
      <c r="H102" s="527" t="str">
        <f t="shared" si="24"/>
        <v>(含)-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150</v>
      </c>
      <c r="G103" s="544">
        <v>200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1">
        <v>2</v>
      </c>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6" t="s">
        <v>3454</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66" t="s">
        <v>3456</v>
      </c>
      <c r="D107" s="3466" t="s">
        <v>3457</v>
      </c>
      <c r="E107" s="3466" t="s">
        <v>3458</v>
      </c>
      <c r="F107" s="3470" t="s">
        <v>3459</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66" t="s">
        <v>3467</v>
      </c>
      <c r="D112" s="3466" t="s">
        <v>3468</v>
      </c>
      <c r="E112" s="3466" t="s">
        <v>3469</v>
      </c>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6" t="s">
        <v>3463</v>
      </c>
      <c r="D114" s="3466" t="s">
        <v>3465</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6" t="s">
        <v>3461</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66" t="s">
        <v>3456</v>
      </c>
      <c r="D122" s="3466" t="s">
        <v>3457</v>
      </c>
      <c r="E122" s="3466" t="s">
        <v>3458</v>
      </c>
      <c r="F122" s="3470" t="s">
        <v>3459</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5" t="str">
        <f>项目基本情况!B1</f>
        <v>北京市房山区阎村镇焦庄村西大件路北侧1号楼2层商业用房房地产抵押价值预评估</v>
      </c>
      <c r="C37" s="3485"/>
      <c r="D37" s="3485"/>
      <c r="E37" s="3485"/>
      <c r="F37" s="3485"/>
      <c r="G37" s="3485"/>
      <c r="H37" s="3485"/>
      <c r="I37" s="348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805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8848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404</v>
      </c>
      <c r="D5" s="211" t="s">
        <v>1469</v>
      </c>
      <c r="E5" s="212" t="s">
        <v>1470</v>
      </c>
      <c r="F5" s="212" t="s">
        <v>1471</v>
      </c>
      <c r="G5" s="213"/>
    </row>
    <row r="6" spans="1:9" s="214" customFormat="1" ht="13.5" customHeight="1">
      <c r="A6" s="777" t="s">
        <v>1472</v>
      </c>
      <c r="B6" s="215" t="s">
        <v>1473</v>
      </c>
      <c r="C6" s="216">
        <f>'土地比较法-住宅、综合'!F65</f>
        <v>376</v>
      </c>
      <c r="D6" s="217"/>
      <c r="E6" s="218"/>
      <c r="F6" s="218"/>
      <c r="G6" s="219"/>
    </row>
    <row r="7" spans="1:9" s="214" customFormat="1" ht="13.5" customHeight="1">
      <c r="A7" s="777" t="s">
        <v>1474</v>
      </c>
      <c r="B7" s="215" t="s">
        <v>1475</v>
      </c>
      <c r="C7" s="220">
        <f>ROUND(C6*F7,0)</f>
        <v>11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17</v>
      </c>
      <c r="D8" s="222"/>
      <c r="E8" s="220"/>
      <c r="F8" s="221"/>
      <c r="G8" s="1854" t="s">
        <v>3432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150</v>
      </c>
      <c r="F9" s="221"/>
      <c r="G9" s="1855" t="s">
        <v>3433</v>
      </c>
      <c r="H9" s="1136"/>
      <c r="I9" s="1856" t="s">
        <v>1479</v>
      </c>
    </row>
    <row r="10" spans="1:9" s="214" customFormat="1" ht="13.5" customHeight="1">
      <c r="A10" s="778" t="s">
        <v>356</v>
      </c>
      <c r="B10" s="224" t="s">
        <v>1480</v>
      </c>
      <c r="C10" s="225">
        <f ca="1">ROUND(D10*E10/10000,0)</f>
        <v>17</v>
      </c>
      <c r="D10" s="844">
        <f ca="1">IF(B1="",'数据-汇总表'!E6,IF(INDIRECT("'数据-取费表'!c"&amp;$G$1)="住宅",INDIRECT("'数据-取费表'!s"&amp;$G$1),INDIRECT("'数据-取费表'!k"&amp;$G$1)+INDIRECT("'数据-取费表'!s"&amp;$G$1)))</f>
        <v>909.8</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909.8</v>
      </c>
      <c r="E19" s="211">
        <f>'数据-取费表'!B31</f>
        <v>200</v>
      </c>
      <c r="F19" s="231"/>
      <c r="G19" s="1854" t="s">
        <v>3434</v>
      </c>
    </row>
    <row r="20" spans="1:7" s="214" customFormat="1" ht="13.5" customHeight="1">
      <c r="A20" s="255" t="s">
        <v>1493</v>
      </c>
      <c r="B20" s="210" t="s">
        <v>1494</v>
      </c>
      <c r="C20" s="232">
        <f ca="1">ROUND((C5+C19)*F20,0)</f>
        <v>12</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v>
      </c>
      <c r="D22" s="235">
        <f ca="1">C26</f>
        <v>2.9999999999999997E-4</v>
      </c>
      <c r="E22" s="236" t="s">
        <v>1498</v>
      </c>
      <c r="F22" s="237">
        <f ca="1">'数据-取费表'!B40</f>
        <v>0.03</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33</v>
      </c>
      <c r="D27" s="235">
        <f ca="1">C29</f>
        <v>1.6000000000000001E-3</v>
      </c>
      <c r="E27" s="236" t="s">
        <v>1514</v>
      </c>
      <c r="F27" s="246">
        <f ca="1">IF(B1="",'数据-取费表'!Q16,INDIRECT("'数据-取费表'!q"&amp;$G$1))</f>
        <v>0.08</v>
      </c>
      <c r="G27" s="247" t="s">
        <v>1515</v>
      </c>
    </row>
    <row r="28" spans="1:7" s="214" customFormat="1" ht="13.5" customHeight="1">
      <c r="A28" s="779" t="s">
        <v>346</v>
      </c>
      <c r="B28" s="248" t="s">
        <v>1516</v>
      </c>
      <c r="C28" s="249">
        <f ca="1">ROUND((C5+C19+C20)*F27*'数据-取费表'!B21/'数据-取费表'!B20,0)</f>
        <v>33</v>
      </c>
      <c r="D28" s="235"/>
      <c r="E28" s="236"/>
      <c r="F28" s="246"/>
      <c r="G28" s="247"/>
    </row>
    <row r="29" spans="1:7" s="214" customFormat="1" ht="13.5" customHeight="1">
      <c r="A29" s="779"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318</v>
      </c>
      <c r="D34" s="217"/>
      <c r="E34" s="220"/>
      <c r="F34" s="257">
        <f ca="1">IF('数据-取费表'!B24=0,1,IF(B1="",'数据-取费表'!N16,INDIRECT("'数据-取费表'!n"&amp;$G$1)))</f>
        <v>1</v>
      </c>
      <c r="G34" s="219" t="s">
        <v>1526</v>
      </c>
    </row>
    <row r="35" spans="1:7" ht="13.5" customHeight="1">
      <c r="A35" s="779" t="s">
        <v>351</v>
      </c>
      <c r="B35" s="215" t="s">
        <v>1527</v>
      </c>
      <c r="C35" s="220">
        <f ca="1">ROUND(C34*F35,0)</f>
        <v>16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18</v>
      </c>
      <c r="D37" s="217">
        <f ca="1">D19</f>
        <v>909.8</v>
      </c>
      <c r="E37" s="249">
        <f>'数据-取费表'!B35</f>
        <v>200</v>
      </c>
      <c r="F37" s="259"/>
      <c r="G37" s="261" t="s">
        <v>1532</v>
      </c>
    </row>
    <row r="38" spans="1:7" ht="13.5" customHeight="1">
      <c r="A38" s="779" t="s">
        <v>354</v>
      </c>
      <c r="B38" s="215" t="s">
        <v>1533</v>
      </c>
      <c r="C38" s="220">
        <f ca="1">ROUND(C34*F38,0)</f>
        <v>8</v>
      </c>
      <c r="D38" s="220"/>
      <c r="E38" s="220"/>
      <c r="F38" s="259">
        <f>'数据-取费表'!B36</f>
        <v>2.5000000000000001E-2</v>
      </c>
      <c r="G38" s="219" t="s">
        <v>1528</v>
      </c>
    </row>
    <row r="39" spans="1:7" s="214" customFormat="1" ht="13.5" customHeight="1">
      <c r="A39" s="255" t="s">
        <v>1534</v>
      </c>
      <c r="B39" s="210" t="s">
        <v>1535</v>
      </c>
      <c r="C39" s="232">
        <f ca="1">ROUND(C33*F20,0)</f>
        <v>11</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v>
      </c>
      <c r="D41" s="235">
        <f ca="1">C44</f>
        <v>2.9999999999999997E-4</v>
      </c>
      <c r="E41" s="236" t="s">
        <v>1539</v>
      </c>
      <c r="F41" s="237">
        <f ca="1">F22</f>
        <v>0.03</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5</v>
      </c>
      <c r="D42" s="238"/>
      <c r="E42" s="238"/>
      <c r="F42" s="239"/>
      <c r="G42" s="3720" t="s">
        <v>1544</v>
      </c>
    </row>
    <row r="43" spans="1:7" ht="13.5" customHeight="1">
      <c r="A43" s="779" t="s">
        <v>347</v>
      </c>
      <c r="B43" s="215" t="s">
        <v>1545</v>
      </c>
      <c r="C43" s="238">
        <f ca="1">ROUND(IF('数据-取费表'!B22&lt;=1,C39*F22*'数据-取费表'!B21/2,C39*(POWER((1+F22),'数据-取费表'!B21/2)-1)),0)</f>
        <v>0</v>
      </c>
      <c r="D43" s="238"/>
      <c r="E43" s="238"/>
      <c r="F43" s="239"/>
      <c r="G43" s="3721"/>
    </row>
    <row r="44" spans="1:7" ht="13.5" customHeight="1">
      <c r="A44" s="779" t="s">
        <v>348</v>
      </c>
      <c r="B44" s="215" t="s">
        <v>1546</v>
      </c>
      <c r="C44" s="238">
        <f ca="1">ROUND(IF('数据-取费表'!B22&lt;=1,C40*F22*'数据-取费表'!B21/2,C40*(POWER((1+F22),'数据-取费表'!B21/2)-1)),4)</f>
        <v>2.9999999999999997E-4</v>
      </c>
      <c r="D44" s="238"/>
      <c r="E44" s="238"/>
      <c r="F44" s="239"/>
      <c r="G44" s="3722"/>
    </row>
    <row r="45" spans="1:7" s="214" customFormat="1" ht="13.5" customHeight="1">
      <c r="A45" s="255" t="s">
        <v>1547</v>
      </c>
      <c r="B45" s="244" t="s">
        <v>1513</v>
      </c>
      <c r="C45" s="245">
        <f ca="1">C46</f>
        <v>30</v>
      </c>
      <c r="D45" s="235">
        <f ca="1">C47</f>
        <v>1.6000000000000001E-3</v>
      </c>
      <c r="E45" s="236" t="s">
        <v>1539</v>
      </c>
      <c r="F45" s="246">
        <f ca="1">F27</f>
        <v>0.08</v>
      </c>
      <c r="G45" s="247" t="s">
        <v>1548</v>
      </c>
    </row>
    <row r="46" spans="1:7" s="214" customFormat="1" ht="13.5" customHeight="1">
      <c r="A46" s="779" t="s">
        <v>346</v>
      </c>
      <c r="B46" s="248" t="s">
        <v>1549</v>
      </c>
      <c r="C46" s="249">
        <f ca="1">ROUND((C33+C39)*F27,0)</f>
        <v>30</v>
      </c>
      <c r="D46" s="263"/>
      <c r="E46" s="236"/>
      <c r="F46" s="246"/>
      <c r="G46" s="247"/>
    </row>
    <row r="47" spans="1:7" s="214" customFormat="1" ht="13.5" customHeight="1">
      <c r="A47" s="779" t="s">
        <v>347</v>
      </c>
      <c r="B47" s="248" t="s">
        <v>1550</v>
      </c>
      <c r="C47" s="238">
        <f ca="1">ROUND(C40*F27,4)</f>
        <v>1.6000000000000001E-3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307</v>
      </c>
      <c r="D51" s="232"/>
      <c r="E51" s="232"/>
      <c r="F51" s="264"/>
      <c r="G51" s="234" t="s">
        <v>1560</v>
      </c>
    </row>
    <row r="52" spans="1:7" s="208" customFormat="1" ht="16.5" thickBot="1">
      <c r="A52" s="265" t="s">
        <v>1561</v>
      </c>
      <c r="B52" s="266"/>
      <c r="C52" s="267">
        <f ca="1">C31+C51</f>
        <v>805</v>
      </c>
      <c r="D52" s="266"/>
      <c r="E52" s="266"/>
      <c r="F52" s="266"/>
      <c r="G52" s="268"/>
    </row>
    <row r="55" spans="1:7" ht="15">
      <c r="B55" s="270" t="s">
        <v>1562</v>
      </c>
      <c r="C55" s="271"/>
    </row>
    <row r="56" spans="1:7">
      <c r="B56" s="273" t="s">
        <v>802</v>
      </c>
      <c r="C56" s="275">
        <f ca="1">1-C57</f>
        <v>0.61899999999999999</v>
      </c>
    </row>
    <row r="57" spans="1:7">
      <c r="B57" s="273" t="s">
        <v>803</v>
      </c>
      <c r="C57" s="274">
        <f ca="1">ROUND(C51/C52,3)</f>
        <v>0.38100000000000001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351.2697</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3861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172862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172862</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150</v>
      </c>
      <c r="F9" s="221"/>
      <c r="G9" s="226"/>
    </row>
    <row r="10" spans="1:8" s="214" customFormat="1" ht="13.5" customHeight="1">
      <c r="A10" s="778" t="s">
        <v>356</v>
      </c>
      <c r="B10" s="224" t="s">
        <v>1480</v>
      </c>
      <c r="C10" s="225">
        <f ca="1">ROUND(D10*E10,0)</f>
        <v>172862</v>
      </c>
      <c r="D10" s="844">
        <f ca="1">IF(B1="",'数据-汇总表'!E6,IF(INDIRECT("'数据-取费表'!c"&amp;$G$1)="住宅",INDIRECT("'数据-取费表'!s"&amp;$G$1),INDIRECT("'数据-取费表'!k"&amp;$G$1)+INDIRECT("'数据-取费表'!s"&amp;$G$1)))</f>
        <v>909.8</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181960</v>
      </c>
      <c r="D19" s="848">
        <f ca="1">D9+D10</f>
        <v>909.8</v>
      </c>
      <c r="E19" s="211">
        <f>'数据-取费表'!B31</f>
        <v>200</v>
      </c>
      <c r="F19" s="231"/>
      <c r="G19" s="1854"/>
    </row>
    <row r="20" spans="1:7" s="214" customFormat="1" ht="13.5" customHeight="1">
      <c r="A20" s="255" t="s">
        <v>1574</v>
      </c>
      <c r="B20" s="210" t="s">
        <v>1575</v>
      </c>
      <c r="C20" s="232">
        <f ca="1">ROUND((C5+C19)*F20,0)</f>
        <v>10645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10805</v>
      </c>
      <c r="D22" s="235">
        <f ca="1">C26</f>
        <v>2.9999999999999997E-4</v>
      </c>
      <c r="E22" s="236" t="s">
        <v>1579</v>
      </c>
      <c r="F22" s="237">
        <f ca="1">'数据-取费表'!B40</f>
        <v>0.03</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5186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5459</v>
      </c>
      <c r="D24" s="238"/>
      <c r="E24" s="238"/>
      <c r="F24" s="239"/>
      <c r="G24" s="240" t="s">
        <v>1586</v>
      </c>
    </row>
    <row r="25" spans="1:7" s="214" customFormat="1" ht="24">
      <c r="A25" s="779" t="s">
        <v>1476</v>
      </c>
      <c r="B25" s="215" t="s">
        <v>1587</v>
      </c>
      <c r="C25" s="1127">
        <f ca="1">ROUND(IF('数据-取费表'!B22&lt;=1,C20*F22*'数据-取费表'!B22/2,C20*(POWER((1+F22),'数据-取费表'!B22/2)-1)),0)</f>
        <v>160</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29237</v>
      </c>
      <c r="D27" s="235">
        <f ca="1">C29</f>
        <v>1.6000000000000001E-3</v>
      </c>
      <c r="E27" s="236" t="s">
        <v>1514</v>
      </c>
      <c r="F27" s="246">
        <f ca="1">IF(B1="",'数据-取费表'!Q16,INDIRECT("'数据-取费表'!q"&amp;$G$1))</f>
        <v>0.08</v>
      </c>
      <c r="G27" s="247" t="s">
        <v>1515</v>
      </c>
    </row>
    <row r="28" spans="1:7" s="214" customFormat="1" ht="13.5" customHeight="1">
      <c r="A28" s="779" t="s">
        <v>346</v>
      </c>
      <c r="B28" s="248" t="s">
        <v>1516</v>
      </c>
      <c r="C28" s="249">
        <f ca="1">ROUND((C5+C19+C20)*F27,0)</f>
        <v>29237</v>
      </c>
      <c r="D28" s="235"/>
      <c r="E28" s="236"/>
      <c r="F28" s="246"/>
      <c r="G28" s="247"/>
    </row>
    <row r="29" spans="1:7" s="214" customFormat="1" ht="13.5" customHeight="1">
      <c r="A29" s="779"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438057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3605083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3184300</v>
      </c>
      <c r="D34" s="217"/>
      <c r="E34" s="220"/>
      <c r="F34" s="257"/>
      <c r="G34" s="219"/>
    </row>
    <row r="35" spans="1:7" ht="13.5" customHeight="1">
      <c r="A35" s="779" t="s">
        <v>351</v>
      </c>
      <c r="B35" s="215" t="s">
        <v>1527</v>
      </c>
      <c r="C35" s="220">
        <f ca="1">ROUND(C34*F35,0)</f>
        <v>159215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181960</v>
      </c>
      <c r="D37" s="217">
        <f ca="1">D19</f>
        <v>909.8</v>
      </c>
      <c r="E37" s="249">
        <f>'数据-取费表'!B35</f>
        <v>200</v>
      </c>
      <c r="F37" s="259"/>
      <c r="G37" s="261"/>
    </row>
    <row r="38" spans="1:7" ht="13.5" customHeight="1">
      <c r="A38" s="779" t="s">
        <v>354</v>
      </c>
      <c r="B38" s="215" t="s">
        <v>1533</v>
      </c>
      <c r="C38" s="220">
        <f ca="1">ROUND(C34*F38,0)</f>
        <v>79608</v>
      </c>
      <c r="D38" s="220"/>
      <c r="E38" s="220"/>
      <c r="F38" s="259">
        <f>'数据-取费表'!B36</f>
        <v>2.5000000000000001E-2</v>
      </c>
      <c r="G38" s="219" t="s">
        <v>1528</v>
      </c>
    </row>
    <row r="39" spans="1:7" s="214" customFormat="1" ht="13.5" customHeight="1">
      <c r="A39" s="255" t="s">
        <v>1534</v>
      </c>
      <c r="B39" s="210" t="s">
        <v>1535</v>
      </c>
      <c r="C39" s="232">
        <f ca="1">ROUND(C33*F20,0)</f>
        <v>108152</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55698</v>
      </c>
      <c r="D41" s="235">
        <f ca="1">C44</f>
        <v>2.9999999999999997E-4</v>
      </c>
      <c r="E41" s="236" t="s">
        <v>1539</v>
      </c>
      <c r="F41" s="237">
        <f ca="1">F22</f>
        <v>0.03</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54076</v>
      </c>
      <c r="D42" s="238"/>
      <c r="E42" s="238"/>
      <c r="F42" s="239"/>
      <c r="G42" s="3720" t="s">
        <v>1591</v>
      </c>
    </row>
    <row r="43" spans="1:7" ht="13.5" customHeight="1">
      <c r="A43" s="779" t="s">
        <v>347</v>
      </c>
      <c r="B43" s="215" t="s">
        <v>1545</v>
      </c>
      <c r="C43" s="238">
        <f ca="1">ROUND(IF('数据-取费表'!B22&lt;=1,C39*F22*'数据-取费表'!B20/2,C39*(POWER((1+F22),'数据-取费表'!B20/2)-1)),0)</f>
        <v>1622</v>
      </c>
      <c r="D43" s="238"/>
      <c r="E43" s="238"/>
      <c r="F43" s="239"/>
      <c r="G43" s="3721"/>
    </row>
    <row r="44" spans="1:7" ht="13.5" customHeight="1">
      <c r="A44" s="779" t="s">
        <v>348</v>
      </c>
      <c r="B44" s="215" t="s">
        <v>1546</v>
      </c>
      <c r="C44" s="238">
        <f ca="1">ROUND(IF('数据-取费表'!B22&lt;=1,C40*F22*'数据-取费表'!B20/2,C40*(POWER((1+F22),'数据-取费表'!B20/2)-1)),4)</f>
        <v>2.9999999999999997E-4</v>
      </c>
      <c r="D44" s="238"/>
      <c r="E44" s="238"/>
      <c r="F44" s="239"/>
      <c r="G44" s="3722"/>
    </row>
    <row r="45" spans="1:7" s="214" customFormat="1" ht="13.5" customHeight="1">
      <c r="A45" s="255" t="s">
        <v>1547</v>
      </c>
      <c r="B45" s="244" t="s">
        <v>1513</v>
      </c>
      <c r="C45" s="245">
        <f ca="1">C46</f>
        <v>297059</v>
      </c>
      <c r="D45" s="235">
        <f ca="1">C47</f>
        <v>1.6000000000000001E-3</v>
      </c>
      <c r="E45" s="236" t="s">
        <v>1539</v>
      </c>
      <c r="F45" s="246">
        <f ca="1">F27</f>
        <v>0.08</v>
      </c>
      <c r="G45" s="247" t="s">
        <v>1548</v>
      </c>
    </row>
    <row r="46" spans="1:7" s="214" customFormat="1" ht="13.5" customHeight="1">
      <c r="A46" s="779" t="s">
        <v>346</v>
      </c>
      <c r="B46" s="248" t="s">
        <v>1549</v>
      </c>
      <c r="C46" s="249">
        <f ca="1">ROUND((C33+C39)*F27,0)</f>
        <v>297059</v>
      </c>
      <c r="D46" s="263"/>
      <c r="E46" s="236"/>
      <c r="F46" s="246"/>
      <c r="G46" s="247"/>
    </row>
    <row r="47" spans="1:7" s="214" customFormat="1" ht="13.5" customHeight="1">
      <c r="A47" s="779"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4392343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3074640</v>
      </c>
      <c r="D51" s="232"/>
      <c r="E51" s="232"/>
      <c r="F51" s="264"/>
      <c r="G51" s="234" t="s">
        <v>1560</v>
      </c>
    </row>
    <row r="52" spans="1:7" s="208" customFormat="1" ht="16.5" thickBot="1">
      <c r="A52" s="265" t="s">
        <v>1561</v>
      </c>
      <c r="B52" s="266"/>
      <c r="C52" s="267">
        <f ca="1">C31+C51</f>
        <v>3512697</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909.8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2.5000000000000001E-2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909.8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7"/>
      <c r="I19" s="808"/>
      <c r="J19" s="808"/>
      <c r="K19" s="809"/>
    </row>
    <row r="20" spans="1:33" s="802" customFormat="1" ht="13.5" customHeight="1">
      <c r="A20" s="799" t="s">
        <v>361</v>
      </c>
      <c r="B20" s="800" t="s">
        <v>1627</v>
      </c>
      <c r="C20" s="21">
        <f ca="1">ROUND(D20*E20/10000,0)</f>
        <v>17</v>
      </c>
      <c r="D20" s="845">
        <f ca="1">IF(C1="",'数据-汇总表'!E6,IF(INDIRECT("'数据-取费表'!c"&amp;$K$1)="住宅",INDIRECT("'数据-取费表'!s"&amp;$K$1),INDIRECT("'数据-取费表'!k"&amp;$K$1)+INDIRECT("'数据-取费表'!s"&amp;$K$1)))</f>
        <v>909.8</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0.08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6" zoomScale="90" zoomScaleNormal="60" zoomScaleSheetLayoutView="90" workbookViewId="0">
      <selection activeCell="H48" sqref="H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f>F65</f>
        <v>376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4133</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74" t="s">
        <v>1771</v>
      </c>
      <c r="S4" s="3675"/>
      <c r="T4" s="3674" t="s">
        <v>1772</v>
      </c>
      <c r="U4" s="3675"/>
      <c r="V4" s="3671" t="s">
        <v>1773</v>
      </c>
      <c r="W4" s="3671"/>
      <c r="X4" s="1353"/>
      <c r="Y4" s="3674" t="s">
        <v>1775</v>
      </c>
      <c r="Z4" s="3675"/>
      <c r="AA4" s="3668" t="s">
        <v>1771</v>
      </c>
      <c r="AB4" s="3669" t="s">
        <v>1772</v>
      </c>
      <c r="AC4" s="3668" t="s">
        <v>1773</v>
      </c>
    </row>
    <row r="5" spans="1:30" ht="68.25" customHeight="1">
      <c r="A5" s="358"/>
      <c r="B5" s="359"/>
      <c r="C5" s="3764" t="s">
        <v>1673</v>
      </c>
      <c r="D5" s="3681"/>
      <c r="E5" s="3763" t="str">
        <f>土地案例!A4</f>
        <v>北京市顺义区顺义新城0201街区东风商场片区项目SY00-0201-116地块B1商业用地</v>
      </c>
      <c r="F5" s="3679"/>
      <c r="G5" s="3764" t="str">
        <f>土地案例!A9</f>
        <v>北京大兴国际机场临空经济区 DX16-0104-0013地块F3其他类多功能用地</v>
      </c>
      <c r="H5" s="3681"/>
      <c r="I5" s="3764" t="str">
        <f>土地案例!A15</f>
        <v>北京市房山区窦店镇高端制造业基地06街区01地块FS00-DD06-0018、0019、0023、0024地块F3其他类多功能用地</v>
      </c>
      <c r="J5" s="3681"/>
      <c r="K5" s="559"/>
      <c r="L5" s="2712"/>
      <c r="M5" s="2713"/>
      <c r="N5" s="2713"/>
      <c r="O5" s="2713"/>
      <c r="P5" s="3694"/>
      <c r="Q5" s="3695"/>
      <c r="R5" s="3676"/>
      <c r="S5" s="3677"/>
      <c r="T5" s="3676"/>
      <c r="U5" s="3677"/>
      <c r="V5" s="3671"/>
      <c r="W5" s="3671"/>
      <c r="X5" s="1353"/>
      <c r="Y5" s="3676"/>
      <c r="Z5" s="3677"/>
      <c r="AA5" s="3669"/>
      <c r="AB5" s="3669"/>
      <c r="AC5" s="3669"/>
    </row>
    <row r="6" spans="1:30" ht="15.75" thickBot="1">
      <c r="A6" s="360"/>
      <c r="B6" s="361"/>
      <c r="C6" s="3682" t="s">
        <v>1677</v>
      </c>
      <c r="D6" s="3683"/>
      <c r="E6" s="3684" t="s">
        <v>1677</v>
      </c>
      <c r="F6" s="3685"/>
      <c r="G6" s="3682" t="s">
        <v>1677</v>
      </c>
      <c r="H6" s="3683"/>
      <c r="I6" s="3682" t="s">
        <v>1677</v>
      </c>
      <c r="J6" s="3683"/>
      <c r="K6" s="559" t="s">
        <v>1678</v>
      </c>
      <c r="L6" s="2712"/>
      <c r="M6" s="2713"/>
      <c r="N6" s="2713"/>
      <c r="O6" s="2713"/>
      <c r="P6" s="3696"/>
      <c r="Q6" s="3697"/>
      <c r="R6" s="3676"/>
      <c r="S6" s="3677"/>
      <c r="T6" s="3698"/>
      <c r="U6" s="3699"/>
      <c r="V6" s="3671"/>
      <c r="W6" s="3671"/>
      <c r="X6" s="1353"/>
      <c r="Y6" s="3698"/>
      <c r="Z6" s="3699"/>
      <c r="AA6" s="3670"/>
      <c r="AB6" s="3670"/>
      <c r="AC6" s="3670"/>
    </row>
    <row r="7" spans="1:30" s="108" customFormat="1" ht="15.75" thickBot="1">
      <c r="A7" s="362" t="s">
        <v>1679</v>
      </c>
      <c r="B7" s="363"/>
      <c r="C7" s="364">
        <f>'数据-取费表'!B2</f>
        <v>45825</v>
      </c>
      <c r="D7" s="365">
        <v>100</v>
      </c>
      <c r="E7" s="366" t="str">
        <f>土地案例!N4</f>
        <v>2025-02-26</v>
      </c>
      <c r="F7" s="367">
        <f>SUMIF(69:69,YEAR(E7)&amp;"-"&amp;INT((MONTH(E7)+2)/3),70:70)</f>
        <v>100.2</v>
      </c>
      <c r="G7" s="1972" t="str">
        <f>土地案例!N9</f>
        <v>2024-09-04</v>
      </c>
      <c r="H7" s="365">
        <f>SUMIF(69:69,YEAR(G7)&amp;"-"&amp;INT((MONTH(G7)+2)/3),70:70)</f>
        <v>100.60000000000001</v>
      </c>
      <c r="I7" s="1972" t="str">
        <f>土地案例!N15</f>
        <v>2023-06-12</v>
      </c>
      <c r="J7" s="365">
        <f>SUMIF(69:69,YEAR(I7)&amp;"-"&amp;INT((MONTH(I7)+2)/3),70:70)</f>
        <v>101.60000000000002</v>
      </c>
      <c r="K7" s="560"/>
      <c r="L7" s="2714"/>
      <c r="M7" s="2715"/>
      <c r="N7" s="2715"/>
      <c r="O7" s="2715"/>
      <c r="P7" s="3672" t="s">
        <v>1680</v>
      </c>
      <c r="Q7" s="3700"/>
      <c r="R7" s="700" t="s">
        <v>14</v>
      </c>
      <c r="S7" s="701">
        <f t="shared" ref="S7:S15" si="0">F7</f>
        <v>100.2</v>
      </c>
      <c r="T7" s="700" t="s">
        <v>14</v>
      </c>
      <c r="U7" s="701">
        <f t="shared" ref="U7:U15" si="1">H7</f>
        <v>100.60000000000001</v>
      </c>
      <c r="V7" s="700" t="s">
        <v>14</v>
      </c>
      <c r="W7" s="701">
        <f t="shared" ref="W7:W15" si="2">J7</f>
        <v>101.60000000000002</v>
      </c>
      <c r="X7" s="702"/>
      <c r="Y7" s="3672" t="s">
        <v>1680</v>
      </c>
      <c r="Z7" s="3673"/>
      <c r="AA7" s="703">
        <f>D7/F7</f>
        <v>0.99800399201596801</v>
      </c>
      <c r="AB7" s="703">
        <f>D7/H7</f>
        <v>0.9940357852882703</v>
      </c>
      <c r="AC7" s="703">
        <f>D7/J7</f>
        <v>0.98425196850393681</v>
      </c>
    </row>
    <row r="8" spans="1:30" s="108" customFormat="1" ht="15.75" thickBot="1">
      <c r="A8" s="362" t="s">
        <v>1681</v>
      </c>
      <c r="B8" s="363"/>
      <c r="C8" s="368" t="s">
        <v>1682</v>
      </c>
      <c r="D8" s="365">
        <v>100</v>
      </c>
      <c r="E8" s="368" t="s">
        <v>3439</v>
      </c>
      <c r="F8" s="367">
        <f>SUMIF(72:72,E8,73:73)-SUMIF(72:72,C8,73:73)+100</f>
        <v>100</v>
      </c>
      <c r="G8" s="368" t="s">
        <v>3439</v>
      </c>
      <c r="H8" s="365">
        <f>SUMIF(72:72,G8,73:73)-SUMIF(72:72,C8,73:73)+100</f>
        <v>100</v>
      </c>
      <c r="I8" s="368" t="s">
        <v>3439</v>
      </c>
      <c r="J8" s="365">
        <f>SUMIF(72:72,I8,73:73)-SUMIF(72:72,C8,73:73)+100</f>
        <v>100</v>
      </c>
      <c r="K8" s="560"/>
      <c r="L8" s="2714"/>
      <c r="M8" s="2715"/>
      <c r="N8" s="2715"/>
      <c r="O8" s="2715"/>
      <c r="P8" s="3672" t="s">
        <v>1683</v>
      </c>
      <c r="Q8" s="3673"/>
      <c r="R8" s="700" t="s">
        <v>14</v>
      </c>
      <c r="S8" s="701">
        <f t="shared" si="0"/>
        <v>100</v>
      </c>
      <c r="T8" s="700" t="s">
        <v>14</v>
      </c>
      <c r="U8" s="701">
        <f t="shared" si="1"/>
        <v>100</v>
      </c>
      <c r="V8" s="700" t="s">
        <v>14</v>
      </c>
      <c r="W8" s="701">
        <f t="shared" si="2"/>
        <v>100</v>
      </c>
      <c r="X8" s="702"/>
      <c r="Y8" s="3672" t="s">
        <v>1683</v>
      </c>
      <c r="Z8" s="3673"/>
      <c r="AA8" s="703">
        <f t="shared" ref="AA8:AA45" si="3">D8/F8</f>
        <v>1</v>
      </c>
      <c r="AB8" s="703">
        <f t="shared" ref="AB8:AB45" si="4">D8/H8</f>
        <v>1</v>
      </c>
      <c r="AC8" s="703">
        <f t="shared" ref="AC8:AC45" si="5">D8/J8</f>
        <v>1</v>
      </c>
    </row>
    <row r="9" spans="1:30" s="108" customFormat="1" ht="28.5">
      <c r="A9" s="369" t="s">
        <v>1684</v>
      </c>
      <c r="B9" s="63" t="s">
        <v>1685</v>
      </c>
      <c r="C9" s="1975" t="s">
        <v>3729</v>
      </c>
      <c r="D9" s="126">
        <v>100</v>
      </c>
      <c r="E9" s="1975" t="s">
        <v>3572</v>
      </c>
      <c r="F9" s="126">
        <f>SUMIF(74:74,E9,75:75)-SUMIF(74:74,C9,75:75)+100</f>
        <v>102</v>
      </c>
      <c r="G9" s="1975" t="s">
        <v>3557</v>
      </c>
      <c r="H9" s="126">
        <f>SUMIF(74:74,G9,75:75)-SUMIF(74:74,C9,75:75)+100</f>
        <v>100</v>
      </c>
      <c r="I9" s="1975" t="s">
        <v>3557</v>
      </c>
      <c r="J9" s="126">
        <f>SUMIF(74:74,I9,75:75)-SUMIF(74:74,C9,75:75)+100</f>
        <v>100</v>
      </c>
      <c r="K9" s="560"/>
      <c r="L9" s="2714"/>
      <c r="M9" s="2715"/>
      <c r="N9" s="2715"/>
      <c r="O9" s="2769"/>
      <c r="P9" s="3710" t="s">
        <v>1686</v>
      </c>
      <c r="Q9" s="1341" t="str">
        <f t="shared" ref="Q9:Q15" si="6">B9</f>
        <v>用途</v>
      </c>
      <c r="R9" s="700" t="s">
        <v>14</v>
      </c>
      <c r="S9" s="701">
        <f t="shared" si="0"/>
        <v>102</v>
      </c>
      <c r="T9" s="700" t="s">
        <v>14</v>
      </c>
      <c r="U9" s="701">
        <f t="shared" si="1"/>
        <v>100</v>
      </c>
      <c r="V9" s="700" t="s">
        <v>14</v>
      </c>
      <c r="W9" s="701">
        <f t="shared" si="2"/>
        <v>100</v>
      </c>
      <c r="X9" s="702"/>
      <c r="Y9" s="3644" t="s">
        <v>1687</v>
      </c>
      <c r="Z9" s="52" t="str">
        <f t="shared" ref="Z9:Z15" si="7">Q9</f>
        <v>用途</v>
      </c>
      <c r="AA9" s="703">
        <f t="shared" si="3"/>
        <v>0.98039215686274506</v>
      </c>
      <c r="AB9" s="703">
        <f t="shared" si="4"/>
        <v>1</v>
      </c>
      <c r="AC9" s="703">
        <f t="shared" si="5"/>
        <v>1</v>
      </c>
    </row>
    <row r="10" spans="1:30" s="378" customFormat="1" ht="27">
      <c r="A10" s="374"/>
      <c r="B10" s="375" t="s">
        <v>1688</v>
      </c>
      <c r="C10" s="383"/>
      <c r="D10" s="127">
        <v>100</v>
      </c>
      <c r="E10" s="416"/>
      <c r="F10" s="3843">
        <v>100</v>
      </c>
      <c r="G10" s="414"/>
      <c r="H10" s="3843">
        <v>100</v>
      </c>
      <c r="I10" s="414"/>
      <c r="J10" s="3843">
        <v>100</v>
      </c>
      <c r="K10" s="619"/>
      <c r="L10" s="2716"/>
      <c r="M10" s="2717"/>
      <c r="N10" s="2717"/>
      <c r="O10" s="2770"/>
      <c r="P10" s="3710"/>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30" ht="15">
      <c r="A11" s="379"/>
      <c r="B11" s="375" t="s">
        <v>1689</v>
      </c>
      <c r="C11" s="380">
        <f>'数据-汇总表'!I7</f>
        <v>1.02</v>
      </c>
      <c r="D11" s="127">
        <v>100</v>
      </c>
      <c r="E11" s="380">
        <v>1.5</v>
      </c>
      <c r="F11" s="127">
        <f>LOOKUP(E11,79:79,80:80)-LOOKUP(C11,79:79,80:80)+100</f>
        <v>100</v>
      </c>
      <c r="G11" s="381">
        <v>1.3</v>
      </c>
      <c r="H11" s="127">
        <f>LOOKUP(G11,79:79,80:80)-LOOKUP(C11,79:79,80:80)+100</f>
        <v>100</v>
      </c>
      <c r="I11" s="380">
        <v>1.6</v>
      </c>
      <c r="J11" s="127">
        <f>LOOKUP(I11,79:79,80:80)-LOOKUP(C11,79:79,80:80)+100</f>
        <v>100</v>
      </c>
      <c r="K11" s="620">
        <v>2</v>
      </c>
      <c r="L11" s="2718"/>
      <c r="M11" s="2713"/>
      <c r="N11" s="2713"/>
      <c r="O11" s="2771"/>
      <c r="P11" s="3710"/>
      <c r="Q11" s="1341"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10"/>
      <c r="Q12" s="1341" t="str">
        <f t="shared" si="6"/>
        <v>配建</v>
      </c>
      <c r="R12" s="700" t="s">
        <v>14</v>
      </c>
      <c r="S12" s="701">
        <f t="shared" si="0"/>
        <v>100</v>
      </c>
      <c r="T12" s="700" t="s">
        <v>14</v>
      </c>
      <c r="U12" s="701">
        <f t="shared" si="1"/>
        <v>100</v>
      </c>
      <c r="V12" s="700" t="s">
        <v>14</v>
      </c>
      <c r="W12" s="701">
        <f t="shared" si="2"/>
        <v>100</v>
      </c>
      <c r="X12" s="702"/>
      <c r="Y12" s="3644"/>
      <c r="Z12" s="52" t="str">
        <f t="shared" si="7"/>
        <v>配建</v>
      </c>
      <c r="AA12" s="703">
        <f>D12/F12</f>
        <v>1</v>
      </c>
      <c r="AB12" s="703">
        <f>D12/H12</f>
        <v>1</v>
      </c>
      <c r="AC12" s="703">
        <f>D12/J12</f>
        <v>1</v>
      </c>
    </row>
    <row r="13" spans="1:30" ht="27">
      <c r="A13" s="379"/>
      <c r="B13" s="3838" t="s">
        <v>3756</v>
      </c>
      <c r="C13" s="385" t="s">
        <v>3757</v>
      </c>
      <c r="D13" s="386">
        <v>100</v>
      </c>
      <c r="E13" s="3837" t="s">
        <v>3752</v>
      </c>
      <c r="F13" s="127">
        <f>SUMIF(83:83,E13,84:84)-SUMIF(83:83,C13,84:84)+100</f>
        <v>80</v>
      </c>
      <c r="G13" s="3837" t="s">
        <v>3755</v>
      </c>
      <c r="H13" s="386">
        <f>SUMIF(83:83,G13,84:84)-SUMIF(83:83,C13,84:84)+100</f>
        <v>96</v>
      </c>
      <c r="I13" s="621" t="s">
        <v>3757</v>
      </c>
      <c r="J13" s="386">
        <f>SUMIF(83:83,I13,84:84)-SUMIF(83:83,C13,84:84)+100</f>
        <v>100</v>
      </c>
      <c r="K13" s="619"/>
      <c r="L13" s="2719"/>
      <c r="M13" s="2713"/>
      <c r="N13" s="2713"/>
      <c r="O13" s="2771"/>
      <c r="P13" s="3710"/>
      <c r="Q13" s="1341" t="str">
        <f t="shared" si="6"/>
        <v>自持情况</v>
      </c>
      <c r="R13" s="700" t="s">
        <v>14</v>
      </c>
      <c r="S13" s="701">
        <f t="shared" si="0"/>
        <v>80</v>
      </c>
      <c r="T13" s="700" t="s">
        <v>14</v>
      </c>
      <c r="U13" s="701">
        <f t="shared" si="1"/>
        <v>96</v>
      </c>
      <c r="V13" s="700" t="s">
        <v>14</v>
      </c>
      <c r="W13" s="701">
        <f t="shared" si="2"/>
        <v>100</v>
      </c>
      <c r="X13" s="702"/>
      <c r="Y13" s="3644"/>
      <c r="Z13" s="52" t="str">
        <f t="shared" si="7"/>
        <v>自持情况</v>
      </c>
      <c r="AA13" s="703">
        <f>D13/F13</f>
        <v>1.25</v>
      </c>
      <c r="AB13" s="703">
        <f>D13/H13</f>
        <v>1.0416666666666667</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10"/>
      <c r="Q14" s="1341">
        <f t="shared" si="6"/>
        <v>111</v>
      </c>
      <c r="R14" s="700" t="s">
        <v>14</v>
      </c>
      <c r="S14" s="701">
        <f t="shared" si="0"/>
        <v>100</v>
      </c>
      <c r="T14" s="700" t="s">
        <v>14</v>
      </c>
      <c r="U14" s="701">
        <f t="shared" si="1"/>
        <v>100</v>
      </c>
      <c r="V14" s="700" t="s">
        <v>14</v>
      </c>
      <c r="W14" s="701">
        <f t="shared" si="2"/>
        <v>100</v>
      </c>
      <c r="X14" s="702"/>
      <c r="Y14" s="3644"/>
      <c r="Z14" s="52">
        <f t="shared" si="7"/>
        <v>111</v>
      </c>
      <c r="AA14" s="703">
        <f>D14/F14</f>
        <v>1</v>
      </c>
      <c r="AB14" s="703">
        <f>D14/H14</f>
        <v>1</v>
      </c>
      <c r="AC14" s="703">
        <f>D14/J14</f>
        <v>1</v>
      </c>
    </row>
    <row r="15" spans="1:30" ht="99.75" hidden="1">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03" t="s">
        <v>1691</v>
      </c>
      <c r="Q15" s="1350" t="str">
        <f t="shared" si="6"/>
        <v>居住社区成熟度</v>
      </c>
      <c r="R15" s="704" t="s">
        <v>14</v>
      </c>
      <c r="S15" s="705">
        <f t="shared" si="0"/>
        <v>100</v>
      </c>
      <c r="T15" s="704" t="s">
        <v>14</v>
      </c>
      <c r="U15" s="705">
        <f t="shared" si="1"/>
        <v>100</v>
      </c>
      <c r="V15" s="704" t="s">
        <v>14</v>
      </c>
      <c r="W15" s="705">
        <f t="shared" si="2"/>
        <v>100</v>
      </c>
      <c r="X15" s="1353"/>
      <c r="Y15" s="3703" t="s">
        <v>1691</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9"/>
      <c r="M16" s="2713"/>
      <c r="N16" s="2713"/>
      <c r="O16" s="2771"/>
      <c r="P16" s="3704"/>
      <c r="Q16" s="1350"/>
      <c r="R16" s="704"/>
      <c r="S16" s="705"/>
      <c r="T16" s="704"/>
      <c r="U16" s="705"/>
      <c r="V16" s="704"/>
      <c r="W16" s="705"/>
      <c r="X16" s="1353"/>
      <c r="Y16" s="370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104</v>
      </c>
      <c r="G17" s="403"/>
      <c r="H17" s="406">
        <f>SUMIF(89:89,G18,90:90)-SUMIF(89:89,C18,90:90)+100</f>
        <v>100</v>
      </c>
      <c r="I17" s="405"/>
      <c r="J17" s="406">
        <f>SUMIF(89:89,I18,90:90)-SUMIF(89:89,C18,90:90)+100</f>
        <v>100</v>
      </c>
      <c r="K17" s="620">
        <v>2</v>
      </c>
      <c r="L17" s="2719"/>
      <c r="M17" s="2713"/>
      <c r="N17" s="2713"/>
      <c r="O17" s="2771"/>
      <c r="P17" s="3704"/>
      <c r="Q17" s="1350" t="str">
        <f>B17</f>
        <v>商业繁华度</v>
      </c>
      <c r="R17" s="704" t="s">
        <v>14</v>
      </c>
      <c r="S17" s="705">
        <f>F17</f>
        <v>104</v>
      </c>
      <c r="T17" s="704" t="s">
        <v>14</v>
      </c>
      <c r="U17" s="705">
        <f>H17</f>
        <v>100</v>
      </c>
      <c r="V17" s="704" t="s">
        <v>14</v>
      </c>
      <c r="W17" s="705">
        <f>J17</f>
        <v>100</v>
      </c>
      <c r="X17" s="1353"/>
      <c r="Y17" s="3704"/>
      <c r="Z17" s="1354" t="str">
        <f>Q17</f>
        <v>商业繁华度</v>
      </c>
      <c r="AA17" s="1351">
        <f t="shared" si="3"/>
        <v>0.96153846153846156</v>
      </c>
      <c r="AB17" s="1351">
        <f t="shared" si="4"/>
        <v>1</v>
      </c>
      <c r="AC17" s="1351">
        <f t="shared" si="5"/>
        <v>1</v>
      </c>
    </row>
    <row r="18" spans="1:29" ht="15">
      <c r="A18" s="379"/>
      <c r="B18" s="407"/>
      <c r="C18" s="1899" t="s">
        <v>3514</v>
      </c>
      <c r="D18" s="401"/>
      <c r="E18" s="1901" t="s">
        <v>3430</v>
      </c>
      <c r="F18" s="401"/>
      <c r="G18" s="1901" t="s">
        <v>3514</v>
      </c>
      <c r="H18" s="399"/>
      <c r="I18" s="1900" t="s">
        <v>3514</v>
      </c>
      <c r="J18" s="399"/>
      <c r="K18" s="619"/>
      <c r="L18" s="2719"/>
      <c r="M18" s="2713"/>
      <c r="N18" s="2713"/>
      <c r="O18" s="2771"/>
      <c r="P18" s="3704"/>
      <c r="Q18" s="1350"/>
      <c r="R18" s="704"/>
      <c r="S18" s="705"/>
      <c r="T18" s="704"/>
      <c r="U18" s="705"/>
      <c r="V18" s="704"/>
      <c r="W18" s="705"/>
      <c r="X18" s="1353"/>
      <c r="Y18" s="3704"/>
      <c r="Z18" s="1354"/>
      <c r="AA18" s="1351">
        <v>1</v>
      </c>
      <c r="AB18" s="1351">
        <v>1</v>
      </c>
      <c r="AC18" s="1351">
        <v>1</v>
      </c>
    </row>
    <row r="19" spans="1:29" ht="71.25" hidden="1">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04"/>
      <c r="Q19" s="1350" t="str">
        <f>B19</f>
        <v>办公集聚程度</v>
      </c>
      <c r="R19" s="704" t="s">
        <v>14</v>
      </c>
      <c r="S19" s="705">
        <f>F19</f>
        <v>100</v>
      </c>
      <c r="T19" s="704" t="s">
        <v>14</v>
      </c>
      <c r="U19" s="705">
        <f>H19</f>
        <v>100</v>
      </c>
      <c r="V19" s="704" t="s">
        <v>14</v>
      </c>
      <c r="W19" s="705">
        <f>J19</f>
        <v>100</v>
      </c>
      <c r="X19" s="1353"/>
      <c r="Y19" s="3704"/>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1895"/>
      <c r="J20" s="399"/>
      <c r="K20" s="619"/>
      <c r="L20" s="2719"/>
      <c r="M20" s="2713"/>
      <c r="N20" s="2713"/>
      <c r="O20" s="2771"/>
      <c r="P20" s="3704"/>
      <c r="Q20" s="1350"/>
      <c r="R20" s="704"/>
      <c r="S20" s="705"/>
      <c r="T20" s="704"/>
      <c r="U20" s="705"/>
      <c r="V20" s="704"/>
      <c r="W20" s="705"/>
      <c r="X20" s="1353"/>
      <c r="Y20" s="370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104</v>
      </c>
      <c r="G21" s="403"/>
      <c r="H21" s="401">
        <f>SUMIF(93:93,G22,94:94)-SUMIF(93:93,C22,94:94)+100</f>
        <v>102</v>
      </c>
      <c r="I21" s="405"/>
      <c r="J21" s="401">
        <f>SUMIF(93:93,I22,94:94)-SUMIF(93:93,C22,94:94)+100</f>
        <v>100</v>
      </c>
      <c r="K21" s="620">
        <v>2</v>
      </c>
      <c r="L21" s="2719"/>
      <c r="M21" s="2713"/>
      <c r="N21" s="2713"/>
      <c r="O21" s="2771"/>
      <c r="P21" s="3704"/>
      <c r="Q21" s="1350" t="str">
        <f>B21</f>
        <v>交通便捷度</v>
      </c>
      <c r="R21" s="704" t="s">
        <v>14</v>
      </c>
      <c r="S21" s="705">
        <f>F21</f>
        <v>104</v>
      </c>
      <c r="T21" s="704" t="s">
        <v>14</v>
      </c>
      <c r="U21" s="705">
        <f>H21</f>
        <v>102</v>
      </c>
      <c r="V21" s="704" t="s">
        <v>14</v>
      </c>
      <c r="W21" s="705">
        <f>J21</f>
        <v>100</v>
      </c>
      <c r="X21" s="1353"/>
      <c r="Y21" s="3704"/>
      <c r="Z21" s="1354" t="str">
        <f>Q21</f>
        <v>交通便捷度</v>
      </c>
      <c r="AA21" s="1351">
        <f t="shared" si="3"/>
        <v>0.96153846153846156</v>
      </c>
      <c r="AB21" s="1351">
        <f t="shared" si="4"/>
        <v>0.98039215686274506</v>
      </c>
      <c r="AC21" s="1351">
        <f t="shared" si="5"/>
        <v>1</v>
      </c>
    </row>
    <row r="22" spans="1:29" ht="15">
      <c r="A22" s="379"/>
      <c r="B22" s="1130"/>
      <c r="C22" s="398" t="s">
        <v>3514</v>
      </c>
      <c r="D22" s="401"/>
      <c r="E22" s="1896" t="s">
        <v>3430</v>
      </c>
      <c r="F22" s="399"/>
      <c r="G22" s="1896" t="s">
        <v>3431</v>
      </c>
      <c r="H22" s="399"/>
      <c r="I22" s="1895" t="s">
        <v>3514</v>
      </c>
      <c r="J22" s="399"/>
      <c r="K22" s="619"/>
      <c r="L22" s="2719"/>
      <c r="M22" s="2713"/>
      <c r="N22" s="2713"/>
      <c r="O22" s="2771"/>
      <c r="P22" s="3704"/>
      <c r="Q22" s="1350"/>
      <c r="R22" s="704"/>
      <c r="S22" s="705"/>
      <c r="T22" s="704"/>
      <c r="U22" s="705"/>
      <c r="V22" s="704"/>
      <c r="W22" s="705"/>
      <c r="X22" s="1353"/>
      <c r="Y22" s="3704"/>
      <c r="Z22" s="1354"/>
      <c r="AA22" s="1351">
        <v>1</v>
      </c>
      <c r="AB22" s="1351">
        <v>1</v>
      </c>
      <c r="AC22" s="1351">
        <v>1</v>
      </c>
    </row>
    <row r="23" spans="1:29" ht="15">
      <c r="A23" s="358"/>
      <c r="B23" s="402" t="s">
        <v>1871</v>
      </c>
      <c r="C23" s="1135">
        <f>估价对象房地状况!C19</f>
        <v>0</v>
      </c>
      <c r="D23" s="406">
        <v>100</v>
      </c>
      <c r="E23" s="403"/>
      <c r="F23" s="406">
        <f>SUMIF(95:95,E24,96:96)-SUMIF(95:95,C24,96:96)+100</f>
        <v>101</v>
      </c>
      <c r="G23" s="405"/>
      <c r="H23" s="406">
        <f>SUMIF(95:95,G24,96:96)-SUMIF(95:95,C24,96:96)+100</f>
        <v>101</v>
      </c>
      <c r="I23" s="405"/>
      <c r="J23" s="406">
        <f>SUMIF(95:95,I24,96:96)-SUMIF(95:95,C24,96:96)+100</f>
        <v>101</v>
      </c>
      <c r="K23" s="620">
        <v>1</v>
      </c>
      <c r="L23" s="2719"/>
      <c r="M23" s="2713"/>
      <c r="N23" s="2713"/>
      <c r="O23" s="2771"/>
      <c r="P23" s="3704"/>
      <c r="Q23" s="1350" t="str">
        <f t="shared" ref="Q23:Q37" si="8">B23</f>
        <v>区域土地利用方向</v>
      </c>
      <c r="R23" s="704" t="s">
        <v>14</v>
      </c>
      <c r="S23" s="705">
        <f>F23</f>
        <v>101</v>
      </c>
      <c r="T23" s="704" t="s">
        <v>14</v>
      </c>
      <c r="U23" s="705">
        <f>H23</f>
        <v>101</v>
      </c>
      <c r="V23" s="704" t="s">
        <v>14</v>
      </c>
      <c r="W23" s="705">
        <f>J23</f>
        <v>101</v>
      </c>
      <c r="X23" s="1353"/>
      <c r="Y23" s="3704"/>
      <c r="Z23" s="1354" t="str">
        <f>Q23</f>
        <v>区域土地利用方向</v>
      </c>
      <c r="AA23" s="1351">
        <f t="shared" si="3"/>
        <v>0.99009900990099009</v>
      </c>
      <c r="AB23" s="1351">
        <f t="shared" si="4"/>
        <v>0.99009900990099009</v>
      </c>
      <c r="AC23" s="1351">
        <f t="shared" si="5"/>
        <v>0.99009900990099009</v>
      </c>
    </row>
    <row r="24" spans="1:29" ht="15">
      <c r="A24" s="358"/>
      <c r="B24" s="407"/>
      <c r="C24" s="565" t="s">
        <v>3431</v>
      </c>
      <c r="D24" s="399"/>
      <c r="E24" s="1896" t="s">
        <v>3430</v>
      </c>
      <c r="F24" s="399"/>
      <c r="G24" s="1895" t="s">
        <v>3430</v>
      </c>
      <c r="H24" s="399"/>
      <c r="I24" s="1895" t="s">
        <v>3430</v>
      </c>
      <c r="J24" s="399"/>
      <c r="K24" s="739"/>
      <c r="L24" s="2719"/>
      <c r="M24" s="2713"/>
      <c r="N24" s="2713"/>
      <c r="O24" s="2771"/>
      <c r="P24" s="3704"/>
      <c r="Q24" s="1350"/>
      <c r="R24" s="704"/>
      <c r="S24" s="705"/>
      <c r="T24" s="704"/>
      <c r="U24" s="705"/>
      <c r="V24" s="704"/>
      <c r="W24" s="705"/>
      <c r="X24" s="1353"/>
      <c r="Y24" s="3704"/>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104</v>
      </c>
      <c r="G25" s="403"/>
      <c r="H25" s="401">
        <f>SUMIF(97:97,G26,98:98)-SUMIF(97:97,C26,98:98)+100</f>
        <v>100</v>
      </c>
      <c r="I25" s="405"/>
      <c r="J25" s="401">
        <f>SUMIF(97:97,I26,98:98)-SUMIF(97:97,C26,98:98)+100</f>
        <v>100</v>
      </c>
      <c r="K25" s="620">
        <v>2</v>
      </c>
      <c r="L25" s="2719"/>
      <c r="M25" s="2713"/>
      <c r="N25" s="2713"/>
      <c r="O25" s="2771"/>
      <c r="P25" s="3704"/>
      <c r="Q25" s="1350" t="str">
        <f t="shared" si="8"/>
        <v>自然及人文环境状况</v>
      </c>
      <c r="R25" s="704" t="s">
        <v>14</v>
      </c>
      <c r="S25" s="705">
        <f>F25</f>
        <v>104</v>
      </c>
      <c r="T25" s="704" t="s">
        <v>14</v>
      </c>
      <c r="U25" s="705">
        <f>H25</f>
        <v>100</v>
      </c>
      <c r="V25" s="704" t="s">
        <v>14</v>
      </c>
      <c r="W25" s="705">
        <f>J25</f>
        <v>100</v>
      </c>
      <c r="X25" s="1353"/>
      <c r="Y25" s="3704"/>
      <c r="Z25" s="1354" t="str">
        <f>Q25</f>
        <v>自然及人文环境状况</v>
      </c>
      <c r="AA25" s="1351">
        <f t="shared" si="3"/>
        <v>0.96153846153846156</v>
      </c>
      <c r="AB25" s="1351">
        <f t="shared" si="4"/>
        <v>1</v>
      </c>
      <c r="AC25" s="1351">
        <f t="shared" si="5"/>
        <v>1</v>
      </c>
    </row>
    <row r="26" spans="1:29" ht="15">
      <c r="A26" s="358"/>
      <c r="B26" s="407"/>
      <c r="C26" s="398" t="s">
        <v>3514</v>
      </c>
      <c r="D26" s="399"/>
      <c r="E26" s="1902" t="s">
        <v>3430</v>
      </c>
      <c r="F26" s="399"/>
      <c r="G26" s="1902" t="s">
        <v>3514</v>
      </c>
      <c r="H26" s="399"/>
      <c r="I26" s="398" t="s">
        <v>3514</v>
      </c>
      <c r="J26" s="399"/>
      <c r="K26" s="619"/>
      <c r="L26" s="2719"/>
      <c r="M26" s="2713"/>
      <c r="N26" s="2713"/>
      <c r="O26" s="2771"/>
      <c r="P26" s="3704"/>
      <c r="Q26" s="1350"/>
      <c r="R26" s="704"/>
      <c r="S26" s="705"/>
      <c r="T26" s="704"/>
      <c r="U26" s="705"/>
      <c r="V26" s="704"/>
      <c r="W26" s="705"/>
      <c r="X26" s="1353"/>
      <c r="Y26" s="3704"/>
      <c r="Z26" s="1354"/>
      <c r="AA26" s="1351">
        <v>1</v>
      </c>
      <c r="AB26" s="1351">
        <v>1</v>
      </c>
      <c r="AC26" s="1351">
        <v>1</v>
      </c>
    </row>
    <row r="27" spans="1:29" s="108" customFormat="1" ht="42.75">
      <c r="A27" s="596"/>
      <c r="B27" s="1130" t="s">
        <v>1778</v>
      </c>
      <c r="C27" s="1898" t="str">
        <f>估价对象房地状况!C21</f>
        <v>估价对象所在区域公共配套设施齐备情况</v>
      </c>
      <c r="D27" s="401">
        <v>100</v>
      </c>
      <c r="E27" s="403"/>
      <c r="F27" s="401">
        <f>SUMIF(99:99,E28,100:100)-SUMIF(99:99,C28,100:100)+100</f>
        <v>102</v>
      </c>
      <c r="G27" s="403"/>
      <c r="H27" s="401">
        <f>SUMIF(99:99,G28,100:100)-SUMIF(99:99,C28,100:100)+100</f>
        <v>100</v>
      </c>
      <c r="I27" s="405"/>
      <c r="J27" s="401">
        <f>SUMIF(99:99,I28,100:100)-SUMIF(99:99,C28,100:100)+100</f>
        <v>100</v>
      </c>
      <c r="K27" s="620">
        <v>2</v>
      </c>
      <c r="L27" s="2714"/>
      <c r="M27" s="2715"/>
      <c r="N27" s="2715"/>
      <c r="O27" s="2769"/>
      <c r="P27" s="3704"/>
      <c r="Q27" s="1341" t="str">
        <f t="shared" si="8"/>
        <v>公共配套设施</v>
      </c>
      <c r="R27" s="700" t="s">
        <v>14</v>
      </c>
      <c r="S27" s="701">
        <f>F27</f>
        <v>102</v>
      </c>
      <c r="T27" s="700" t="s">
        <v>14</v>
      </c>
      <c r="U27" s="701">
        <f>H27</f>
        <v>100</v>
      </c>
      <c r="V27" s="700" t="s">
        <v>14</v>
      </c>
      <c r="W27" s="701">
        <f>J27</f>
        <v>100</v>
      </c>
      <c r="X27" s="702"/>
      <c r="Y27" s="3704"/>
      <c r="Z27" s="52" t="str">
        <f>Q27</f>
        <v>公共配套设施</v>
      </c>
      <c r="AA27" s="1351">
        <f>D27/F27</f>
        <v>0.98039215686274506</v>
      </c>
      <c r="AB27" s="1351">
        <f>D27/H27</f>
        <v>1</v>
      </c>
      <c r="AC27" s="1351">
        <f>D27/J27</f>
        <v>1</v>
      </c>
    </row>
    <row r="28" spans="1:29" s="108" customFormat="1" ht="15">
      <c r="A28" s="596"/>
      <c r="B28" s="407"/>
      <c r="C28" s="1976" t="s">
        <v>3431</v>
      </c>
      <c r="D28" s="399"/>
      <c r="E28" s="1902" t="s">
        <v>3430</v>
      </c>
      <c r="F28" s="399"/>
      <c r="G28" s="1902" t="s">
        <v>3431</v>
      </c>
      <c r="H28" s="399"/>
      <c r="I28" s="398" t="s">
        <v>3431</v>
      </c>
      <c r="J28" s="399"/>
      <c r="K28" s="619"/>
      <c r="L28" s="2714"/>
      <c r="M28" s="2715"/>
      <c r="N28" s="2715"/>
      <c r="O28" s="2769"/>
      <c r="P28" s="3704"/>
      <c r="Q28" s="1341"/>
      <c r="R28" s="700"/>
      <c r="S28" s="701"/>
      <c r="T28" s="700"/>
      <c r="U28" s="701"/>
      <c r="V28" s="700"/>
      <c r="W28" s="701"/>
      <c r="X28" s="702"/>
      <c r="Y28" s="3704"/>
      <c r="Z28" s="52"/>
      <c r="AA28" s="1351">
        <v>1</v>
      </c>
      <c r="AB28" s="1351">
        <v>1</v>
      </c>
      <c r="AC28" s="1351">
        <v>1</v>
      </c>
    </row>
    <row r="29" spans="1:29" s="108" customFormat="1" ht="28.5">
      <c r="A29" s="596"/>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v>1</v>
      </c>
      <c r="L29" s="2714"/>
      <c r="M29" s="2715"/>
      <c r="N29" s="2715"/>
      <c r="O29" s="2769"/>
      <c r="P29" s="3704"/>
      <c r="Q29" s="1341"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1">
        <f>D29/F29</f>
        <v>1</v>
      </c>
      <c r="AB29" s="1351">
        <f>D29/H29</f>
        <v>1</v>
      </c>
      <c r="AC29" s="1351">
        <f>D29/J29</f>
        <v>1</v>
      </c>
    </row>
    <row r="30" spans="1:29" s="108" customFormat="1" ht="15">
      <c r="A30" s="596"/>
      <c r="B30" s="407"/>
      <c r="C30" s="1976" t="s">
        <v>3466</v>
      </c>
      <c r="D30" s="399"/>
      <c r="E30" s="1977" t="s">
        <v>3466</v>
      </c>
      <c r="F30" s="399"/>
      <c r="G30" s="1977" t="s">
        <v>3466</v>
      </c>
      <c r="H30" s="399"/>
      <c r="I30" s="1977" t="s">
        <v>3466</v>
      </c>
      <c r="J30" s="399"/>
      <c r="K30" s="619"/>
      <c r="L30" s="2714"/>
      <c r="M30" s="2715"/>
      <c r="N30" s="2715"/>
      <c r="O30" s="2769"/>
      <c r="P30" s="3704"/>
      <c r="Q30" s="1341"/>
      <c r="R30" s="700"/>
      <c r="S30" s="701"/>
      <c r="T30" s="700"/>
      <c r="U30" s="701"/>
      <c r="V30" s="700"/>
      <c r="W30" s="701"/>
      <c r="X30" s="702"/>
      <c r="Y30" s="3704"/>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0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0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04"/>
      <c r="Q32" s="1350" t="str">
        <f t="shared" si="8"/>
        <v>毗邻道路的类型与等级</v>
      </c>
      <c r="R32" s="704" t="s">
        <v>14</v>
      </c>
      <c r="S32" s="705">
        <f t="shared" si="10"/>
        <v>100</v>
      </c>
      <c r="T32" s="704" t="s">
        <v>14</v>
      </c>
      <c r="U32" s="705">
        <f t="shared" si="11"/>
        <v>100</v>
      </c>
      <c r="V32" s="704" t="s">
        <v>14</v>
      </c>
      <c r="W32" s="705">
        <f t="shared" si="12"/>
        <v>100</v>
      </c>
      <c r="X32" s="1353"/>
      <c r="Y32" s="370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4"/>
      <c r="Q33" s="1350"/>
      <c r="R33" s="704"/>
      <c r="S33" s="705"/>
      <c r="T33" s="704"/>
      <c r="U33" s="705"/>
      <c r="V33" s="704"/>
      <c r="W33" s="705"/>
      <c r="X33" s="1353"/>
      <c r="Y33" s="3704"/>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04"/>
      <c r="Q34" s="1350" t="str">
        <f t="shared" si="8"/>
        <v>土地级别</v>
      </c>
      <c r="R34" s="704" t="s">
        <v>14</v>
      </c>
      <c r="S34" s="705">
        <f t="shared" si="10"/>
        <v>100</v>
      </c>
      <c r="T34" s="704" t="s">
        <v>14</v>
      </c>
      <c r="U34" s="705">
        <f t="shared" si="11"/>
        <v>100</v>
      </c>
      <c r="V34" s="704" t="s">
        <v>14</v>
      </c>
      <c r="W34" s="705">
        <f t="shared" si="12"/>
        <v>100</v>
      </c>
      <c r="X34" s="1353"/>
      <c r="Y34" s="3704"/>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04"/>
      <c r="Q35" s="1350">
        <f t="shared" si="8"/>
        <v>111</v>
      </c>
      <c r="R35" s="704" t="s">
        <v>14</v>
      </c>
      <c r="S35" s="705">
        <f t="shared" si="10"/>
        <v>100</v>
      </c>
      <c r="T35" s="704" t="s">
        <v>14</v>
      </c>
      <c r="U35" s="705">
        <f t="shared" si="11"/>
        <v>100</v>
      </c>
      <c r="V35" s="704" t="s">
        <v>14</v>
      </c>
      <c r="W35" s="705">
        <f t="shared" si="12"/>
        <v>100</v>
      </c>
      <c r="X35" s="1353"/>
      <c r="Y35" s="3704"/>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80" t="s">
        <v>1696</v>
      </c>
      <c r="Q36" s="1350">
        <f t="shared" si="8"/>
        <v>111</v>
      </c>
      <c r="R36" s="704" t="s">
        <v>14</v>
      </c>
      <c r="S36" s="705">
        <f t="shared" si="10"/>
        <v>100</v>
      </c>
      <c r="T36" s="704" t="s">
        <v>14</v>
      </c>
      <c r="U36" s="705">
        <f t="shared" si="11"/>
        <v>100</v>
      </c>
      <c r="V36" s="704" t="s">
        <v>14</v>
      </c>
      <c r="W36" s="705">
        <f t="shared" si="12"/>
        <v>100</v>
      </c>
      <c r="X36" s="1353"/>
      <c r="Y36" s="3708" t="s">
        <v>1696</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08"/>
      <c r="Q37" s="1350">
        <f t="shared" si="8"/>
        <v>111</v>
      </c>
      <c r="R37" s="707" t="s">
        <v>14</v>
      </c>
      <c r="S37" s="708">
        <f t="shared" si="10"/>
        <v>100</v>
      </c>
      <c r="T37" s="707" t="s">
        <v>14</v>
      </c>
      <c r="U37" s="708">
        <f t="shared" si="11"/>
        <v>100</v>
      </c>
      <c r="V37" s="707" t="s">
        <v>14</v>
      </c>
      <c r="W37" s="708">
        <f t="shared" si="12"/>
        <v>100</v>
      </c>
      <c r="X37" s="709"/>
      <c r="Y37" s="3708"/>
      <c r="Z37" s="710">
        <f t="shared" si="13"/>
        <v>111</v>
      </c>
      <c r="AA37" s="1351">
        <f t="shared" si="3"/>
        <v>1</v>
      </c>
      <c r="AB37" s="1351">
        <f t="shared" si="4"/>
        <v>1</v>
      </c>
      <c r="AC37" s="1351">
        <f t="shared" si="5"/>
        <v>1</v>
      </c>
    </row>
    <row r="38" spans="1:29" ht="15">
      <c r="A38" s="423" t="s">
        <v>1694</v>
      </c>
      <c r="B38" s="407" t="s">
        <v>1874</v>
      </c>
      <c r="C38" s="626">
        <v>2789.34</v>
      </c>
      <c r="D38" s="418">
        <v>100</v>
      </c>
      <c r="E38" s="626">
        <f>土地案例!E4</f>
        <v>54036.49</v>
      </c>
      <c r="F38" s="418">
        <f>LOOKUP(E38,116:116,117:117)-LOOKUP(C38,116:116,117:117)+100</f>
        <v>102</v>
      </c>
      <c r="G38" s="626">
        <f>土地案例!E9</f>
        <v>32423.18</v>
      </c>
      <c r="H38" s="418">
        <f>LOOKUP(G38,116:116,117:117)-LOOKUP(C38,116:116,117:117)+100</f>
        <v>102</v>
      </c>
      <c r="I38" s="479">
        <f>土地案例!E15</f>
        <v>101190.07</v>
      </c>
      <c r="J38" s="418">
        <f>LOOKUP(I38,116:116,117:117)-LOOKUP(C38,116:116,117:117)+100</f>
        <v>104</v>
      </c>
      <c r="K38" s="562"/>
      <c r="L38" s="2719"/>
      <c r="M38" s="2713"/>
      <c r="N38" s="2713"/>
      <c r="O38" s="2771"/>
      <c r="P38" s="3708"/>
      <c r="Q38" s="1350" t="str">
        <f>B38</f>
        <v>宗地面积</v>
      </c>
      <c r="R38" s="704" t="s">
        <v>14</v>
      </c>
      <c r="S38" s="705">
        <f t="shared" si="10"/>
        <v>102</v>
      </c>
      <c r="T38" s="704" t="s">
        <v>14</v>
      </c>
      <c r="U38" s="705">
        <f t="shared" si="11"/>
        <v>102</v>
      </c>
      <c r="V38" s="704" t="s">
        <v>14</v>
      </c>
      <c r="W38" s="705">
        <f t="shared" si="12"/>
        <v>104</v>
      </c>
      <c r="X38" s="1353"/>
      <c r="Y38" s="3708"/>
      <c r="Z38" s="1354" t="str">
        <f t="shared" si="13"/>
        <v>宗地面积</v>
      </c>
      <c r="AA38" s="1351">
        <f t="shared" si="3"/>
        <v>0.98039215686274506</v>
      </c>
      <c r="AB38" s="1351">
        <f t="shared" si="4"/>
        <v>0.98039215686274506</v>
      </c>
      <c r="AC38" s="1351">
        <f t="shared" si="5"/>
        <v>0.96153846153846156</v>
      </c>
    </row>
    <row r="39" spans="1:29" ht="15">
      <c r="A39" s="423"/>
      <c r="B39" s="375" t="s">
        <v>1875</v>
      </c>
      <c r="C39" s="1904" t="s">
        <v>3734</v>
      </c>
      <c r="D39" s="386">
        <v>100</v>
      </c>
      <c r="E39" s="1904" t="s">
        <v>3734</v>
      </c>
      <c r="F39" s="386">
        <f>SUMIF(118:118,E39,119:119)-SUMIF(118:118,C39,119:119)+100</f>
        <v>100</v>
      </c>
      <c r="G39" s="1904" t="s">
        <v>3736</v>
      </c>
      <c r="H39" s="386">
        <f>SUMIF(118:118,G39,119:119)-SUMIF(118:118,C39,119:119)+100</f>
        <v>99</v>
      </c>
      <c r="I39" s="1904" t="s">
        <v>3736</v>
      </c>
      <c r="J39" s="386">
        <f>SUMIF(118:118,I39,119:119)-SUMIF(118:118,C39,119:119)+100</f>
        <v>99</v>
      </c>
      <c r="K39" s="561">
        <v>1</v>
      </c>
      <c r="L39" s="2719"/>
      <c r="M39" s="2713"/>
      <c r="N39" s="2713"/>
      <c r="O39" s="2771"/>
      <c r="P39" s="3708"/>
      <c r="Q39" s="1350" t="str">
        <f t="shared" ref="Q39:Q45" si="14">B39</f>
        <v>宗地形状</v>
      </c>
      <c r="R39" s="704" t="s">
        <v>14</v>
      </c>
      <c r="S39" s="705">
        <f t="shared" si="10"/>
        <v>100</v>
      </c>
      <c r="T39" s="704" t="s">
        <v>14</v>
      </c>
      <c r="U39" s="705">
        <f t="shared" si="11"/>
        <v>99</v>
      </c>
      <c r="V39" s="704" t="s">
        <v>14</v>
      </c>
      <c r="W39" s="705">
        <f t="shared" si="12"/>
        <v>99</v>
      </c>
      <c r="X39" s="1353"/>
      <c r="Y39" s="3708"/>
      <c r="Z39" s="1354" t="str">
        <f t="shared" si="13"/>
        <v>宗地形状</v>
      </c>
      <c r="AA39" s="1351">
        <f t="shared" si="3"/>
        <v>1</v>
      </c>
      <c r="AB39" s="1351">
        <f t="shared" si="4"/>
        <v>1.0101010101010102</v>
      </c>
      <c r="AC39" s="1351">
        <f t="shared" si="5"/>
        <v>1.0101010101010102</v>
      </c>
    </row>
    <row r="40" spans="1:29" ht="15">
      <c r="A40" s="423"/>
      <c r="B40" s="375" t="s">
        <v>1876</v>
      </c>
      <c r="C40" s="1904" t="s">
        <v>3740</v>
      </c>
      <c r="D40" s="386">
        <v>100</v>
      </c>
      <c r="E40" s="1904" t="s">
        <v>3740</v>
      </c>
      <c r="F40" s="386">
        <f>SUMIF(120:120,E40,121:121)-SUMIF(120:120,C40,121:121)+100</f>
        <v>100</v>
      </c>
      <c r="G40" s="1904" t="s">
        <v>3740</v>
      </c>
      <c r="H40" s="386">
        <f>SUMIF(120:120,G40,121:121)-SUMIF(120:120,C40,121:121)+100</f>
        <v>100</v>
      </c>
      <c r="I40" s="1904" t="s">
        <v>3740</v>
      </c>
      <c r="J40" s="386">
        <f>SUMIF(120:120,I40,121:121)-SUMIF(120:120,C40,121:121)+100</f>
        <v>100</v>
      </c>
      <c r="K40" s="561">
        <v>1</v>
      </c>
      <c r="L40" s="2719"/>
      <c r="M40" s="2713"/>
      <c r="N40" s="2713"/>
      <c r="O40" s="2771"/>
      <c r="P40" s="3708"/>
      <c r="Q40" s="1350" t="str">
        <f t="shared" si="14"/>
        <v>临街宽度及深度</v>
      </c>
      <c r="R40" s="704" t="s">
        <v>14</v>
      </c>
      <c r="S40" s="705">
        <f t="shared" si="10"/>
        <v>100</v>
      </c>
      <c r="T40" s="704" t="s">
        <v>14</v>
      </c>
      <c r="U40" s="705">
        <f t="shared" si="11"/>
        <v>100</v>
      </c>
      <c r="V40" s="704" t="s">
        <v>14</v>
      </c>
      <c r="W40" s="705">
        <f t="shared" si="12"/>
        <v>100</v>
      </c>
      <c r="X40" s="1353"/>
      <c r="Y40" s="3708"/>
      <c r="Z40" s="1354" t="str">
        <f t="shared" si="13"/>
        <v>临街宽度及深度</v>
      </c>
      <c r="AA40" s="1351">
        <f t="shared" si="3"/>
        <v>1</v>
      </c>
      <c r="AB40" s="1351">
        <f t="shared" si="4"/>
        <v>1</v>
      </c>
      <c r="AC40" s="1351">
        <f t="shared" si="5"/>
        <v>1</v>
      </c>
    </row>
    <row r="41" spans="1:29" s="108" customFormat="1" ht="15">
      <c r="A41" s="424"/>
      <c r="B41" s="375" t="s">
        <v>1877</v>
      </c>
      <c r="C41" s="1978" t="s">
        <v>3745</v>
      </c>
      <c r="D41" s="127">
        <v>100</v>
      </c>
      <c r="E41" s="1978" t="s">
        <v>3466</v>
      </c>
      <c r="F41" s="386">
        <f>SUMIF(122:122,E41,123:123)-SUMIF(122:122,C41,123:123)+100</f>
        <v>102</v>
      </c>
      <c r="G41" s="1978" t="s">
        <v>3743</v>
      </c>
      <c r="H41" s="386">
        <f>SUMIF(122:122,G41,123:123)-SUMIF(122:122,C41,123:123)+100</f>
        <v>101</v>
      </c>
      <c r="I41" s="1978" t="s">
        <v>3466</v>
      </c>
      <c r="J41" s="386">
        <f>SUMIF(122:122,I41,123:123)-SUMIF(122:122,C41,123:123)+100</f>
        <v>102</v>
      </c>
      <c r="K41" s="561">
        <v>1</v>
      </c>
      <c r="L41" s="2714"/>
      <c r="M41" s="2715"/>
      <c r="N41" s="2715"/>
      <c r="O41" s="2769"/>
      <c r="P41" s="3708"/>
      <c r="Q41" s="1350" t="str">
        <f t="shared" si="14"/>
        <v>宗地开发程度</v>
      </c>
      <c r="R41" s="700" t="s">
        <v>14</v>
      </c>
      <c r="S41" s="701">
        <f t="shared" si="10"/>
        <v>102</v>
      </c>
      <c r="T41" s="700" t="s">
        <v>14</v>
      </c>
      <c r="U41" s="701">
        <f t="shared" si="11"/>
        <v>101</v>
      </c>
      <c r="V41" s="700" t="s">
        <v>14</v>
      </c>
      <c r="W41" s="701">
        <f t="shared" si="12"/>
        <v>102</v>
      </c>
      <c r="X41" s="702"/>
      <c r="Y41" s="3708"/>
      <c r="Z41" s="52" t="str">
        <f t="shared" si="13"/>
        <v>宗地开发程度</v>
      </c>
      <c r="AA41" s="703">
        <f t="shared" si="3"/>
        <v>0.98039215686274506</v>
      </c>
      <c r="AB41" s="703">
        <f t="shared" si="4"/>
        <v>0.99009900990099009</v>
      </c>
      <c r="AC41" s="703">
        <f t="shared" si="5"/>
        <v>0.98039215686274506</v>
      </c>
    </row>
    <row r="42" spans="1:29" ht="15">
      <c r="A42" s="423"/>
      <c r="B42" s="375" t="s">
        <v>1878</v>
      </c>
      <c r="C42" s="1904" t="s">
        <v>3430</v>
      </c>
      <c r="D42" s="386">
        <v>100</v>
      </c>
      <c r="E42" s="1904" t="s">
        <v>3430</v>
      </c>
      <c r="F42" s="386">
        <f>SUMIF(124:124,E42,125:125)-SUMIF(124:124,C42,125:125)+100</f>
        <v>100</v>
      </c>
      <c r="G42" s="1904" t="s">
        <v>3430</v>
      </c>
      <c r="H42" s="386">
        <f>SUMIF(124:124,G42,125:125)-SUMIF(124:124,C42,125:125)+100</f>
        <v>100</v>
      </c>
      <c r="I42" s="1904" t="s">
        <v>3430</v>
      </c>
      <c r="J42" s="386">
        <f>SUMIF(124:124,I42,125:125)-SUMIF(124:124,C42,125:125)+100</f>
        <v>100</v>
      </c>
      <c r="K42" s="561">
        <v>1</v>
      </c>
      <c r="L42" s="2719"/>
      <c r="M42" s="2713"/>
      <c r="N42" s="2713"/>
      <c r="O42" s="2771"/>
      <c r="P42" s="3708" t="s">
        <v>1696</v>
      </c>
      <c r="Q42" s="1350" t="str">
        <f t="shared" si="14"/>
        <v>工程地质条件</v>
      </c>
      <c r="R42" s="704" t="s">
        <v>14</v>
      </c>
      <c r="S42" s="705">
        <f t="shared" si="10"/>
        <v>100</v>
      </c>
      <c r="T42" s="704" t="s">
        <v>14</v>
      </c>
      <c r="U42" s="705">
        <f t="shared" si="11"/>
        <v>100</v>
      </c>
      <c r="V42" s="704" t="s">
        <v>14</v>
      </c>
      <c r="W42" s="705">
        <f t="shared" si="12"/>
        <v>100</v>
      </c>
      <c r="X42" s="1353"/>
      <c r="Y42" s="3708" t="s">
        <v>1696</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08"/>
      <c r="Q43" s="1350">
        <f t="shared" si="14"/>
        <v>111</v>
      </c>
      <c r="R43" s="704" t="s">
        <v>14</v>
      </c>
      <c r="S43" s="705">
        <f t="shared" si="10"/>
        <v>100</v>
      </c>
      <c r="T43" s="704" t="s">
        <v>14</v>
      </c>
      <c r="U43" s="705">
        <f t="shared" si="11"/>
        <v>100</v>
      </c>
      <c r="V43" s="704" t="s">
        <v>14</v>
      </c>
      <c r="W43" s="705">
        <f t="shared" si="12"/>
        <v>100</v>
      </c>
      <c r="X43" s="1353"/>
      <c r="Y43" s="3708"/>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08"/>
      <c r="Q44" s="1350">
        <f t="shared" si="14"/>
        <v>111</v>
      </c>
      <c r="R44" s="704" t="s">
        <v>14</v>
      </c>
      <c r="S44" s="705">
        <f t="shared" si="10"/>
        <v>100</v>
      </c>
      <c r="T44" s="704" t="s">
        <v>14</v>
      </c>
      <c r="U44" s="705">
        <f t="shared" si="11"/>
        <v>100</v>
      </c>
      <c r="V44" s="704" t="s">
        <v>14</v>
      </c>
      <c r="W44" s="705">
        <f t="shared" si="12"/>
        <v>100</v>
      </c>
      <c r="X44" s="1353"/>
      <c r="Y44" s="3708"/>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08"/>
      <c r="Q45" s="1350">
        <f t="shared" si="14"/>
        <v>111</v>
      </c>
      <c r="R45" s="707" t="s">
        <v>14</v>
      </c>
      <c r="S45" s="708">
        <f t="shared" si="10"/>
        <v>100</v>
      </c>
      <c r="T45" s="707" t="s">
        <v>14</v>
      </c>
      <c r="U45" s="708">
        <f t="shared" si="11"/>
        <v>100</v>
      </c>
      <c r="V45" s="707" t="s">
        <v>14</v>
      </c>
      <c r="W45" s="708">
        <f t="shared" si="12"/>
        <v>100</v>
      </c>
      <c r="X45" s="709"/>
      <c r="Y45" s="3708"/>
      <c r="Z45" s="710">
        <f t="shared" si="13"/>
        <v>111</v>
      </c>
      <c r="AA45" s="1351">
        <f t="shared" si="3"/>
        <v>1</v>
      </c>
      <c r="AB45" s="1351">
        <f t="shared" si="4"/>
        <v>1</v>
      </c>
      <c r="AC45" s="1351">
        <f t="shared" si="5"/>
        <v>1</v>
      </c>
    </row>
    <row r="46" spans="1:29" ht="15">
      <c r="A46" s="430" t="s">
        <v>1844</v>
      </c>
      <c r="B46" s="1980" t="s">
        <v>1879</v>
      </c>
      <c r="C46" s="629" t="s">
        <v>0</v>
      </c>
      <c r="D46" s="432"/>
      <c r="E46" s="3841">
        <f>土地案例!AB4</f>
        <v>5253</v>
      </c>
      <c r="F46" s="434"/>
      <c r="G46" s="3842">
        <f>土地案例!AB9</f>
        <v>4209</v>
      </c>
      <c r="H46" s="436"/>
      <c r="I46" s="3841">
        <f>土地案例!AB15</f>
        <v>3807</v>
      </c>
      <c r="J46" s="436"/>
      <c r="K46" s="713"/>
      <c r="L46" s="2721"/>
      <c r="M46" s="2722"/>
      <c r="N46" s="2713"/>
      <c r="O46" s="2722"/>
      <c r="P46" s="3710" t="str">
        <f>A46</f>
        <v>成交单价</v>
      </c>
      <c r="Q46" s="3710"/>
      <c r="R46" s="3671">
        <f>E46</f>
        <v>5253</v>
      </c>
      <c r="S46" s="3671"/>
      <c r="T46" s="3671">
        <f>G46</f>
        <v>4209</v>
      </c>
      <c r="U46" s="3671"/>
      <c r="V46" s="3671">
        <f>I46</f>
        <v>3807</v>
      </c>
      <c r="W46" s="3671"/>
      <c r="X46" s="689"/>
      <c r="Y46" s="711"/>
      <c r="Z46" s="689"/>
      <c r="AA46" s="689"/>
      <c r="AB46" s="689"/>
      <c r="AC46" s="689"/>
    </row>
    <row r="47" spans="1:29" ht="15.75" thickBot="1">
      <c r="A47" s="437" t="s">
        <v>1793</v>
      </c>
      <c r="B47" s="630"/>
      <c r="C47" s="440">
        <f>R48</f>
        <v>4136</v>
      </c>
      <c r="D47" s="2315" t="s">
        <v>3762</v>
      </c>
      <c r="E47" s="440">
        <f>R47</f>
        <v>5329</v>
      </c>
      <c r="F47" s="2316">
        <v>0.25</v>
      </c>
      <c r="G47" s="439">
        <f>T47</f>
        <v>4148</v>
      </c>
      <c r="H47" s="2316">
        <v>0.25</v>
      </c>
      <c r="I47" s="440">
        <f>V47</f>
        <v>3533</v>
      </c>
      <c r="J47" s="2316">
        <v>0.5</v>
      </c>
      <c r="K47" s="2318">
        <f>F47+H47+J47</f>
        <v>1</v>
      </c>
      <c r="L47" s="2721"/>
      <c r="M47" s="2722"/>
      <c r="N47" s="2722"/>
      <c r="O47" s="2722"/>
      <c r="P47" s="3710" t="str">
        <f>A47</f>
        <v>比较价值（元/平方米）</v>
      </c>
      <c r="Q47" s="3710"/>
      <c r="R47" s="3782">
        <f>ROUND(PRODUCT(R46,AA7:AA45),0)</f>
        <v>5329</v>
      </c>
      <c r="S47" s="3782"/>
      <c r="T47" s="3782">
        <f>ROUND(PRODUCT(T46,AB7:AB45),0)</f>
        <v>4148</v>
      </c>
      <c r="U47" s="3782"/>
      <c r="V47" s="3782">
        <f>ROUND(PRODUCT(V46,AC7:AC45),0)</f>
        <v>3533</v>
      </c>
      <c r="W47" s="3782"/>
      <c r="X47" s="689"/>
      <c r="Y47" s="689"/>
      <c r="Z47" s="689"/>
      <c r="AA47" s="689"/>
      <c r="AB47" s="689"/>
      <c r="AC47" s="689"/>
    </row>
    <row r="48" spans="1:29" ht="15.75" thickBot="1">
      <c r="A48" s="441" t="s">
        <v>1880</v>
      </c>
      <c r="B48" s="442"/>
      <c r="C48" s="443">
        <f>R48</f>
        <v>4136</v>
      </c>
      <c r="D48" s="443"/>
      <c r="E48" s="443"/>
      <c r="F48" s="443"/>
      <c r="G48" s="443"/>
      <c r="H48" s="443"/>
      <c r="I48" s="443"/>
      <c r="J48" s="443"/>
      <c r="K48" s="714"/>
      <c r="L48" s="2721"/>
      <c r="M48" s="2722"/>
      <c r="N48" s="2722"/>
      <c r="O48" s="2722"/>
      <c r="P48" s="3712" t="str">
        <f>A48</f>
        <v>估价对象XX用房的比较价值（楼面单价，元/平方米）</v>
      </c>
      <c r="Q48" s="3713"/>
      <c r="R48" s="3783">
        <f>ROUND(IF(D47="简单平均",AVERAGE(R47:W47),R47*F47+T47*H47+V47*J47),0)</f>
        <v>4136</v>
      </c>
      <c r="S48" s="3783"/>
      <c r="T48" s="3783"/>
      <c r="U48" s="3783"/>
      <c r="V48" s="3783"/>
      <c r="W48" s="378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1.4467923091566748E-2</v>
      </c>
      <c r="F51" s="449" t="str">
        <f>IF(OR(E51&gt;=0.3,E51&lt;=-0.3),"超过30%","")</f>
        <v/>
      </c>
      <c r="G51" s="448">
        <f>IF(G46&lt;G47,G47/G46-1,G46/G47-1)</f>
        <v>1.4705882352941124E-2</v>
      </c>
      <c r="H51" s="449" t="str">
        <f>IF(OR(G51&gt;=0.3,G51&lt;=-0.3),"超过30%","")</f>
        <v/>
      </c>
      <c r="I51" s="448">
        <f>IF(I46&lt;I47,I47/I46-1,I46/I47-1)</f>
        <v>7.7554486272289891E-2</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0.28471552555448398</v>
      </c>
      <c r="F52" s="449" t="str">
        <f>IF(OR(E52&gt;=0.2,E52&lt;=-0.2),"超过20%","")</f>
        <v>超过20%</v>
      </c>
      <c r="G52" s="448">
        <f>IF(G47&lt;I47,I47/G47-1,G47/I47-1)</f>
        <v>0.174073025757147</v>
      </c>
      <c r="H52" s="449" t="str">
        <f>IF(OR(G52&gt;=0.2,G52&lt;=-0.2),"超过20%","")</f>
        <v/>
      </c>
      <c r="I52" s="448">
        <f>IF(I47&lt;E47,E47/I47-1,I47/E47-1)</f>
        <v>0.50834984432493635</v>
      </c>
      <c r="J52" s="449" t="str">
        <f>IF(OR(I52&gt;=0.2,I52&lt;=-0.2),"超过20%","")</f>
        <v>超过20%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0.24803991446899509</v>
      </c>
      <c r="F53" s="449" t="str">
        <f>IF(OR(E53&gt;=0.3,E53&lt;=-0.3),"超过30%","")</f>
        <v/>
      </c>
      <c r="G53" s="448">
        <f>IF(G46&lt;I46,I46/G46-1,G46/I46-1)</f>
        <v>0.10559495665878638</v>
      </c>
      <c r="H53" s="449" t="str">
        <f>IF(OR(G53&gt;=0.3,G53&lt;=-0.3),"超过30%","")</f>
        <v/>
      </c>
      <c r="I53" s="448">
        <f>IF(I46&lt;E46,E46/I46-1,I46/E46-1)</f>
        <v>0.37982663514578419</v>
      </c>
      <c r="J53" s="449" t="str">
        <f>IF(OR(I53&gt;=0.3,I53&lt;=-0.3),"超过30%","")</f>
        <v>超过30%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688" t="s">
        <v>1887</v>
      </c>
      <c r="H55" s="378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f>C48</f>
        <v>4136</v>
      </c>
      <c r="C56" s="637">
        <v>1</v>
      </c>
      <c r="D56" s="943">
        <v>1</v>
      </c>
      <c r="E56" s="637">
        <f>'数据-汇总表'!E8+'数据-汇总表'!E9</f>
        <v>909.8</v>
      </c>
      <c r="F56" s="885">
        <f t="shared" ref="F56:F64" si="15">ROUND(B56*E56/10000,0)</f>
        <v>376</v>
      </c>
      <c r="G56" s="3687"/>
      <c r="H56" s="3710"/>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f>ROUND($C$48*C57*D57,0)</f>
        <v>517</v>
      </c>
      <c r="C57" s="171">
        <f t="shared" ref="C57:C64" si="16">IF($C$55="北京市系数",I57,J57)</f>
        <v>0.5</v>
      </c>
      <c r="D57" s="944">
        <v>0.25</v>
      </c>
      <c r="E57" s="641"/>
      <c r="F57" s="885">
        <f t="shared" si="15"/>
        <v>0</v>
      </c>
      <c r="G57" s="3003" t="s">
        <v>1892</v>
      </c>
      <c r="H57" s="886" t="str">
        <f>项目基本情况!B37</f>
        <v>九级</v>
      </c>
      <c r="I57" s="890">
        <f>SUMIF(修正!A57:A68,H57,修正!B57:B68)</f>
        <v>0.5</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f t="shared" ref="B58:B64" si="17">ROUND($C$48*C58*D58,0)</f>
        <v>207</v>
      </c>
      <c r="C58" s="171">
        <f t="shared" si="16"/>
        <v>0.2</v>
      </c>
      <c r="D58" s="944">
        <v>0.25</v>
      </c>
      <c r="E58" s="641"/>
      <c r="F58" s="885">
        <f t="shared" si="15"/>
        <v>0</v>
      </c>
      <c r="G58" s="3004"/>
      <c r="H58" s="886" t="str">
        <f>项目基本情况!B37</f>
        <v>九级</v>
      </c>
      <c r="I58" s="890">
        <f>SUMIF(修正!A57:A68,H58,修正!C57:C68)</f>
        <v>0.2</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f t="shared" si="17"/>
        <v>207</v>
      </c>
      <c r="C59" s="171">
        <f t="shared" si="16"/>
        <v>0.2</v>
      </c>
      <c r="D59" s="944">
        <v>0.25</v>
      </c>
      <c r="E59" s="641"/>
      <c r="F59" s="885">
        <f t="shared" si="15"/>
        <v>0</v>
      </c>
      <c r="G59" s="3004"/>
      <c r="H59" s="886" t="str">
        <f>项目基本情况!B37</f>
        <v>九级</v>
      </c>
      <c r="I59" s="890">
        <f>SUMIF(修正!A57:A68,H59,修正!D57:D68)</f>
        <v>0.2</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f t="shared" si="17"/>
        <v>207</v>
      </c>
      <c r="C60" s="171">
        <f t="shared" si="16"/>
        <v>0.2</v>
      </c>
      <c r="D60" s="944">
        <v>0.25</v>
      </c>
      <c r="E60" s="217">
        <f>'数据-汇总表'!E11</f>
        <v>0</v>
      </c>
      <c r="F60" s="885">
        <f t="shared" si="15"/>
        <v>0</v>
      </c>
      <c r="G60" s="1985" t="s">
        <v>1896</v>
      </c>
      <c r="H60" s="886" t="str">
        <f>项目基本情况!C37</f>
        <v>九级</v>
      </c>
      <c r="I60" s="890">
        <f>SUMIF(修正!A57:A68,H60,修正!E57:E68)</f>
        <v>0.2</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f t="shared" si="17"/>
        <v>207</v>
      </c>
      <c r="C61" s="171">
        <f t="shared" si="16"/>
        <v>0.2</v>
      </c>
      <c r="D61" s="944">
        <v>0.25</v>
      </c>
      <c r="E61" s="217">
        <f>'数据-汇总表'!E12</f>
        <v>0</v>
      </c>
      <c r="F61" s="885">
        <f t="shared" si="15"/>
        <v>0</v>
      </c>
      <c r="G61" s="891" t="s">
        <v>1898</v>
      </c>
      <c r="H61" s="886" t="str">
        <f>IF(G61="商业",项目基本情况!B37,IF(G61="办公",项目基本情况!C37,IF(G61="住宅",项目基本情况!D37,项目基本情况!E37)))</f>
        <v>九级</v>
      </c>
      <c r="I61" s="890">
        <f>SUMIF(修正!A57:A68,H61,修正!F57:F68)</f>
        <v>0.2</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f t="shared" si="17"/>
        <v>0</v>
      </c>
      <c r="C62" s="171">
        <f t="shared" si="16"/>
        <v>0</v>
      </c>
      <c r="D62" s="944">
        <v>0.25</v>
      </c>
      <c r="E62" s="217">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f t="shared" si="17"/>
        <v>103</v>
      </c>
      <c r="C63" s="171">
        <f t="shared" si="16"/>
        <v>0.1</v>
      </c>
      <c r="D63" s="944">
        <v>0.25</v>
      </c>
      <c r="E63" s="217">
        <f>'数据-汇总表'!E14</f>
        <v>0</v>
      </c>
      <c r="F63" s="885">
        <f t="shared" si="15"/>
        <v>0</v>
      </c>
      <c r="G63" s="1985" t="s">
        <v>1892</v>
      </c>
      <c r="H63" s="886" t="str">
        <f>项目基本情况!B37</f>
        <v>九级</v>
      </c>
      <c r="I63" s="890">
        <f>SUMIF(修正!A57:A68,H63,修正!G57:G68)</f>
        <v>0.1</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f t="shared" si="17"/>
        <v>103</v>
      </c>
      <c r="C64" s="171">
        <f t="shared" si="16"/>
        <v>0.1</v>
      </c>
      <c r="D64" s="944">
        <v>0.25</v>
      </c>
      <c r="E64" s="217">
        <f>'数据-汇总表'!E15</f>
        <v>0</v>
      </c>
      <c r="F64" s="885">
        <f t="shared" si="15"/>
        <v>0</v>
      </c>
      <c r="G64" s="1986" t="s">
        <v>1896</v>
      </c>
      <c r="H64" s="896" t="str">
        <f>项目基本情况!C37</f>
        <v>九级</v>
      </c>
      <c r="I64" s="892">
        <f>SUMIF(修正!A57:A68,H64,修正!G57:G68)</f>
        <v>0.1</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909.8</v>
      </c>
      <c r="F65" s="644">
        <f>IF(B46="楼面地价",SUM(F56:F64),ROUND(C48*E65/10000,0))</f>
        <v>376</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2025-6-1</v>
      </c>
      <c r="D67" s="691">
        <f>EDATE(C67,-3)</f>
        <v>45717</v>
      </c>
      <c r="E67" s="691">
        <f>EDATE(D67,-3)</f>
        <v>45627</v>
      </c>
      <c r="F67" s="691">
        <f t="shared" ref="F67:O67" si="18">EDATE(E67,-3)</f>
        <v>45536</v>
      </c>
      <c r="G67" s="691">
        <f t="shared" si="18"/>
        <v>45444</v>
      </c>
      <c r="H67" s="691">
        <f t="shared" si="18"/>
        <v>45352</v>
      </c>
      <c r="I67" s="691">
        <f t="shared" si="18"/>
        <v>45261</v>
      </c>
      <c r="J67" s="691">
        <f t="shared" si="18"/>
        <v>45170</v>
      </c>
      <c r="K67" s="691">
        <f t="shared" si="18"/>
        <v>45078</v>
      </c>
      <c r="L67" s="691">
        <f t="shared" si="18"/>
        <v>44986</v>
      </c>
      <c r="M67" s="691">
        <f t="shared" si="18"/>
        <v>44896</v>
      </c>
      <c r="N67" s="691">
        <f t="shared" si="18"/>
        <v>44805</v>
      </c>
      <c r="O67" s="691">
        <f t="shared" si="18"/>
        <v>44713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8"/>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3"/>
      <c r="Q69" s="2738"/>
      <c r="R69" s="2738"/>
      <c r="S69" s="2738"/>
      <c r="T69" s="2738"/>
      <c r="U69" s="2738"/>
      <c r="V69" s="2738"/>
      <c r="W69" s="2738"/>
      <c r="X69" s="2738"/>
      <c r="Y69" s="2738"/>
      <c r="Z69" s="2738"/>
      <c r="AA69" s="2738"/>
      <c r="AB69" s="2738"/>
      <c r="AC69" s="2738"/>
    </row>
    <row r="70" spans="1:29" s="108" customFormat="1" ht="30" customHeight="1">
      <c r="A70" s="1988" t="s">
        <v>3729</v>
      </c>
      <c r="B70" s="288" t="str">
        <f>"北京市平均增长率"&amp;TEXT(SUMIF(基准地价修正!N25:N29,A70,基准地价修正!P25:P29),"0.00%")</f>
        <v>北京市平均增长率0.00%</v>
      </c>
      <c r="C70" s="552">
        <v>100</v>
      </c>
      <c r="D70" s="544">
        <f>C70-$C$71</f>
        <v>100.2</v>
      </c>
      <c r="E70" s="544">
        <f t="shared" ref="E70:O70" si="20">D70-$C$71</f>
        <v>100.4</v>
      </c>
      <c r="F70" s="544">
        <f t="shared" si="20"/>
        <v>100.60000000000001</v>
      </c>
      <c r="G70" s="544">
        <f t="shared" si="20"/>
        <v>100.80000000000001</v>
      </c>
      <c r="H70" s="544">
        <f t="shared" si="20"/>
        <v>101.00000000000001</v>
      </c>
      <c r="I70" s="544">
        <f t="shared" si="20"/>
        <v>101.20000000000002</v>
      </c>
      <c r="J70" s="544">
        <f t="shared" si="20"/>
        <v>101.40000000000002</v>
      </c>
      <c r="K70" s="544">
        <f t="shared" si="20"/>
        <v>101.60000000000002</v>
      </c>
      <c r="L70" s="544">
        <f t="shared" si="20"/>
        <v>101.80000000000003</v>
      </c>
      <c r="M70" s="544">
        <f t="shared" si="20"/>
        <v>102.00000000000003</v>
      </c>
      <c r="N70" s="544">
        <f t="shared" si="20"/>
        <v>102.20000000000003</v>
      </c>
      <c r="O70" s="544">
        <f t="shared" si="20"/>
        <v>102.40000000000003</v>
      </c>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v>-0.2</v>
      </c>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ht="27">
      <c r="A74" s="476" t="s">
        <v>1719</v>
      </c>
      <c r="B74" s="477" t="s">
        <v>1685</v>
      </c>
      <c r="C74" s="3469" t="s">
        <v>3733</v>
      </c>
      <c r="D74" s="3469" t="s">
        <v>3730</v>
      </c>
      <c r="E74" s="3469" t="s">
        <v>3751</v>
      </c>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v>98</v>
      </c>
      <c r="E75" s="485">
        <v>98</v>
      </c>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29.25" thickTop="1">
      <c r="A83" s="502"/>
      <c r="B83" s="487" t="str">
        <f>B13</f>
        <v>自持情况</v>
      </c>
      <c r="C83" s="3466" t="s">
        <v>3758</v>
      </c>
      <c r="D83" s="503" t="s">
        <v>3754</v>
      </c>
      <c r="E83" s="3466" t="s">
        <v>3752</v>
      </c>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v>100</v>
      </c>
      <c r="D84" s="509">
        <v>96</v>
      </c>
      <c r="E84" s="509">
        <v>80</v>
      </c>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99</v>
      </c>
      <c r="E96" s="493">
        <f>D96-$K23</f>
        <v>98</v>
      </c>
      <c r="F96" s="493">
        <f>E96-$K23</f>
        <v>97</v>
      </c>
      <c r="G96" s="493">
        <f>F96-$K23</f>
        <v>96</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1912</v>
      </c>
      <c r="C115" s="478" t="str">
        <f>C116&amp;"(含)"&amp;"-"&amp;D116</f>
        <v>0(含)-20000</v>
      </c>
      <c r="D115" s="478" t="str">
        <f t="shared" ref="D115:M115" si="26">D116&amp;"(含)"&amp;"-"&amp;E116</f>
        <v>20000(含)-4000</v>
      </c>
      <c r="E115" s="478" t="str">
        <f t="shared" si="26"/>
        <v>4000(含)-60000</v>
      </c>
      <c r="F115" s="478" t="str">
        <f t="shared" si="26"/>
        <v>60000(含)-80000</v>
      </c>
      <c r="G115" s="478" t="str">
        <f t="shared" si="26"/>
        <v>80000(含)-1000000</v>
      </c>
      <c r="H115" s="478" t="str">
        <f t="shared" si="26"/>
        <v>1000000(含)-120000</v>
      </c>
      <c r="I115" s="478" t="str">
        <f t="shared" si="26"/>
        <v>120000(含)-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20000</v>
      </c>
      <c r="E116" s="544">
        <v>4000</v>
      </c>
      <c r="F116" s="544">
        <v>60000</v>
      </c>
      <c r="G116" s="544">
        <v>80000</v>
      </c>
      <c r="H116" s="544">
        <v>1000000</v>
      </c>
      <c r="I116" s="544">
        <v>120000</v>
      </c>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f>C117+1</f>
        <v>101</v>
      </c>
      <c r="E117" s="540">
        <f t="shared" ref="E117:I117" si="27">D117+1</f>
        <v>102</v>
      </c>
      <c r="F117" s="540">
        <f t="shared" si="27"/>
        <v>103</v>
      </c>
      <c r="G117" s="540">
        <f t="shared" si="27"/>
        <v>104</v>
      </c>
      <c r="H117" s="540">
        <f t="shared" si="27"/>
        <v>105</v>
      </c>
      <c r="I117" s="540">
        <f t="shared" si="27"/>
        <v>106</v>
      </c>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3470" t="s">
        <v>3735</v>
      </c>
      <c r="D118" s="3470" t="s">
        <v>3737</v>
      </c>
      <c r="E118" s="3470" t="s">
        <v>3738</v>
      </c>
      <c r="F118" s="3470" t="s">
        <v>3739</v>
      </c>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8">C119-$K39</f>
        <v>99</v>
      </c>
      <c r="E119" s="493">
        <f t="shared" si="28"/>
        <v>98</v>
      </c>
      <c r="F119" s="493">
        <f t="shared" si="28"/>
        <v>97</v>
      </c>
      <c r="G119" s="493">
        <f t="shared" si="28"/>
        <v>96</v>
      </c>
      <c r="H119" s="493">
        <f t="shared" si="28"/>
        <v>95</v>
      </c>
      <c r="I119" s="493">
        <f t="shared" si="28"/>
        <v>94</v>
      </c>
      <c r="J119" s="493">
        <f t="shared" si="28"/>
        <v>93</v>
      </c>
      <c r="K119" s="493">
        <f t="shared" si="28"/>
        <v>92</v>
      </c>
      <c r="L119" s="493">
        <f t="shared" si="28"/>
        <v>91</v>
      </c>
      <c r="M119" s="494">
        <f t="shared" si="28"/>
        <v>90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3466" t="s">
        <v>3741</v>
      </c>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9">C121-$K40</f>
        <v>99</v>
      </c>
      <c r="E121" s="493">
        <f t="shared" si="29"/>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3466" t="s">
        <v>3742</v>
      </c>
      <c r="D122" s="3466" t="s">
        <v>3744</v>
      </c>
      <c r="E122" s="3466" t="s">
        <v>3746</v>
      </c>
      <c r="F122" s="3466" t="s">
        <v>3747</v>
      </c>
      <c r="G122" s="3466" t="s">
        <v>3748</v>
      </c>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30">C123-$K41</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3466" t="s">
        <v>3749</v>
      </c>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1">C125-$K42</f>
        <v>99</v>
      </c>
      <c r="E125" s="493">
        <f t="shared" si="31"/>
        <v>98</v>
      </c>
      <c r="F125" s="493">
        <f t="shared" si="31"/>
        <v>97</v>
      </c>
      <c r="G125" s="493">
        <f t="shared" si="31"/>
        <v>96</v>
      </c>
      <c r="H125" s="493">
        <f t="shared" si="31"/>
        <v>95</v>
      </c>
      <c r="I125" s="493">
        <f t="shared" si="31"/>
        <v>94</v>
      </c>
      <c r="J125" s="493">
        <f t="shared" si="31"/>
        <v>93</v>
      </c>
      <c r="K125" s="493">
        <f t="shared" si="31"/>
        <v>92</v>
      </c>
      <c r="L125" s="493">
        <f t="shared" si="31"/>
        <v>91</v>
      </c>
      <c r="M125" s="494">
        <f t="shared" si="31"/>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topLeftCell="H1" workbookViewId="0">
      <pane ySplit="1" topLeftCell="A2" activePane="bottomLeft" state="frozen"/>
      <selection pane="bottomLeft" activeCell="AB41" sqref="AB41"/>
    </sheetView>
  </sheetViews>
  <sheetFormatPr defaultRowHeight="12"/>
  <cols>
    <col min="1" max="1" width="26.625" style="3834" customWidth="1"/>
    <col min="2" max="2" width="20" style="3834" hidden="1" customWidth="1"/>
    <col min="3" max="3" width="5.5" style="3834" customWidth="1"/>
    <col min="4" max="4" width="8.75" style="3834" customWidth="1"/>
    <col min="5" max="5" width="10.875" style="3834" customWidth="1"/>
    <col min="6" max="6" width="9.875" style="3834" customWidth="1"/>
    <col min="7" max="7" width="6.25" style="3834" customWidth="1"/>
    <col min="8" max="8" width="8.5" style="3834" customWidth="1"/>
    <col min="9" max="9" width="7.75" style="3834" customWidth="1"/>
    <col min="10" max="10" width="10" style="3834" customWidth="1"/>
    <col min="11" max="11" width="19" style="3834" hidden="1" customWidth="1"/>
    <col min="12" max="13" width="20" style="3834" hidden="1" customWidth="1"/>
    <col min="14" max="14" width="9.125" style="3834" customWidth="1"/>
    <col min="15" max="15" width="20" style="3834" hidden="1" customWidth="1"/>
    <col min="16" max="16" width="8.875" style="3834" customWidth="1"/>
    <col min="17" max="18" width="9.25" style="3834" customWidth="1"/>
    <col min="19" max="19" width="8.625" style="3834" customWidth="1"/>
    <col min="20" max="20" width="10.5" style="3834" customWidth="1"/>
    <col min="21" max="21" width="20" style="3834" hidden="1" customWidth="1"/>
    <col min="22" max="22" width="5.75" style="3834" customWidth="1"/>
    <col min="23" max="23" width="20" style="3834" hidden="1" customWidth="1"/>
    <col min="24" max="24" width="13.5" style="3834" customWidth="1"/>
    <col min="25" max="25" width="10" style="3834" hidden="1" customWidth="1"/>
    <col min="26" max="26" width="20" style="3834" customWidth="1"/>
    <col min="27" max="16384" width="9" style="3834"/>
  </cols>
  <sheetData>
    <row r="1" spans="1:28" s="3835" customFormat="1" ht="36">
      <c r="A1" s="3835" t="s">
        <v>3528</v>
      </c>
      <c r="B1" s="3835" t="s">
        <v>3529</v>
      </c>
      <c r="C1" s="3835" t="s">
        <v>3530</v>
      </c>
      <c r="D1" s="3835" t="s">
        <v>3531</v>
      </c>
      <c r="E1" s="3835" t="s">
        <v>3532</v>
      </c>
      <c r="F1" s="3835" t="s">
        <v>3533</v>
      </c>
      <c r="G1" s="3835" t="s">
        <v>3534</v>
      </c>
      <c r="H1" s="3835" t="s">
        <v>3535</v>
      </c>
      <c r="I1" s="3835" t="s">
        <v>3536</v>
      </c>
      <c r="J1" s="3835" t="s">
        <v>3537</v>
      </c>
      <c r="K1" s="3835" t="s">
        <v>3538</v>
      </c>
      <c r="L1" s="3835" t="s">
        <v>3539</v>
      </c>
      <c r="M1" s="3835" t="s">
        <v>3540</v>
      </c>
      <c r="N1" s="3835" t="s">
        <v>3541</v>
      </c>
      <c r="O1" s="3835" t="s">
        <v>3542</v>
      </c>
      <c r="P1" s="3835" t="s">
        <v>3543</v>
      </c>
      <c r="Q1" s="3835" t="s">
        <v>3544</v>
      </c>
      <c r="R1" s="3835" t="s">
        <v>3545</v>
      </c>
      <c r="S1" s="3835" t="s">
        <v>3546</v>
      </c>
      <c r="T1" s="3835" t="s">
        <v>3547</v>
      </c>
      <c r="U1" s="3835" t="s">
        <v>3548</v>
      </c>
      <c r="V1" s="3835" t="s">
        <v>3549</v>
      </c>
      <c r="W1" s="3835" t="s">
        <v>3550</v>
      </c>
      <c r="X1" s="3835" t="s">
        <v>3551</v>
      </c>
      <c r="Y1" s="3835" t="s">
        <v>3552</v>
      </c>
      <c r="AA1" s="3835" t="s">
        <v>3761</v>
      </c>
      <c r="AB1" s="3835">
        <f>'数据-取费表'!G6</f>
        <v>0.755</v>
      </c>
    </row>
    <row r="2" spans="1:28" hidden="1">
      <c r="A2" s="3834" t="s">
        <v>3553</v>
      </c>
      <c r="B2" s="3834" t="s">
        <v>3410</v>
      </c>
      <c r="C2" s="3834" t="s">
        <v>3554</v>
      </c>
      <c r="D2" s="3834" t="s">
        <v>3555</v>
      </c>
      <c r="E2" s="3834">
        <v>31330.48</v>
      </c>
      <c r="F2" s="3834">
        <v>122233</v>
      </c>
      <c r="G2" s="3834" t="s">
        <v>3556</v>
      </c>
      <c r="H2" s="3834" t="s">
        <v>3557</v>
      </c>
      <c r="I2" s="3834" t="s">
        <v>3558</v>
      </c>
      <c r="J2" s="3834" t="s">
        <v>3559</v>
      </c>
      <c r="K2" s="3834" t="s">
        <v>3560</v>
      </c>
      <c r="L2" s="3834" t="s">
        <v>3561</v>
      </c>
      <c r="M2" s="3834" t="s">
        <v>3560</v>
      </c>
      <c r="N2" s="3834" t="s">
        <v>3562</v>
      </c>
      <c r="O2" s="3834" t="s">
        <v>3563</v>
      </c>
      <c r="P2" s="3834" t="s">
        <v>3564</v>
      </c>
      <c r="Q2" s="3834">
        <v>163410</v>
      </c>
      <c r="R2" s="3834">
        <v>52156.88</v>
      </c>
      <c r="S2" s="3834">
        <v>3477.13</v>
      </c>
      <c r="T2" s="3834">
        <v>13369</v>
      </c>
      <c r="U2" s="3834" t="s">
        <v>3560</v>
      </c>
      <c r="V2" s="3834">
        <v>0</v>
      </c>
      <c r="W2" s="3834" t="s">
        <v>3560</v>
      </c>
      <c r="X2" s="3834" t="s">
        <v>3565</v>
      </c>
      <c r="Y2" s="3834" t="s">
        <v>3560</v>
      </c>
    </row>
    <row r="3" spans="1:28" hidden="1">
      <c r="A3" s="3834" t="s">
        <v>3566</v>
      </c>
      <c r="B3" s="3834" t="s">
        <v>3410</v>
      </c>
      <c r="C3" s="3834" t="s">
        <v>3554</v>
      </c>
      <c r="D3" s="3834" t="s">
        <v>3567</v>
      </c>
      <c r="E3" s="3834">
        <v>4239.42</v>
      </c>
      <c r="F3" s="3834">
        <v>16957.66</v>
      </c>
      <c r="G3" s="3834" t="s">
        <v>3556</v>
      </c>
      <c r="H3" s="3834" t="s">
        <v>3557</v>
      </c>
      <c r="I3" s="3834" t="s">
        <v>3558</v>
      </c>
      <c r="J3" s="3834" t="s">
        <v>3568</v>
      </c>
      <c r="K3" s="3834" t="s">
        <v>3560</v>
      </c>
      <c r="L3" s="3834" t="s">
        <v>3561</v>
      </c>
      <c r="M3" s="3834" t="s">
        <v>3560</v>
      </c>
      <c r="N3" s="3834" t="s">
        <v>3562</v>
      </c>
      <c r="O3" s="3834" t="s">
        <v>3563</v>
      </c>
      <c r="P3" s="3834" t="s">
        <v>3569</v>
      </c>
      <c r="Q3" s="3834">
        <v>22680</v>
      </c>
      <c r="R3" s="3834">
        <v>53497.88</v>
      </c>
      <c r="S3" s="3834">
        <v>3566.53</v>
      </c>
      <c r="T3" s="3834">
        <v>13374</v>
      </c>
      <c r="U3" s="3834" t="s">
        <v>3560</v>
      </c>
      <c r="V3" s="3834">
        <v>0</v>
      </c>
      <c r="W3" s="3834" t="s">
        <v>3560</v>
      </c>
      <c r="X3" s="3834" t="s">
        <v>3565</v>
      </c>
      <c r="Y3" s="3834" t="s">
        <v>3560</v>
      </c>
    </row>
    <row r="4" spans="1:28" s="3836" customFormat="1">
      <c r="A4" s="3836" t="s">
        <v>3570</v>
      </c>
      <c r="B4" s="3836" t="s">
        <v>3410</v>
      </c>
      <c r="C4" s="3836" t="s">
        <v>3571</v>
      </c>
      <c r="D4" s="3836" t="s">
        <v>3731</v>
      </c>
      <c r="E4" s="3836">
        <v>54036.49</v>
      </c>
      <c r="F4" s="3836">
        <v>81054.740000000005</v>
      </c>
      <c r="G4" s="3836" t="s">
        <v>3556</v>
      </c>
      <c r="H4" s="3836" t="s">
        <v>3732</v>
      </c>
      <c r="I4" s="3836" t="s">
        <v>3573</v>
      </c>
      <c r="J4" s="3836" t="s">
        <v>3574</v>
      </c>
      <c r="K4" s="3836" t="s">
        <v>3560</v>
      </c>
      <c r="L4" s="3836" t="s">
        <v>3561</v>
      </c>
      <c r="M4" s="3836" t="s">
        <v>3560</v>
      </c>
      <c r="N4" s="3836" t="s">
        <v>3575</v>
      </c>
      <c r="O4" s="3836" t="s">
        <v>3563</v>
      </c>
      <c r="P4" s="3836" t="s">
        <v>3576</v>
      </c>
      <c r="Q4" s="3836">
        <v>56400</v>
      </c>
      <c r="R4" s="3836">
        <v>10437.39</v>
      </c>
      <c r="S4" s="3836">
        <v>695.83</v>
      </c>
      <c r="T4" s="3836">
        <v>6958</v>
      </c>
      <c r="U4" s="3836" t="s">
        <v>3560</v>
      </c>
      <c r="V4" s="3836">
        <v>0</v>
      </c>
      <c r="W4" s="3836" t="s">
        <v>3560</v>
      </c>
      <c r="X4" s="3836" t="s">
        <v>3577</v>
      </c>
      <c r="Y4" s="3836" t="s">
        <v>3560</v>
      </c>
      <c r="AB4" s="3840">
        <f>ROUND(T4*$AB$1,0)</f>
        <v>5253</v>
      </c>
    </row>
    <row r="5" spans="1:28" hidden="1">
      <c r="A5" s="3834" t="s">
        <v>3578</v>
      </c>
      <c r="B5" s="3834" t="s">
        <v>3410</v>
      </c>
      <c r="C5" s="3834" t="s">
        <v>3554</v>
      </c>
      <c r="D5" s="3834" t="s">
        <v>3579</v>
      </c>
      <c r="E5" s="3834">
        <v>5369.21</v>
      </c>
      <c r="F5" s="3834">
        <v>12886.11</v>
      </c>
      <c r="G5" s="3834" t="s">
        <v>3556</v>
      </c>
      <c r="H5" s="3834" t="s">
        <v>3557</v>
      </c>
      <c r="I5" s="3834" t="s">
        <v>3558</v>
      </c>
      <c r="J5" s="3834" t="s">
        <v>3580</v>
      </c>
      <c r="K5" s="3834" t="s">
        <v>3560</v>
      </c>
      <c r="L5" s="3834" t="s">
        <v>3561</v>
      </c>
      <c r="M5" s="3834" t="s">
        <v>3560</v>
      </c>
      <c r="N5" s="3834" t="s">
        <v>3581</v>
      </c>
      <c r="O5" s="3834" t="s">
        <v>3563</v>
      </c>
      <c r="P5" s="3834" t="s">
        <v>3582</v>
      </c>
      <c r="Q5" s="3834">
        <v>17220</v>
      </c>
      <c r="R5" s="3834">
        <v>32071.75</v>
      </c>
      <c r="S5" s="3834">
        <v>2138.12</v>
      </c>
      <c r="T5" s="3834">
        <v>13363</v>
      </c>
      <c r="U5" s="3834" t="s">
        <v>3560</v>
      </c>
      <c r="V5" s="3834">
        <v>0</v>
      </c>
      <c r="W5" s="3834" t="s">
        <v>3560</v>
      </c>
      <c r="X5" s="3834" t="s">
        <v>3565</v>
      </c>
      <c r="Y5" s="3834" t="s">
        <v>3560</v>
      </c>
      <c r="AB5" s="3840">
        <f t="shared" ref="AB5:AB31" si="0">ROUND(T5*$AB$1,0)</f>
        <v>10089</v>
      </c>
    </row>
    <row r="6" spans="1:28" hidden="1">
      <c r="A6" s="3834" t="s">
        <v>3583</v>
      </c>
      <c r="B6" s="3834" t="s">
        <v>3410</v>
      </c>
      <c r="C6" s="3834" t="s">
        <v>3584</v>
      </c>
      <c r="D6" s="3834" t="s">
        <v>3585</v>
      </c>
      <c r="E6" s="3834">
        <v>29689.18</v>
      </c>
      <c r="F6" s="3834">
        <v>29689.18</v>
      </c>
      <c r="G6" s="3834" t="s">
        <v>3556</v>
      </c>
      <c r="H6" s="3834" t="s">
        <v>3586</v>
      </c>
      <c r="I6" s="3834">
        <v>40</v>
      </c>
      <c r="J6" s="3834" t="s">
        <v>3587</v>
      </c>
      <c r="K6" s="3834" t="s">
        <v>3560</v>
      </c>
      <c r="L6" s="3834" t="s">
        <v>3561</v>
      </c>
      <c r="M6" s="3834" t="s">
        <v>3560</v>
      </c>
      <c r="N6" s="3834" t="s">
        <v>3588</v>
      </c>
      <c r="O6" s="3834" t="s">
        <v>3563</v>
      </c>
      <c r="P6" s="3834" t="s">
        <v>3589</v>
      </c>
      <c r="Q6" s="3834">
        <v>14250.88</v>
      </c>
      <c r="R6" s="3834">
        <v>4800.0200000000004</v>
      </c>
      <c r="S6" s="3834">
        <v>320</v>
      </c>
      <c r="T6" s="3834">
        <v>4800</v>
      </c>
      <c r="U6" s="3834" t="s">
        <v>3560</v>
      </c>
      <c r="V6" s="3834">
        <v>0</v>
      </c>
      <c r="W6" s="3834" t="s">
        <v>3560</v>
      </c>
      <c r="X6" s="3834" t="s">
        <v>3590</v>
      </c>
      <c r="Y6" s="3834" t="s">
        <v>3560</v>
      </c>
      <c r="AB6" s="3840">
        <f t="shared" si="0"/>
        <v>3624</v>
      </c>
    </row>
    <row r="7" spans="1:28" hidden="1">
      <c r="A7" s="3834" t="s">
        <v>3591</v>
      </c>
      <c r="B7" s="3834" t="s">
        <v>3410</v>
      </c>
      <c r="C7" s="3834" t="s">
        <v>3554</v>
      </c>
      <c r="D7" s="3834" t="s">
        <v>3592</v>
      </c>
      <c r="E7" s="3834">
        <v>13348.31</v>
      </c>
      <c r="F7" s="3834">
        <v>17352.8</v>
      </c>
      <c r="G7" s="3834" t="s">
        <v>3556</v>
      </c>
      <c r="H7" s="3834" t="s">
        <v>3593</v>
      </c>
      <c r="I7" s="3834" t="s">
        <v>3594</v>
      </c>
      <c r="J7" s="3834" t="s">
        <v>3595</v>
      </c>
      <c r="K7" s="3834" t="s">
        <v>3560</v>
      </c>
      <c r="L7" s="3834" t="s">
        <v>3561</v>
      </c>
      <c r="M7" s="3834" t="s">
        <v>3560</v>
      </c>
      <c r="N7" s="3834" t="s">
        <v>3596</v>
      </c>
      <c r="O7" s="3834" t="s">
        <v>3563</v>
      </c>
      <c r="P7" s="3834" t="s">
        <v>3597</v>
      </c>
      <c r="Q7" s="3834">
        <v>6823.12</v>
      </c>
      <c r="R7" s="3834">
        <v>5111.59</v>
      </c>
      <c r="S7" s="3834">
        <v>340.77</v>
      </c>
      <c r="T7" s="3834">
        <v>3932</v>
      </c>
      <c r="U7" s="3834" t="s">
        <v>3560</v>
      </c>
      <c r="V7" s="3834">
        <v>0</v>
      </c>
      <c r="W7" s="3834" t="s">
        <v>3560</v>
      </c>
      <c r="X7" s="3834" t="s">
        <v>3577</v>
      </c>
      <c r="Y7" s="3834" t="s">
        <v>3560</v>
      </c>
      <c r="AB7" s="3840">
        <f t="shared" si="0"/>
        <v>2969</v>
      </c>
    </row>
    <row r="8" spans="1:28" hidden="1">
      <c r="A8" s="3834" t="s">
        <v>3598</v>
      </c>
      <c r="B8" s="3834" t="s">
        <v>3410</v>
      </c>
      <c r="C8" s="3834" t="s">
        <v>3554</v>
      </c>
      <c r="D8" s="3834" t="s">
        <v>3599</v>
      </c>
      <c r="E8" s="3834">
        <v>41129.769999999997</v>
      </c>
      <c r="F8" s="3834">
        <v>90485.49</v>
      </c>
      <c r="G8" s="3834" t="s">
        <v>3556</v>
      </c>
      <c r="H8" s="3834" t="s">
        <v>3557</v>
      </c>
      <c r="I8" s="3834" t="s">
        <v>3600</v>
      </c>
      <c r="J8" s="3834" t="s">
        <v>3601</v>
      </c>
      <c r="K8" s="3834" t="s">
        <v>3560</v>
      </c>
      <c r="L8" s="3834" t="s">
        <v>3561</v>
      </c>
      <c r="M8" s="3834" t="s">
        <v>3560</v>
      </c>
      <c r="N8" s="3834" t="s">
        <v>3602</v>
      </c>
      <c r="O8" s="3834" t="s">
        <v>3563</v>
      </c>
      <c r="P8" s="3834" t="s">
        <v>3603</v>
      </c>
      <c r="Q8" s="3834">
        <v>80900</v>
      </c>
      <c r="R8" s="3834">
        <v>19669.45</v>
      </c>
      <c r="S8" s="3834">
        <v>1311.3</v>
      </c>
      <c r="T8" s="3834">
        <v>8941</v>
      </c>
      <c r="U8" s="3834" t="s">
        <v>3560</v>
      </c>
      <c r="V8" s="3834">
        <v>0</v>
      </c>
      <c r="W8" s="3834" t="s">
        <v>3560</v>
      </c>
      <c r="X8" s="3834" t="s">
        <v>3565</v>
      </c>
      <c r="Y8" s="3834" t="s">
        <v>3560</v>
      </c>
      <c r="AB8" s="3840">
        <f t="shared" si="0"/>
        <v>6750</v>
      </c>
    </row>
    <row r="9" spans="1:28" s="3836" customFormat="1">
      <c r="A9" s="3836" t="s">
        <v>3604</v>
      </c>
      <c r="B9" s="3836" t="s">
        <v>3410</v>
      </c>
      <c r="C9" s="3836" t="s">
        <v>3584</v>
      </c>
      <c r="D9" s="3836" t="s">
        <v>3753</v>
      </c>
      <c r="E9" s="3836">
        <v>32423.18</v>
      </c>
      <c r="F9" s="3836">
        <v>42150</v>
      </c>
      <c r="G9" s="3836" t="s">
        <v>3556</v>
      </c>
      <c r="H9" s="3836" t="s">
        <v>3750</v>
      </c>
      <c r="I9" s="3836" t="s">
        <v>3600</v>
      </c>
      <c r="J9" s="3836" t="s">
        <v>3595</v>
      </c>
      <c r="K9" s="3836" t="s">
        <v>3560</v>
      </c>
      <c r="L9" s="3836" t="s">
        <v>3561</v>
      </c>
      <c r="M9" s="3836" t="s">
        <v>3560</v>
      </c>
      <c r="N9" s="3836" t="s">
        <v>3605</v>
      </c>
      <c r="O9" s="3836" t="s">
        <v>3563</v>
      </c>
      <c r="P9" s="3836" t="s">
        <v>3606</v>
      </c>
      <c r="Q9" s="3836">
        <v>23500</v>
      </c>
      <c r="R9" s="3836">
        <v>7247.9</v>
      </c>
      <c r="S9" s="3836">
        <v>483.19</v>
      </c>
      <c r="T9" s="3836">
        <v>5575</v>
      </c>
      <c r="U9" s="3836" t="s">
        <v>3560</v>
      </c>
      <c r="V9" s="3836">
        <v>0</v>
      </c>
      <c r="W9" s="3836" t="s">
        <v>3560</v>
      </c>
      <c r="X9" s="3836" t="s">
        <v>3590</v>
      </c>
      <c r="Y9" s="3836" t="s">
        <v>3560</v>
      </c>
      <c r="AB9" s="3840">
        <f t="shared" si="0"/>
        <v>4209</v>
      </c>
    </row>
    <row r="10" spans="1:28" hidden="1">
      <c r="A10" s="3834" t="s">
        <v>3607</v>
      </c>
      <c r="B10" s="3834" t="s">
        <v>3410</v>
      </c>
      <c r="C10" s="3834" t="s">
        <v>3584</v>
      </c>
      <c r="D10" s="3834" t="s">
        <v>3608</v>
      </c>
      <c r="E10" s="3834">
        <v>48824.83</v>
      </c>
      <c r="F10" s="3834">
        <v>122062.08</v>
      </c>
      <c r="G10" s="3834" t="s">
        <v>3556</v>
      </c>
      <c r="H10" s="3834" t="s">
        <v>3609</v>
      </c>
      <c r="I10" s="3834" t="s">
        <v>3610</v>
      </c>
      <c r="J10" s="3834" t="s">
        <v>3611</v>
      </c>
      <c r="K10" s="3834" t="s">
        <v>3560</v>
      </c>
      <c r="L10" s="3834" t="s">
        <v>3561</v>
      </c>
      <c r="M10" s="3834" t="s">
        <v>3560</v>
      </c>
      <c r="N10" s="3834" t="s">
        <v>3612</v>
      </c>
      <c r="O10" s="3834" t="s">
        <v>3563</v>
      </c>
      <c r="P10" s="3834" t="s">
        <v>3613</v>
      </c>
      <c r="Q10" s="3834">
        <v>93000</v>
      </c>
      <c r="R10" s="3834">
        <v>19047.68</v>
      </c>
      <c r="S10" s="3834">
        <v>1269.8499999999999</v>
      </c>
      <c r="T10" s="3834">
        <v>7619</v>
      </c>
      <c r="U10" s="3834" t="s">
        <v>3560</v>
      </c>
      <c r="V10" s="3834">
        <v>0</v>
      </c>
      <c r="W10" s="3834" t="s">
        <v>3560</v>
      </c>
      <c r="X10" s="3834" t="s">
        <v>3614</v>
      </c>
      <c r="Y10" s="3834" t="s">
        <v>3560</v>
      </c>
      <c r="AB10" s="3840">
        <f t="shared" si="0"/>
        <v>5752</v>
      </c>
    </row>
    <row r="11" spans="1:28" hidden="1">
      <c r="A11" s="3834" t="s">
        <v>3615</v>
      </c>
      <c r="B11" s="3834" t="s">
        <v>3410</v>
      </c>
      <c r="C11" s="3834" t="s">
        <v>3571</v>
      </c>
      <c r="D11" s="3834" t="s">
        <v>3616</v>
      </c>
      <c r="E11" s="3834">
        <v>21154.74</v>
      </c>
      <c r="F11" s="3834">
        <v>31732.11</v>
      </c>
      <c r="G11" s="3834" t="s">
        <v>3556</v>
      </c>
      <c r="H11" s="3834" t="s">
        <v>3617</v>
      </c>
      <c r="I11" s="3834" t="s">
        <v>3600</v>
      </c>
      <c r="J11" s="3834" t="s">
        <v>3574</v>
      </c>
      <c r="K11" s="3834" t="s">
        <v>3560</v>
      </c>
      <c r="L11" s="3834" t="s">
        <v>3561</v>
      </c>
      <c r="M11" s="3834" t="s">
        <v>3560</v>
      </c>
      <c r="N11" s="3834" t="s">
        <v>3618</v>
      </c>
      <c r="O11" s="3834" t="s">
        <v>3563</v>
      </c>
      <c r="P11" s="3834" t="s">
        <v>3619</v>
      </c>
      <c r="Q11" s="3834">
        <v>29600</v>
      </c>
      <c r="R11" s="3834">
        <v>13992.13</v>
      </c>
      <c r="S11" s="3834">
        <v>932.81</v>
      </c>
      <c r="T11" s="3834">
        <v>9328</v>
      </c>
      <c r="U11" s="3834" t="s">
        <v>3560</v>
      </c>
      <c r="V11" s="3834">
        <v>0</v>
      </c>
      <c r="W11" s="3834" t="s">
        <v>3560</v>
      </c>
      <c r="X11" s="3834" t="s">
        <v>3565</v>
      </c>
      <c r="Y11" s="3834" t="s">
        <v>3560</v>
      </c>
      <c r="AB11" s="3840">
        <f t="shared" si="0"/>
        <v>7043</v>
      </c>
    </row>
    <row r="12" spans="1:28" hidden="1">
      <c r="A12" s="3834" t="s">
        <v>3620</v>
      </c>
      <c r="B12" s="3834" t="s">
        <v>3410</v>
      </c>
      <c r="C12" s="3834" t="s">
        <v>3554</v>
      </c>
      <c r="D12" s="3834" t="s">
        <v>3621</v>
      </c>
      <c r="E12" s="3834">
        <v>19810.400000000001</v>
      </c>
      <c r="F12" s="3834">
        <v>700</v>
      </c>
      <c r="G12" s="3834" t="s">
        <v>3556</v>
      </c>
      <c r="H12" s="3834" t="s">
        <v>3622</v>
      </c>
      <c r="I12" s="3834" t="s">
        <v>3600</v>
      </c>
      <c r="J12" s="3834" t="s">
        <v>3623</v>
      </c>
      <c r="K12" s="3834" t="s">
        <v>3560</v>
      </c>
      <c r="L12" s="3834" t="s">
        <v>3561</v>
      </c>
      <c r="M12" s="3834" t="s">
        <v>3560</v>
      </c>
      <c r="N12" s="3834" t="s">
        <v>3624</v>
      </c>
      <c r="O12" s="3834" t="s">
        <v>3563</v>
      </c>
      <c r="P12" s="3834" t="s">
        <v>3625</v>
      </c>
      <c r="Q12" s="3834">
        <v>6600</v>
      </c>
      <c r="R12" s="3834">
        <v>3331.58</v>
      </c>
      <c r="S12" s="3834">
        <v>222.11</v>
      </c>
      <c r="T12" s="3834">
        <v>94286</v>
      </c>
      <c r="U12" s="3834" t="s">
        <v>3560</v>
      </c>
      <c r="V12" s="3834">
        <v>0</v>
      </c>
      <c r="W12" s="3834" t="s">
        <v>3560</v>
      </c>
      <c r="X12" s="3834" t="s">
        <v>3626</v>
      </c>
      <c r="Y12" s="3834" t="s">
        <v>3560</v>
      </c>
      <c r="AB12" s="3840">
        <f t="shared" si="0"/>
        <v>71186</v>
      </c>
    </row>
    <row r="13" spans="1:28" hidden="1">
      <c r="A13" s="3834" t="s">
        <v>3627</v>
      </c>
      <c r="B13" s="3834" t="s">
        <v>3410</v>
      </c>
      <c r="C13" s="3834" t="s">
        <v>3554</v>
      </c>
      <c r="D13" s="3834" t="s">
        <v>3628</v>
      </c>
      <c r="E13" s="3834">
        <v>9632.01</v>
      </c>
      <c r="F13" s="3834">
        <v>15025.93</v>
      </c>
      <c r="G13" s="3834" t="s">
        <v>3556</v>
      </c>
      <c r="H13" s="3834" t="s">
        <v>3557</v>
      </c>
      <c r="I13" s="3834" t="s">
        <v>3629</v>
      </c>
      <c r="J13" s="3834" t="s">
        <v>3630</v>
      </c>
      <c r="K13" s="3834" t="s">
        <v>3560</v>
      </c>
      <c r="L13" s="3834" t="s">
        <v>3561</v>
      </c>
      <c r="M13" s="3834" t="s">
        <v>3560</v>
      </c>
      <c r="N13" s="3834" t="s">
        <v>3631</v>
      </c>
      <c r="O13" s="3834" t="s">
        <v>3563</v>
      </c>
      <c r="P13" s="3834" t="s">
        <v>3632</v>
      </c>
      <c r="Q13" s="3834">
        <v>13700</v>
      </c>
      <c r="R13" s="3834">
        <v>14223.4</v>
      </c>
      <c r="S13" s="3834">
        <v>948.23</v>
      </c>
      <c r="T13" s="3834">
        <v>9118</v>
      </c>
      <c r="U13" s="3834" t="s">
        <v>3560</v>
      </c>
      <c r="V13" s="3834">
        <v>0</v>
      </c>
      <c r="W13" s="3834" t="s">
        <v>3560</v>
      </c>
      <c r="X13" s="3834" t="s">
        <v>3626</v>
      </c>
      <c r="Y13" s="3834" t="s">
        <v>3560</v>
      </c>
      <c r="AB13" s="3840">
        <f t="shared" si="0"/>
        <v>6884</v>
      </c>
    </row>
    <row r="14" spans="1:28" hidden="1">
      <c r="A14" s="3834" t="s">
        <v>3633</v>
      </c>
      <c r="B14" s="3834" t="s">
        <v>3410</v>
      </c>
      <c r="C14" s="3834" t="s">
        <v>3554</v>
      </c>
      <c r="D14" s="3834" t="s">
        <v>3634</v>
      </c>
      <c r="E14" s="3834">
        <v>15459.22</v>
      </c>
      <c r="F14" s="3834">
        <v>52599.12</v>
      </c>
      <c r="G14" s="3834" t="s">
        <v>3556</v>
      </c>
      <c r="H14" s="3834" t="s">
        <v>3609</v>
      </c>
      <c r="I14" s="3834" t="s">
        <v>3635</v>
      </c>
      <c r="J14" s="3834" t="s">
        <v>3636</v>
      </c>
      <c r="K14" s="3834" t="s">
        <v>3560</v>
      </c>
      <c r="L14" s="3834" t="s">
        <v>3561</v>
      </c>
      <c r="M14" s="3834" t="s">
        <v>3560</v>
      </c>
      <c r="N14" s="3834" t="s">
        <v>3637</v>
      </c>
      <c r="O14" s="3834" t="s">
        <v>3563</v>
      </c>
      <c r="P14" s="3834" t="s">
        <v>3632</v>
      </c>
      <c r="Q14" s="3834">
        <v>53100</v>
      </c>
      <c r="R14" s="3834">
        <v>34348.43</v>
      </c>
      <c r="S14" s="3834">
        <v>2289.9</v>
      </c>
      <c r="T14" s="3834">
        <v>10095</v>
      </c>
      <c r="U14" s="3834" t="s">
        <v>3560</v>
      </c>
      <c r="V14" s="3834">
        <v>0</v>
      </c>
      <c r="W14" s="3834" t="s">
        <v>3560</v>
      </c>
      <c r="X14" s="3834" t="s">
        <v>3626</v>
      </c>
      <c r="Y14" s="3834" t="s">
        <v>3560</v>
      </c>
      <c r="AB14" s="3840">
        <f t="shared" si="0"/>
        <v>7622</v>
      </c>
    </row>
    <row r="15" spans="1:28" s="3836" customFormat="1">
      <c r="A15" s="3836" t="s">
        <v>3638</v>
      </c>
      <c r="B15" s="3834" t="s">
        <v>3410</v>
      </c>
      <c r="C15" s="3836" t="s">
        <v>3639</v>
      </c>
      <c r="D15" s="3836" t="s">
        <v>3759</v>
      </c>
      <c r="E15" s="3836">
        <v>101190.07</v>
      </c>
      <c r="F15" s="3836">
        <v>198291</v>
      </c>
      <c r="G15" s="3836" t="s">
        <v>3556</v>
      </c>
      <c r="H15" s="3836" t="s">
        <v>3557</v>
      </c>
      <c r="I15" s="3836" t="s">
        <v>3640</v>
      </c>
      <c r="J15" s="3836" t="s">
        <v>3641</v>
      </c>
      <c r="K15" s="3834" t="s">
        <v>3560</v>
      </c>
      <c r="L15" s="3834" t="s">
        <v>3561</v>
      </c>
      <c r="M15" s="3834" t="s">
        <v>3560</v>
      </c>
      <c r="N15" s="3836" t="s">
        <v>3642</v>
      </c>
      <c r="O15" s="3834" t="s">
        <v>3563</v>
      </c>
      <c r="P15" s="3836" t="s">
        <v>3643</v>
      </c>
      <c r="Q15" s="3836">
        <v>100000</v>
      </c>
      <c r="R15" s="3836">
        <v>9882.39</v>
      </c>
      <c r="S15" s="3836">
        <v>658.83</v>
      </c>
      <c r="T15" s="3836">
        <v>5043</v>
      </c>
      <c r="U15" s="3834" t="s">
        <v>3560</v>
      </c>
      <c r="V15" s="3836">
        <v>0</v>
      </c>
      <c r="W15" s="3834" t="s">
        <v>3560</v>
      </c>
      <c r="X15" s="3836" t="s">
        <v>3644</v>
      </c>
      <c r="Y15" s="3836" t="s">
        <v>3560</v>
      </c>
      <c r="AB15" s="3840">
        <f t="shared" si="0"/>
        <v>3807</v>
      </c>
    </row>
    <row r="16" spans="1:28" hidden="1">
      <c r="A16" s="3834" t="s">
        <v>3645</v>
      </c>
      <c r="B16" s="3834" t="s">
        <v>3410</v>
      </c>
      <c r="C16" s="3834" t="s">
        <v>3554</v>
      </c>
      <c r="D16" s="3834" t="s">
        <v>3646</v>
      </c>
      <c r="E16" s="3834">
        <v>5500.65</v>
      </c>
      <c r="F16" s="3834">
        <v>15401.81</v>
      </c>
      <c r="G16" s="3834" t="s">
        <v>3556</v>
      </c>
      <c r="H16" s="3834" t="s">
        <v>3647</v>
      </c>
      <c r="I16" s="3834" t="s">
        <v>3648</v>
      </c>
      <c r="J16" s="3834" t="s">
        <v>3649</v>
      </c>
      <c r="K16" s="3834" t="s">
        <v>3560</v>
      </c>
      <c r="L16" s="3834" t="s">
        <v>3561</v>
      </c>
      <c r="M16" s="3834" t="s">
        <v>3560</v>
      </c>
      <c r="N16" s="3834" t="s">
        <v>3650</v>
      </c>
      <c r="O16" s="3834" t="s">
        <v>3563</v>
      </c>
      <c r="P16" s="3834" t="s">
        <v>3651</v>
      </c>
      <c r="Q16" s="3834">
        <v>17000</v>
      </c>
      <c r="R16" s="3834">
        <v>30905.43</v>
      </c>
      <c r="S16" s="3834">
        <v>2060.36</v>
      </c>
      <c r="T16" s="3834">
        <v>11038</v>
      </c>
      <c r="U16" s="3834" t="s">
        <v>3560</v>
      </c>
      <c r="V16" s="3834">
        <v>0</v>
      </c>
      <c r="W16" s="3834" t="s">
        <v>3560</v>
      </c>
      <c r="X16" s="3834" t="s">
        <v>3565</v>
      </c>
      <c r="Y16" s="3834" t="s">
        <v>3560</v>
      </c>
      <c r="AB16" s="3836">
        <f t="shared" si="0"/>
        <v>8334</v>
      </c>
    </row>
    <row r="17" spans="1:28" hidden="1">
      <c r="A17" s="3834" t="s">
        <v>3652</v>
      </c>
      <c r="B17" s="3834" t="s">
        <v>3410</v>
      </c>
      <c r="C17" s="3834" t="s">
        <v>3584</v>
      </c>
      <c r="D17" s="3834" t="s">
        <v>3653</v>
      </c>
      <c r="E17" s="3834">
        <v>82500</v>
      </c>
      <c r="F17" s="3834">
        <v>165000</v>
      </c>
      <c r="G17" s="3834" t="s">
        <v>3556</v>
      </c>
      <c r="H17" s="3834" t="s">
        <v>3586</v>
      </c>
      <c r="I17" s="3834">
        <v>40</v>
      </c>
      <c r="J17" s="3834" t="s">
        <v>3654</v>
      </c>
      <c r="K17" s="3834" t="s">
        <v>3560</v>
      </c>
      <c r="L17" s="3834" t="s">
        <v>3561</v>
      </c>
      <c r="M17" s="3834" t="s">
        <v>3560</v>
      </c>
      <c r="N17" s="3834" t="s">
        <v>3655</v>
      </c>
      <c r="O17" s="3834" t="s">
        <v>3563</v>
      </c>
      <c r="P17" s="3834" t="s">
        <v>3656</v>
      </c>
      <c r="Q17" s="3834">
        <v>260700</v>
      </c>
      <c r="R17" s="3834">
        <v>31600</v>
      </c>
      <c r="S17" s="3834">
        <v>2106.67</v>
      </c>
      <c r="T17" s="3834">
        <v>15800</v>
      </c>
      <c r="U17" s="3834" t="s">
        <v>3560</v>
      </c>
      <c r="V17" s="3834">
        <v>0</v>
      </c>
      <c r="W17" s="3834" t="s">
        <v>3560</v>
      </c>
      <c r="X17" s="3834" t="s">
        <v>3565</v>
      </c>
      <c r="Y17" s="3834" t="s">
        <v>3560</v>
      </c>
      <c r="AB17" s="3836">
        <f t="shared" si="0"/>
        <v>11929</v>
      </c>
    </row>
    <row r="18" spans="1:28" hidden="1">
      <c r="A18" s="3834" t="s">
        <v>3657</v>
      </c>
      <c r="B18" s="3834" t="s">
        <v>3410</v>
      </c>
      <c r="C18" s="3834" t="s">
        <v>3584</v>
      </c>
      <c r="D18" s="3834" t="s">
        <v>3658</v>
      </c>
      <c r="E18" s="3834">
        <v>4800</v>
      </c>
      <c r="F18" s="3834">
        <v>1920</v>
      </c>
      <c r="G18" s="3834" t="s">
        <v>3556</v>
      </c>
      <c r="H18" s="3834" t="s">
        <v>3659</v>
      </c>
      <c r="I18" s="3834" t="s">
        <v>3660</v>
      </c>
      <c r="J18" s="3834" t="s">
        <v>3661</v>
      </c>
      <c r="K18" s="3834" t="s">
        <v>3560</v>
      </c>
      <c r="L18" s="3834" t="s">
        <v>3561</v>
      </c>
      <c r="M18" s="3834" t="s">
        <v>3560</v>
      </c>
      <c r="N18" s="3834" t="s">
        <v>3662</v>
      </c>
      <c r="O18" s="3834" t="s">
        <v>3563</v>
      </c>
      <c r="P18" s="3834" t="s">
        <v>3663</v>
      </c>
      <c r="Q18" s="3834">
        <v>5800</v>
      </c>
      <c r="R18" s="3834">
        <v>12083.33</v>
      </c>
      <c r="S18" s="3834">
        <v>805.56</v>
      </c>
      <c r="T18" s="3834">
        <v>30208</v>
      </c>
      <c r="U18" s="3834" t="s">
        <v>3560</v>
      </c>
      <c r="V18" s="3834">
        <v>0</v>
      </c>
      <c r="W18" s="3834" t="s">
        <v>3560</v>
      </c>
      <c r="X18" s="3834" t="s">
        <v>3590</v>
      </c>
      <c r="Y18" s="3834" t="s">
        <v>3560</v>
      </c>
      <c r="AB18" s="3836">
        <f t="shared" si="0"/>
        <v>22807</v>
      </c>
    </row>
    <row r="19" spans="1:28" hidden="1">
      <c r="A19" s="3834" t="s">
        <v>3664</v>
      </c>
      <c r="B19" s="3834" t="s">
        <v>3410</v>
      </c>
      <c r="C19" s="3834" t="s">
        <v>3554</v>
      </c>
      <c r="D19" s="3834" t="s">
        <v>3665</v>
      </c>
      <c r="E19" s="3834">
        <v>10000</v>
      </c>
      <c r="F19" s="3834">
        <v>22000</v>
      </c>
      <c r="G19" s="3834" t="s">
        <v>3556</v>
      </c>
      <c r="H19" s="3834" t="s">
        <v>3557</v>
      </c>
      <c r="I19" s="3834" t="s">
        <v>3666</v>
      </c>
      <c r="J19" s="3834" t="s">
        <v>3667</v>
      </c>
      <c r="K19" s="3834" t="s">
        <v>3560</v>
      </c>
      <c r="L19" s="3834" t="s">
        <v>3561</v>
      </c>
      <c r="M19" s="3834" t="s">
        <v>3560</v>
      </c>
      <c r="N19" s="3834" t="s">
        <v>3668</v>
      </c>
      <c r="O19" s="3834" t="s">
        <v>3563</v>
      </c>
      <c r="P19" s="3834" t="s">
        <v>3669</v>
      </c>
      <c r="Q19" s="3834">
        <v>36400</v>
      </c>
      <c r="R19" s="3834">
        <v>36400</v>
      </c>
      <c r="S19" s="3834">
        <v>2426.67</v>
      </c>
      <c r="T19" s="3834">
        <v>16545</v>
      </c>
      <c r="U19" s="3834" t="s">
        <v>3560</v>
      </c>
      <c r="V19" s="3834">
        <v>0</v>
      </c>
      <c r="W19" s="3834" t="s">
        <v>3560</v>
      </c>
      <c r="X19" s="3834" t="s">
        <v>3565</v>
      </c>
      <c r="Y19" s="3834" t="s">
        <v>3560</v>
      </c>
      <c r="AB19" s="3836">
        <f t="shared" si="0"/>
        <v>12491</v>
      </c>
    </row>
    <row r="20" spans="1:28" hidden="1">
      <c r="A20" s="3834" t="s">
        <v>3670</v>
      </c>
      <c r="B20" s="3834" t="s">
        <v>3410</v>
      </c>
      <c r="C20" s="3834" t="s">
        <v>3554</v>
      </c>
      <c r="D20" s="3834" t="s">
        <v>3671</v>
      </c>
      <c r="E20" s="3834">
        <v>5500</v>
      </c>
      <c r="F20" s="3834">
        <v>12100</v>
      </c>
      <c r="G20" s="3834" t="s">
        <v>3556</v>
      </c>
      <c r="H20" s="3834" t="s">
        <v>3557</v>
      </c>
      <c r="I20" s="3834" t="s">
        <v>3666</v>
      </c>
      <c r="J20" s="3834" t="s">
        <v>3667</v>
      </c>
      <c r="K20" s="3834" t="s">
        <v>3560</v>
      </c>
      <c r="L20" s="3834" t="s">
        <v>3561</v>
      </c>
      <c r="M20" s="3834" t="s">
        <v>3560</v>
      </c>
      <c r="N20" s="3834" t="s">
        <v>3672</v>
      </c>
      <c r="O20" s="3834" t="s">
        <v>3563</v>
      </c>
      <c r="P20" s="3834" t="s">
        <v>3673</v>
      </c>
      <c r="Q20" s="3834">
        <v>20000</v>
      </c>
      <c r="R20" s="3834">
        <v>36363.629999999997</v>
      </c>
      <c r="S20" s="3834">
        <v>2424.2399999999998</v>
      </c>
      <c r="T20" s="3834">
        <v>16529</v>
      </c>
      <c r="U20" s="3834" t="s">
        <v>3560</v>
      </c>
      <c r="V20" s="3834">
        <v>0</v>
      </c>
      <c r="W20" s="3834" t="s">
        <v>3560</v>
      </c>
      <c r="X20" s="3834" t="s">
        <v>3565</v>
      </c>
      <c r="Y20" s="3834" t="s">
        <v>3560</v>
      </c>
      <c r="AB20" s="3836">
        <f t="shared" si="0"/>
        <v>12479</v>
      </c>
    </row>
    <row r="21" spans="1:28" hidden="1">
      <c r="A21" s="3834" t="s">
        <v>3674</v>
      </c>
      <c r="B21" s="3834" t="s">
        <v>3410</v>
      </c>
      <c r="C21" s="3834" t="s">
        <v>3554</v>
      </c>
      <c r="D21" s="3834" t="s">
        <v>3675</v>
      </c>
      <c r="E21" s="3834">
        <v>16122.82</v>
      </c>
      <c r="F21" s="3834">
        <v>45143.91</v>
      </c>
      <c r="G21" s="3834" t="s">
        <v>3556</v>
      </c>
      <c r="H21" s="3834" t="s">
        <v>3557</v>
      </c>
      <c r="I21" s="3834" t="s">
        <v>3676</v>
      </c>
      <c r="J21" s="3834" t="s">
        <v>3649</v>
      </c>
      <c r="K21" s="3834" t="s">
        <v>3560</v>
      </c>
      <c r="L21" s="3834" t="s">
        <v>3561</v>
      </c>
      <c r="M21" s="3834" t="s">
        <v>3560</v>
      </c>
      <c r="N21" s="3834" t="s">
        <v>3677</v>
      </c>
      <c r="O21" s="3834" t="s">
        <v>3563</v>
      </c>
      <c r="P21" s="3834" t="s">
        <v>3678</v>
      </c>
      <c r="Q21" s="3834">
        <v>76000</v>
      </c>
      <c r="R21" s="3834">
        <v>47138.15</v>
      </c>
      <c r="S21" s="3834">
        <v>3142.54</v>
      </c>
      <c r="T21" s="3834">
        <v>16835</v>
      </c>
      <c r="U21" s="3834" t="s">
        <v>3560</v>
      </c>
      <c r="V21" s="3834">
        <v>0</v>
      </c>
      <c r="W21" s="3834" t="s">
        <v>3560</v>
      </c>
      <c r="X21" s="3834" t="s">
        <v>3565</v>
      </c>
      <c r="Y21" s="3834" t="s">
        <v>3560</v>
      </c>
      <c r="AB21" s="3836">
        <f t="shared" si="0"/>
        <v>12710</v>
      </c>
    </row>
    <row r="22" spans="1:28" hidden="1">
      <c r="A22" s="3834" t="s">
        <v>3679</v>
      </c>
      <c r="B22" s="3834" t="s">
        <v>3410</v>
      </c>
      <c r="C22" s="3834" t="s">
        <v>3584</v>
      </c>
      <c r="D22" s="3834" t="s">
        <v>3680</v>
      </c>
      <c r="E22" s="3834">
        <v>17308.8</v>
      </c>
      <c r="F22" s="3834">
        <v>86544</v>
      </c>
      <c r="G22" s="3834" t="s">
        <v>3556</v>
      </c>
      <c r="H22" s="3834" t="s">
        <v>3557</v>
      </c>
      <c r="I22" s="3834" t="s">
        <v>3681</v>
      </c>
      <c r="J22" s="3834" t="s">
        <v>3682</v>
      </c>
      <c r="K22" s="3834" t="s">
        <v>3560</v>
      </c>
      <c r="L22" s="3834" t="s">
        <v>3561</v>
      </c>
      <c r="M22" s="3834" t="s">
        <v>3560</v>
      </c>
      <c r="N22" s="3834" t="s">
        <v>3683</v>
      </c>
      <c r="O22" s="3834" t="s">
        <v>3563</v>
      </c>
      <c r="P22" s="3834" t="s">
        <v>3684</v>
      </c>
      <c r="Q22" s="3834">
        <v>91400</v>
      </c>
      <c r="R22" s="3834">
        <v>52805.5</v>
      </c>
      <c r="S22" s="3834">
        <v>3520.37</v>
      </c>
      <c r="T22" s="3834">
        <v>10561</v>
      </c>
      <c r="U22" s="3834" t="s">
        <v>3560</v>
      </c>
      <c r="V22" s="3834">
        <v>0</v>
      </c>
      <c r="W22" s="3834" t="s">
        <v>3560</v>
      </c>
      <c r="X22" s="3834" t="s">
        <v>3565</v>
      </c>
      <c r="Y22" s="3834" t="s">
        <v>3560</v>
      </c>
      <c r="AB22" s="3836">
        <f t="shared" si="0"/>
        <v>7974</v>
      </c>
    </row>
    <row r="23" spans="1:28" hidden="1">
      <c r="A23" s="3834" t="s">
        <v>3685</v>
      </c>
      <c r="B23" s="3834" t="s">
        <v>3410</v>
      </c>
      <c r="C23" s="3834" t="s">
        <v>3584</v>
      </c>
      <c r="D23" s="3834" t="s">
        <v>3686</v>
      </c>
      <c r="E23" s="3834">
        <v>59169.74</v>
      </c>
      <c r="F23" s="3834">
        <v>130173.43</v>
      </c>
      <c r="G23" s="3834" t="s">
        <v>3556</v>
      </c>
      <c r="H23" s="3834" t="s">
        <v>3557</v>
      </c>
      <c r="I23" s="3834" t="s">
        <v>3640</v>
      </c>
      <c r="J23" s="3834" t="s">
        <v>3667</v>
      </c>
      <c r="K23" s="3834" t="s">
        <v>3560</v>
      </c>
      <c r="L23" s="3834" t="s">
        <v>3561</v>
      </c>
      <c r="M23" s="3834" t="s">
        <v>3560</v>
      </c>
      <c r="N23" s="3834" t="s">
        <v>3687</v>
      </c>
      <c r="O23" s="3834" t="s">
        <v>3563</v>
      </c>
      <c r="P23" s="3834" t="s">
        <v>3688</v>
      </c>
      <c r="Q23" s="3834">
        <v>131600</v>
      </c>
      <c r="R23" s="3834">
        <v>22241.09</v>
      </c>
      <c r="S23" s="3834">
        <v>1482.74</v>
      </c>
      <c r="T23" s="3834">
        <v>10110</v>
      </c>
      <c r="U23" s="3834" t="s">
        <v>3560</v>
      </c>
      <c r="V23" s="3834">
        <v>0</v>
      </c>
      <c r="W23" s="3834" t="s">
        <v>3560</v>
      </c>
      <c r="X23" s="3834" t="s">
        <v>3590</v>
      </c>
      <c r="Y23" s="3834" t="s">
        <v>3689</v>
      </c>
      <c r="AB23" s="3836">
        <f t="shared" si="0"/>
        <v>7633</v>
      </c>
    </row>
    <row r="24" spans="1:28" hidden="1">
      <c r="A24" s="3834" t="s">
        <v>3690</v>
      </c>
      <c r="B24" s="3834" t="s">
        <v>3410</v>
      </c>
      <c r="C24" s="3834" t="s">
        <v>3584</v>
      </c>
      <c r="D24" s="3834" t="s">
        <v>3691</v>
      </c>
      <c r="E24" s="3834">
        <v>12066.9</v>
      </c>
      <c r="F24" s="3834">
        <v>18100.349999999999</v>
      </c>
      <c r="G24" s="3834" t="s">
        <v>3556</v>
      </c>
      <c r="H24" s="3834" t="s">
        <v>3647</v>
      </c>
      <c r="I24" s="3834" t="s">
        <v>3692</v>
      </c>
      <c r="J24" s="3834" t="s">
        <v>3574</v>
      </c>
      <c r="K24" s="3834" t="s">
        <v>3560</v>
      </c>
      <c r="L24" s="3834" t="s">
        <v>3561</v>
      </c>
      <c r="M24" s="3834" t="s">
        <v>3560</v>
      </c>
      <c r="N24" s="3834" t="s">
        <v>3693</v>
      </c>
      <c r="O24" s="3834" t="s">
        <v>3563</v>
      </c>
      <c r="P24" s="3834" t="s">
        <v>3688</v>
      </c>
      <c r="Q24" s="3834">
        <v>9400</v>
      </c>
      <c r="R24" s="3834">
        <v>7789.9</v>
      </c>
      <c r="S24" s="3834">
        <v>519.33000000000004</v>
      </c>
      <c r="T24" s="3834">
        <v>5193</v>
      </c>
      <c r="U24" s="3834" t="s">
        <v>3560</v>
      </c>
      <c r="V24" s="3834">
        <v>0</v>
      </c>
      <c r="W24" s="3834" t="s">
        <v>3560</v>
      </c>
      <c r="X24" s="3834" t="s">
        <v>3590</v>
      </c>
      <c r="Y24" s="3834" t="s">
        <v>3560</v>
      </c>
      <c r="AB24" s="3836">
        <f t="shared" si="0"/>
        <v>3921</v>
      </c>
    </row>
    <row r="25" spans="1:28" hidden="1">
      <c r="A25" s="3834" t="s">
        <v>3694</v>
      </c>
      <c r="B25" s="3834" t="s">
        <v>3410</v>
      </c>
      <c r="C25" s="3834" t="s">
        <v>3584</v>
      </c>
      <c r="D25" s="3834" t="s">
        <v>3695</v>
      </c>
      <c r="E25" s="3834">
        <v>15178.6</v>
      </c>
      <c r="F25" s="3834">
        <v>45535.8</v>
      </c>
      <c r="G25" s="3834" t="s">
        <v>3556</v>
      </c>
      <c r="H25" s="3834" t="s">
        <v>3557</v>
      </c>
      <c r="I25" s="3834" t="s">
        <v>3666</v>
      </c>
      <c r="J25" s="3834" t="s">
        <v>3696</v>
      </c>
      <c r="K25" s="3834" t="s">
        <v>3560</v>
      </c>
      <c r="L25" s="3834" t="s">
        <v>3561</v>
      </c>
      <c r="M25" s="3834" t="s">
        <v>3560</v>
      </c>
      <c r="N25" s="3834" t="s">
        <v>3697</v>
      </c>
      <c r="O25" s="3834" t="s">
        <v>3563</v>
      </c>
      <c r="P25" s="3834" t="s">
        <v>3698</v>
      </c>
      <c r="Q25" s="3834">
        <v>58400</v>
      </c>
      <c r="R25" s="3834">
        <v>38475.22</v>
      </c>
      <c r="S25" s="3834">
        <v>2565.0100000000002</v>
      </c>
      <c r="T25" s="3834">
        <v>12825</v>
      </c>
      <c r="U25" s="3834" t="s">
        <v>3560</v>
      </c>
      <c r="V25" s="3834">
        <v>0</v>
      </c>
      <c r="W25" s="3834" t="s">
        <v>3560</v>
      </c>
      <c r="X25" s="3834" t="s">
        <v>3626</v>
      </c>
      <c r="Y25" s="3834" t="s">
        <v>3560</v>
      </c>
      <c r="AB25" s="3836">
        <f t="shared" si="0"/>
        <v>9683</v>
      </c>
    </row>
    <row r="26" spans="1:28" hidden="1">
      <c r="A26" s="3834" t="s">
        <v>3699</v>
      </c>
      <c r="B26" s="3834" t="s">
        <v>3410</v>
      </c>
      <c r="C26" s="3834" t="s">
        <v>3554</v>
      </c>
      <c r="D26" s="3834" t="s">
        <v>3700</v>
      </c>
      <c r="E26" s="3834">
        <v>29991.73</v>
      </c>
      <c r="F26" s="3834">
        <v>119966.93</v>
      </c>
      <c r="G26" s="3834" t="s">
        <v>3556</v>
      </c>
      <c r="H26" s="3834" t="s">
        <v>3557</v>
      </c>
      <c r="I26" s="3834" t="s">
        <v>3610</v>
      </c>
      <c r="J26" s="3834" t="s">
        <v>3568</v>
      </c>
      <c r="K26" s="3834" t="s">
        <v>3560</v>
      </c>
      <c r="L26" s="3834" t="s">
        <v>3561</v>
      </c>
      <c r="M26" s="3834" t="s">
        <v>3560</v>
      </c>
      <c r="N26" s="3834" t="s">
        <v>3701</v>
      </c>
      <c r="O26" s="3834" t="s">
        <v>3563</v>
      </c>
      <c r="P26" s="3834" t="s">
        <v>3702</v>
      </c>
      <c r="Q26" s="3834">
        <v>165300</v>
      </c>
      <c r="R26" s="3834">
        <v>55115.19</v>
      </c>
      <c r="S26" s="3834">
        <v>3674.35</v>
      </c>
      <c r="T26" s="3834">
        <v>13779</v>
      </c>
      <c r="U26" s="3834" t="s">
        <v>3560</v>
      </c>
      <c r="V26" s="3834">
        <v>0</v>
      </c>
      <c r="W26" s="3834" t="s">
        <v>3560</v>
      </c>
      <c r="X26" s="3834" t="s">
        <v>3565</v>
      </c>
      <c r="Y26" s="3834" t="s">
        <v>3560</v>
      </c>
      <c r="AB26" s="3836">
        <f t="shared" si="0"/>
        <v>10403</v>
      </c>
    </row>
    <row r="27" spans="1:28" hidden="1">
      <c r="A27" s="3834" t="s">
        <v>3703</v>
      </c>
      <c r="B27" s="3834" t="s">
        <v>3410</v>
      </c>
      <c r="C27" s="3834" t="s">
        <v>3584</v>
      </c>
      <c r="D27" s="3834" t="s">
        <v>3704</v>
      </c>
      <c r="E27" s="3834">
        <v>15197.52</v>
      </c>
      <c r="F27" s="3834">
        <v>30395.05</v>
      </c>
      <c r="G27" s="3834" t="s">
        <v>3556</v>
      </c>
      <c r="H27" s="3834" t="s">
        <v>3705</v>
      </c>
      <c r="I27" s="3834" t="s">
        <v>3666</v>
      </c>
      <c r="J27" s="3834" t="s">
        <v>3654</v>
      </c>
      <c r="K27" s="3834" t="s">
        <v>3560</v>
      </c>
      <c r="L27" s="3834" t="s">
        <v>3561</v>
      </c>
      <c r="M27" s="3834" t="s">
        <v>3706</v>
      </c>
      <c r="N27" s="3834" t="s">
        <v>3707</v>
      </c>
      <c r="O27" s="3834" t="s">
        <v>3563</v>
      </c>
      <c r="P27" s="3834" t="s">
        <v>3708</v>
      </c>
      <c r="Q27" s="3834">
        <v>42600</v>
      </c>
      <c r="R27" s="3834">
        <v>28030.880000000001</v>
      </c>
      <c r="S27" s="3834">
        <v>1868.73</v>
      </c>
      <c r="T27" s="3834">
        <v>14015</v>
      </c>
      <c r="U27" s="3834" t="s">
        <v>3560</v>
      </c>
      <c r="V27" s="3834">
        <v>0</v>
      </c>
      <c r="W27" s="3834" t="s">
        <v>3560</v>
      </c>
      <c r="X27" s="3834" t="s">
        <v>3565</v>
      </c>
      <c r="Y27" s="3834" t="s">
        <v>3560</v>
      </c>
      <c r="AB27" s="3836">
        <f t="shared" si="0"/>
        <v>10581</v>
      </c>
    </row>
    <row r="28" spans="1:28" hidden="1">
      <c r="A28" s="3834" t="s">
        <v>3709</v>
      </c>
      <c r="B28" s="3834" t="s">
        <v>3410</v>
      </c>
      <c r="C28" s="3834" t="s">
        <v>3554</v>
      </c>
      <c r="D28" s="3834" t="s">
        <v>3710</v>
      </c>
      <c r="E28" s="3834">
        <v>204418.11</v>
      </c>
      <c r="F28" s="3834">
        <v>302000</v>
      </c>
      <c r="G28" s="3834" t="s">
        <v>3556</v>
      </c>
      <c r="H28" s="3834" t="s">
        <v>3557</v>
      </c>
      <c r="I28" s="3834" t="s">
        <v>3610</v>
      </c>
      <c r="J28" s="3834" t="s">
        <v>3574</v>
      </c>
      <c r="K28" s="3834" t="s">
        <v>3560</v>
      </c>
      <c r="L28" s="3834" t="s">
        <v>3561</v>
      </c>
      <c r="M28" s="3834" t="s">
        <v>3560</v>
      </c>
      <c r="N28" s="3834" t="s">
        <v>3711</v>
      </c>
      <c r="O28" s="3834" t="s">
        <v>3563</v>
      </c>
      <c r="P28" s="3834" t="s">
        <v>3712</v>
      </c>
      <c r="Q28" s="3834">
        <v>506700</v>
      </c>
      <c r="R28" s="3834">
        <v>24787.43</v>
      </c>
      <c r="S28" s="3834">
        <v>1652.5</v>
      </c>
      <c r="T28" s="3834">
        <v>16778</v>
      </c>
      <c r="U28" s="3834" t="s">
        <v>3560</v>
      </c>
      <c r="V28" s="3834">
        <v>0</v>
      </c>
      <c r="W28" s="3834" t="s">
        <v>3560</v>
      </c>
      <c r="X28" s="3834" t="s">
        <v>3565</v>
      </c>
      <c r="Y28" s="3834" t="s">
        <v>3560</v>
      </c>
      <c r="AB28" s="3836">
        <f t="shared" si="0"/>
        <v>12667</v>
      </c>
    </row>
    <row r="29" spans="1:28" hidden="1">
      <c r="A29" s="3834" t="s">
        <v>3713</v>
      </c>
      <c r="B29" s="3834" t="s">
        <v>3410</v>
      </c>
      <c r="C29" s="3834" t="s">
        <v>3554</v>
      </c>
      <c r="D29" s="3834" t="s">
        <v>3714</v>
      </c>
      <c r="E29" s="3834">
        <v>17147.95</v>
      </c>
      <c r="F29" s="3834">
        <v>53158.65</v>
      </c>
      <c r="G29" s="3834" t="s">
        <v>3556</v>
      </c>
      <c r="H29" s="3834" t="s">
        <v>3715</v>
      </c>
      <c r="I29" s="3834" t="s">
        <v>3716</v>
      </c>
      <c r="J29" s="3834" t="s">
        <v>3717</v>
      </c>
      <c r="K29" s="3834" t="s">
        <v>3560</v>
      </c>
      <c r="L29" s="3834" t="s">
        <v>3561</v>
      </c>
      <c r="M29" s="3834" t="s">
        <v>3560</v>
      </c>
      <c r="N29" s="3834" t="s">
        <v>3718</v>
      </c>
      <c r="O29" s="3834" t="s">
        <v>3563</v>
      </c>
      <c r="P29" s="3834" t="s">
        <v>3625</v>
      </c>
      <c r="Q29" s="3834">
        <v>69200</v>
      </c>
      <c r="R29" s="3834">
        <v>40354.68</v>
      </c>
      <c r="S29" s="3834">
        <v>2690.31</v>
      </c>
      <c r="T29" s="3834">
        <v>13018</v>
      </c>
      <c r="U29" s="3834" t="s">
        <v>3560</v>
      </c>
      <c r="V29" s="3834">
        <v>0</v>
      </c>
      <c r="W29" s="3834" t="s">
        <v>3560</v>
      </c>
      <c r="X29" s="3834" t="s">
        <v>3565</v>
      </c>
      <c r="Y29" s="3834" t="s">
        <v>3560</v>
      </c>
      <c r="AB29" s="3836">
        <f t="shared" si="0"/>
        <v>9829</v>
      </c>
    </row>
    <row r="30" spans="1:28" hidden="1">
      <c r="A30" s="3834" t="s">
        <v>3719</v>
      </c>
      <c r="B30" s="3834" t="s">
        <v>3410</v>
      </c>
      <c r="C30" s="3834" t="s">
        <v>3554</v>
      </c>
      <c r="D30" s="3834" t="s">
        <v>3720</v>
      </c>
      <c r="E30" s="3834">
        <v>22058.78</v>
      </c>
      <c r="F30" s="3834">
        <v>47390</v>
      </c>
      <c r="G30" s="3834" t="s">
        <v>3556</v>
      </c>
      <c r="H30" s="3834" t="s">
        <v>3557</v>
      </c>
      <c r="I30" s="3834" t="s">
        <v>3716</v>
      </c>
      <c r="J30" s="3834" t="s">
        <v>3721</v>
      </c>
      <c r="K30" s="3834" t="s">
        <v>3560</v>
      </c>
      <c r="L30" s="3834" t="s">
        <v>3561</v>
      </c>
      <c r="M30" s="3834" t="s">
        <v>3560</v>
      </c>
      <c r="N30" s="3834" t="s">
        <v>3722</v>
      </c>
      <c r="O30" s="3834" t="s">
        <v>3563</v>
      </c>
      <c r="P30" s="3834" t="s">
        <v>3723</v>
      </c>
      <c r="Q30" s="3834">
        <v>32700</v>
      </c>
      <c r="R30" s="3834">
        <v>14824.02</v>
      </c>
      <c r="S30" s="3834">
        <v>988.27</v>
      </c>
      <c r="T30" s="3834">
        <v>6900</v>
      </c>
      <c r="U30" s="3834" t="s">
        <v>3560</v>
      </c>
      <c r="V30" s="3834">
        <v>0</v>
      </c>
      <c r="W30" s="3834" t="s">
        <v>3560</v>
      </c>
      <c r="X30" s="3834" t="s">
        <v>3565</v>
      </c>
      <c r="Y30" s="3834" t="s">
        <v>3560</v>
      </c>
      <c r="AB30" s="3836">
        <f t="shared" si="0"/>
        <v>5210</v>
      </c>
    </row>
    <row r="31" spans="1:28" hidden="1">
      <c r="A31" s="3834" t="s">
        <v>3724</v>
      </c>
      <c r="B31" s="3834" t="s">
        <v>3410</v>
      </c>
      <c r="C31" s="3834" t="s">
        <v>3639</v>
      </c>
      <c r="D31" s="3834" t="s">
        <v>3725</v>
      </c>
      <c r="E31" s="3834">
        <v>25224.15</v>
      </c>
      <c r="F31" s="3834">
        <v>75672.45</v>
      </c>
      <c r="G31" s="3834" t="s">
        <v>3556</v>
      </c>
      <c r="H31" s="3834" t="s">
        <v>3557</v>
      </c>
      <c r="I31" s="3834" t="s">
        <v>3666</v>
      </c>
      <c r="J31" s="3834" t="s">
        <v>3726</v>
      </c>
      <c r="K31" s="3834" t="s">
        <v>3560</v>
      </c>
      <c r="L31" s="3834" t="s">
        <v>3561</v>
      </c>
      <c r="M31" s="3834" t="s">
        <v>3560</v>
      </c>
      <c r="N31" s="3834" t="s">
        <v>3727</v>
      </c>
      <c r="O31" s="3834" t="s">
        <v>3563</v>
      </c>
      <c r="P31" s="3834" t="s">
        <v>3728</v>
      </c>
      <c r="Q31" s="3834">
        <v>60800</v>
      </c>
      <c r="R31" s="3834">
        <v>24103.88</v>
      </c>
      <c r="S31" s="3834">
        <v>1606.93</v>
      </c>
      <c r="T31" s="3834">
        <v>8035</v>
      </c>
      <c r="U31" s="3834" t="s">
        <v>3560</v>
      </c>
      <c r="V31" s="3834">
        <v>0</v>
      </c>
      <c r="W31" s="3834" t="s">
        <v>3560</v>
      </c>
      <c r="X31" s="3834" t="s">
        <v>3577</v>
      </c>
      <c r="Y31" s="3834" t="s">
        <v>3560</v>
      </c>
      <c r="AB31" s="3836">
        <f t="shared" si="0"/>
        <v>6066</v>
      </c>
    </row>
    <row r="34" spans="1:1" ht="13.5">
      <c r="A34" s="3839" t="s">
        <v>3760</v>
      </c>
    </row>
  </sheetData>
  <autoFilter ref="A1:Y31"/>
  <phoneticPr fontId="134" type="noConversion"/>
  <hyperlinks>
    <hyperlink ref="A34"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G6" sqref="G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909.8</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413</v>
      </c>
      <c r="C2" s="1997" t="s">
        <v>1934</v>
      </c>
      <c r="D2" s="1998" t="s">
        <v>1935</v>
      </c>
      <c r="E2" s="3419" t="s">
        <v>21</v>
      </c>
      <c r="F2" s="1998" t="s">
        <v>1936</v>
      </c>
      <c r="G2" s="1999" t="str">
        <f>IF(E2="商业",项目基本情况!B37,IF(E2="办公",项目基本情况!C37,IF(E2="住宅",项目基本情况!D37,IF(E2="工业",项目基本情况!E37,项目基本情况!F37))))</f>
        <v>九级</v>
      </c>
      <c r="H2" s="1998" t="s">
        <v>1937</v>
      </c>
      <c r="I2" s="1999" t="str">
        <f>IF(E2="商业",项目基本情况!B38,IF(E2="办公",项目基本情况!C38,IF(E2="住宅",项目基本情况!D38,IF(E2="工业",项目基本情况!E38,项目基本情况!F38))))</f>
        <v>Ⅸ-房2</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8">
        <f>ROUND(SUMPRODUCT((B106:B110=R2)*(C105:N105=G2)*(C106:N110)),4)</f>
        <v>1.5418000000000001</v>
      </c>
      <c r="T2" s="3358">
        <f t="shared" ref="T2:T16" si="0">ROUND($C$5*$C$22*$C$23*$C$24*S2*$C$28,0)</f>
        <v>5716</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4539</v>
      </c>
      <c r="C3" s="1997" t="s">
        <v>1940</v>
      </c>
      <c r="D3" s="1998" t="s">
        <v>1941</v>
      </c>
      <c r="E3" s="3417" t="s">
        <v>3511</v>
      </c>
      <c r="F3" s="2002" t="s">
        <v>3421</v>
      </c>
      <c r="G3" s="751">
        <f>IF(F3="宗地容积率",'数据-汇总表'!I4,IF(F3="估价对象容积率",'数据-汇总表'!I6,'数据-汇总表'!I7))</f>
        <v>1.02</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8">
        <f>ROUND(SUMPRODUCT((B106:B110=R3)*(C105:N105=G2)*(C106:N110)),4)</f>
        <v>1.1883999999999999</v>
      </c>
      <c r="T3" s="3358">
        <f t="shared" si="0"/>
        <v>4406</v>
      </c>
      <c r="U3" s="1211">
        <f>'数据-汇总表'!F19</f>
        <v>909.8</v>
      </c>
      <c r="V3" s="3358">
        <f t="shared" ref="V3:V16" si="1">ROUND(T3*U3/10000,0)</f>
        <v>401</v>
      </c>
      <c r="W3" s="1214"/>
      <c r="X3" s="1214"/>
      <c r="Y3" s="1214"/>
      <c r="Z3" s="1214"/>
      <c r="AA3" s="1214"/>
      <c r="AB3" s="1214"/>
      <c r="AC3" s="1215"/>
      <c r="AD3" s="1216"/>
      <c r="AE3" s="1216"/>
      <c r="AF3" s="1216"/>
      <c r="AG3" s="1216"/>
      <c r="AH3" s="1216"/>
      <c r="AI3" s="1216"/>
      <c r="AJ3" s="1217"/>
    </row>
    <row r="4" spans="1:36" ht="15.75">
      <c r="A4" s="3730"/>
      <c r="B4" s="3731"/>
      <c r="C4" s="3731"/>
      <c r="D4" s="3732"/>
      <c r="E4" s="3732"/>
      <c r="F4" s="3732"/>
      <c r="G4" s="3732"/>
      <c r="H4" s="3732"/>
      <c r="I4" s="3732"/>
      <c r="J4" s="3733"/>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8">
        <f>ROUND(SUMPRODUCT((B106:B110=R4)*(C105:N105=G2)*(C106:N110)),4)</f>
        <v>0.96940000000000004</v>
      </c>
      <c r="T4" s="3358">
        <f t="shared" si="0"/>
        <v>3594</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4900</v>
      </c>
      <c r="D5" s="1337">
        <f>ROUND(C6*C17+C20,0)</f>
        <v>4900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8">
        <f>ROUND(SUMPRODUCT((B106:B110=R5)*(C105:N105=G2)*(C106:N110)),4)</f>
        <v>0.82299999999999995</v>
      </c>
      <c r="T5" s="3358">
        <f t="shared" si="0"/>
        <v>3051</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4900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8">
        <f>ROUND(SUMPRODUCT((B106:B110=R6)*(C105:N105=G2)*(C106:N110)),4)</f>
        <v>0.74980000000000002</v>
      </c>
      <c r="T6" s="3358">
        <f t="shared" si="0"/>
        <v>2780</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3235</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6"/>
      <c r="T7" s="3358">
        <f t="shared" si="0"/>
        <v>0</v>
      </c>
      <c r="U7" s="1211"/>
      <c r="V7" s="3358">
        <f t="shared" si="1"/>
        <v>0</v>
      </c>
      <c r="W7" s="1356" t="s">
        <v>1954</v>
      </c>
      <c r="X7" s="1212" t="str">
        <f>G2</f>
        <v>九级</v>
      </c>
      <c r="Y7" s="1212" t="s">
        <v>1955</v>
      </c>
      <c r="Z7" s="1213">
        <f>G3</f>
        <v>1.02</v>
      </c>
      <c r="AA7" s="1214"/>
      <c r="AB7" s="1214"/>
      <c r="AC7" s="1215"/>
      <c r="AD7" s="1216"/>
      <c r="AE7" s="1216"/>
      <c r="AF7" s="1216"/>
      <c r="AG7" s="1216"/>
      <c r="AH7" s="1216"/>
      <c r="AI7" s="1216"/>
      <c r="AJ7" s="1217"/>
    </row>
    <row r="8" spans="1:36" ht="25.5">
      <c r="A8" s="3296"/>
      <c r="B8" s="170" t="s">
        <v>1956</v>
      </c>
      <c r="C8" s="2024" t="s">
        <v>3422</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8">
        <f t="shared" si="0"/>
        <v>0</v>
      </c>
      <c r="U8" s="1211"/>
      <c r="V8" s="3358">
        <f t="shared" si="1"/>
        <v>0</v>
      </c>
      <c r="W8" s="3727" t="s">
        <v>1959</v>
      </c>
      <c r="X8" s="3728"/>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4900</v>
      </c>
      <c r="N9" s="865">
        <f>SUMPRODUCT((因素修正幅度!B277:B326=I2)*(因素修正幅度!C3:G3=E2)*(因素修正幅度!C277:G326))</f>
        <v>0.15</v>
      </c>
      <c r="O9" s="1118"/>
      <c r="P9" s="1118"/>
      <c r="Q9" s="1118"/>
      <c r="R9" s="1210">
        <v>8</v>
      </c>
      <c r="S9" s="1211"/>
      <c r="T9" s="3358">
        <f t="shared" si="0"/>
        <v>0</v>
      </c>
      <c r="U9" s="1211"/>
      <c r="V9" s="3358">
        <f t="shared" si="1"/>
        <v>0</v>
      </c>
      <c r="W9" s="3729"/>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8">
        <f t="shared" si="0"/>
        <v>0</v>
      </c>
      <c r="U10" s="1211"/>
      <c r="V10" s="3358">
        <f t="shared" si="1"/>
        <v>0</v>
      </c>
      <c r="W10" s="372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3240</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3241</v>
      </c>
      <c r="G14" s="3309" t="s">
        <v>3241</v>
      </c>
      <c r="H14" s="3309" t="s">
        <v>3241</v>
      </c>
      <c r="I14" s="3309" t="s">
        <v>3241</v>
      </c>
      <c r="J14" s="3309" t="s">
        <v>3241</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3242</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3246</v>
      </c>
      <c r="E18" s="3326"/>
      <c r="F18" s="3321" t="s">
        <v>3249</v>
      </c>
      <c r="G18" s="3325">
        <f>ROUND(1-(1/(POWER(1+G24,E18))),4)</f>
        <v>0</v>
      </c>
      <c r="H18" s="3321" t="s">
        <v>3251</v>
      </c>
      <c r="I18" s="3325">
        <f>ROUND(1-(1/(POWER(1+G24,J24))),4)</f>
        <v>0.93120000000000003</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3247</v>
      </c>
      <c r="E19" s="3335"/>
      <c r="F19" s="3336" t="s">
        <v>3250</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734" t="s">
        <v>3252</v>
      </c>
      <c r="B20" s="167" t="s">
        <v>1993</v>
      </c>
      <c r="C20" s="3322">
        <f>ROUND(IF(F21="与级别开发程度一致",0,(G21-E21)/C21),0)</f>
        <v>0</v>
      </c>
      <c r="D20" s="3338" t="s">
        <v>1997</v>
      </c>
      <c r="E20" s="3339"/>
      <c r="F20" s="3740" t="s">
        <v>1994</v>
      </c>
      <c r="G20" s="3741"/>
      <c r="H20" s="3323" t="s">
        <v>3424</v>
      </c>
      <c r="I20" s="3323" t="s">
        <v>3425</v>
      </c>
      <c r="J20" s="3324" t="s">
        <v>3426</v>
      </c>
      <c r="K20" s="2045" t="s">
        <v>3427</v>
      </c>
      <c r="L20" s="2045" t="s">
        <v>3428</v>
      </c>
      <c r="M20" s="2045"/>
      <c r="N20" s="2045"/>
      <c r="O20" s="2046" t="s">
        <v>3429</v>
      </c>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26.25" thickBot="1">
      <c r="A21" s="3735"/>
      <c r="B21" s="2162" t="s">
        <v>1996</v>
      </c>
      <c r="C21" s="2163">
        <f>IF(E3="M4科研用地",SUMPRODUCT((修正!A2:A7=E3)*(修正!B1:M1=G2)*(修正!B2:M7)),SUMPRODUCT((修正!A2:A7=E2)*(修正!B1:M1=G2)*(修正!B2:M7)))</f>
        <v>2</v>
      </c>
      <c r="D21" s="187" t="str">
        <f>IF(OR(G2="八级",G2="九级",G2="十级",G2="十一级",G2="十二级"),"五通一平","七通一平")</f>
        <v>五通一平</v>
      </c>
      <c r="E21" s="2153">
        <f>SUMPRODUCT((修正!B1:M1=G2)*(修正!B17:M17))</f>
        <v>185</v>
      </c>
      <c r="F21" s="2154" t="s">
        <v>3423</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0</v>
      </c>
      <c r="N21" s="2163">
        <f>SUMPRODUCT((七通一平=N20)*(修正!B1:M1=G2)*(修正!B8:M16))</f>
        <v>0</v>
      </c>
      <c r="O21" s="2165">
        <f>SUMPRODUCT((七通一平=O20)*(修正!B1:M1=G2)*(修正!B8:M16))</f>
        <v>10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2" t="s">
        <v>2001</v>
      </c>
      <c r="E23" s="760">
        <v>44197</v>
      </c>
      <c r="F23" s="2052" t="s">
        <v>2002</v>
      </c>
      <c r="G23" s="761">
        <f>'数据-取费表'!B2</f>
        <v>45825</v>
      </c>
      <c r="H23" s="3340" t="s">
        <v>3253</v>
      </c>
      <c r="I23" s="3341" t="str">
        <f>IF(H23="季度增幅（自定义）",SUMIF(N25:N28,E2,O25:O28),"")</f>
        <v/>
      </c>
      <c r="J23" s="3443" t="s">
        <v>3512</v>
      </c>
      <c r="K23" s="1124"/>
      <c r="L23" s="2053" t="s">
        <v>2003</v>
      </c>
      <c r="M23" s="1326">
        <f>ROUND(SUMIF(地价!B2:G2,E2,地价!B16:G16),0)</f>
        <v>350</v>
      </c>
      <c r="N23" s="2054" t="s">
        <v>2004</v>
      </c>
      <c r="O23" s="762">
        <f>ROUNDDOWN(DATEDIF(E23,G23,"M")/3,0)</f>
        <v>17</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0.77559999999999996</v>
      </c>
      <c r="D24" s="2058" t="s">
        <v>2006</v>
      </c>
      <c r="E24" s="1333">
        <f>存贷款利率!E28/100</f>
        <v>4.3499999999999997E-2</v>
      </c>
      <c r="F24" s="2058" t="s">
        <v>1998</v>
      </c>
      <c r="G24" s="767">
        <f>SUMIF(M30:Q30,E2,M33:Q33)</f>
        <v>5.5E-2</v>
      </c>
      <c r="H24" s="2058" t="s">
        <v>2007</v>
      </c>
      <c r="I24" s="768">
        <f>SUMIF('数据-取费表'!C6:C15,E2,'数据-取费表'!F6:F15)/COUNTIF('数据-取费表'!C6:C15,E2)</f>
        <v>23.93</v>
      </c>
      <c r="J24" s="769">
        <f>IF(E2="住宅",70,IF(E2="商业",40,50))</f>
        <v>50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3513</v>
      </c>
      <c r="C25" s="770">
        <f>IF(B25="容积率修正",IF(G3&lt;10,D26,J26),C27)</f>
        <v>1.2242999999999999</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3254</v>
      </c>
      <c r="D26" s="1350">
        <f>IF(E26=G26,F26,IF(G3&lt;10,ROUND(F26+(H26-F26)*(G3-E26)/(G26-E26),4),"——"))</f>
        <v>1.2242999999999999</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51">
        <f>ROUNDUP(G3,1)</f>
        <v>1.1000000000000001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1.2008000000000001</v>
      </c>
      <c r="I26" s="3342" t="s">
        <v>3255</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0.96850000000000003</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413</v>
      </c>
      <c r="D30" s="2081"/>
      <c r="E30" s="2044"/>
      <c r="F30" s="2082"/>
      <c r="G30" s="2044"/>
      <c r="H30" s="2044"/>
      <c r="I30" s="2044"/>
      <c r="J30" s="2083"/>
      <c r="K30" s="1118"/>
      <c r="L30" s="3348" t="s">
        <v>1935</v>
      </c>
      <c r="M30" s="3349" t="s">
        <v>1989</v>
      </c>
      <c r="N30" s="3349" t="s">
        <v>1990</v>
      </c>
      <c r="O30" s="3349" t="s">
        <v>1991</v>
      </c>
      <c r="P30" s="3349" t="s">
        <v>1992</v>
      </c>
      <c r="Q30" s="3352" t="s">
        <v>3259</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f>ROUND(C5*C22*C23*C24*C25*C28,0)</f>
        <v>4539</v>
      </c>
      <c r="D33" s="2096">
        <f>'数据-汇总表'!F19</f>
        <v>909.8</v>
      </c>
      <c r="E33" s="772">
        <f>ROUND(C33*D33/10000,0)</f>
        <v>413</v>
      </c>
      <c r="F33" s="3343" t="s">
        <v>3257</v>
      </c>
      <c r="G33" s="2097"/>
      <c r="H33" s="2097"/>
      <c r="I33" s="2097"/>
      <c r="J33" s="2098"/>
      <c r="K33" s="1118"/>
      <c r="L33" s="3346" t="s">
        <v>3260</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f>ROUND(IF(E2="工业",C33*M42,IF(B25="楼层修正",SUM(V2:V16)*M41*10000/D34,C33*M41)),0)</f>
        <v>1135</v>
      </c>
      <c r="D34" s="2101"/>
      <c r="E34" s="772">
        <f>ROUND(IF(B25="楼层修正",SUM(V2:V16)*M40,C34*D34/10000),0)</f>
        <v>0</v>
      </c>
      <c r="F34" s="2102" t="s">
        <v>2031</v>
      </c>
      <c r="G34" s="2103"/>
      <c r="H34" s="2103"/>
      <c r="I34" s="2103"/>
      <c r="J34" s="2104"/>
      <c r="K34" s="1118"/>
      <c r="L34" s="3346" t="s">
        <v>3261</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3258</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3262</v>
      </c>
      <c r="L36" s="3444">
        <f ca="1">'数据-取费表'!B40</f>
        <v>0.03</v>
      </c>
      <c r="M36" s="3355">
        <f ca="1">ROUND($L$36*(1+M31),3)</f>
        <v>3.7999999999999999E-2</v>
      </c>
      <c r="N36" s="3355">
        <f ca="1">ROUND($L$36*(1+N31),3)</f>
        <v>3.5999999999999997E-2</v>
      </c>
      <c r="O36" s="3355">
        <f ca="1">ROUND($L$36*(1+O31),3)</f>
        <v>3.5000000000000003E-2</v>
      </c>
      <c r="P36" s="3355">
        <f ca="1">ROUND($L$36*(1+P31),3)</f>
        <v>3.3000000000000002E-2</v>
      </c>
      <c r="Q36" s="3355">
        <f ca="1">ROUND($L$36*(1+Q31),3)</f>
        <v>3.5000000000000003E-2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38"/>
      <c r="B37" s="2111" t="s">
        <v>2035</v>
      </c>
      <c r="C37" s="175">
        <f>ROUND(D5*C22*C23*C24*C28*F37,0)</f>
        <v>1854</v>
      </c>
      <c r="D37" s="2096"/>
      <c r="E37" s="171">
        <f>ROUND(C37*D37/10000,0)</f>
        <v>0</v>
      </c>
      <c r="F37" s="171">
        <f>SUMIF(修正!A57:A68,G2,修正!B57:B68)</f>
        <v>0.5</v>
      </c>
      <c r="G37" s="171">
        <f>ROUND(IF(E2="工业",C37*$M$42,C37*$M$41),0)</f>
        <v>464</v>
      </c>
      <c r="H37" s="171">
        <f>D37</f>
        <v>0</v>
      </c>
      <c r="I37" s="171">
        <f>ROUND(G37*H37/10000,0)</f>
        <v>0</v>
      </c>
      <c r="J37" s="3009"/>
      <c r="K37" s="3356" t="s">
        <v>3263</v>
      </c>
      <c r="L37" s="3354">
        <f ca="1">L36+K38</f>
        <v>3.4999999999999996E-2</v>
      </c>
      <c r="M37" s="3355">
        <f ca="1">ROUND($L$37*(1+M31),3)</f>
        <v>4.3999999999999997E-2</v>
      </c>
      <c r="N37" s="3355">
        <f t="shared" ref="N37:Q37" ca="1" si="3">ROUND($L$37*(1+N31),3)</f>
        <v>4.2000000000000003E-2</v>
      </c>
      <c r="O37" s="3355">
        <f t="shared" ca="1" si="3"/>
        <v>0.04</v>
      </c>
      <c r="P37" s="3355">
        <f t="shared" ca="1" si="3"/>
        <v>3.9E-2</v>
      </c>
      <c r="Q37" s="3355">
        <f t="shared" ca="1" si="3"/>
        <v>0.04</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39"/>
      <c r="B38" s="2039" t="s">
        <v>2036</v>
      </c>
      <c r="C38" s="175">
        <f>ROUND(D5*C22*C23*C24*C28*F38,0)</f>
        <v>741</v>
      </c>
      <c r="D38" s="2096"/>
      <c r="E38" s="171">
        <f t="shared" ref="E38:E42" si="4">ROUND(C38*D38/10000,0)</f>
        <v>0</v>
      </c>
      <c r="F38" s="171">
        <f>SUMIF(修正!A57:A68,G2,修正!C57:C68)</f>
        <v>0.2</v>
      </c>
      <c r="G38" s="171">
        <f>ROUND(IF(E2="工业",C38*$M$42,C38*$M$41),0)</f>
        <v>185</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39"/>
      <c r="B39" s="2039" t="s">
        <v>3256</v>
      </c>
      <c r="C39" s="175">
        <f>ROUND(D5*C22*C23*C24*C28*F39,0)</f>
        <v>741</v>
      </c>
      <c r="D39" s="2096"/>
      <c r="E39" s="171">
        <f t="shared" si="4"/>
        <v>0</v>
      </c>
      <c r="F39" s="171">
        <f>SUMIF(修正!A57:A68,G2,修正!D57:D68)</f>
        <v>0.2</v>
      </c>
      <c r="G39" s="171">
        <f>ROUND(IF(E2="工业",C39*$M$42,C39*$M$41),0)</f>
        <v>185</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741</v>
      </c>
      <c r="D40" s="2096"/>
      <c r="E40" s="171">
        <f t="shared" si="4"/>
        <v>0</v>
      </c>
      <c r="F40" s="175">
        <f>SUMIF(修正!A57:A68,G2,修正!E57:E68)</f>
        <v>0.2</v>
      </c>
      <c r="G40" s="171">
        <f>ROUND(IF(E2="工业",C40*$M$42,C40*$M$41),0)</f>
        <v>185</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741</v>
      </c>
      <c r="D41" s="2096"/>
      <c r="E41" s="171">
        <f t="shared" si="4"/>
        <v>0</v>
      </c>
      <c r="F41" s="175">
        <f>SUMIF(修正!A57:A68,G2,修正!F57:F68)</f>
        <v>0.2</v>
      </c>
      <c r="G41" s="171">
        <f>ROUND(IF(E2="工业",C41*$M$42,C41*$M$41),0)</f>
        <v>185</v>
      </c>
      <c r="H41" s="171">
        <f t="shared" si="5"/>
        <v>0</v>
      </c>
      <c r="I41" s="171">
        <f t="shared" si="6"/>
        <v>0</v>
      </c>
      <c r="J41" s="2112"/>
      <c r="L41" s="3357" t="s">
        <v>3264</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f>ROUND(D5*C22*C23*C44*C28*F42,0)</f>
        <v>371</v>
      </c>
      <c r="D42" s="2101"/>
      <c r="E42" s="187">
        <f t="shared" si="4"/>
        <v>0</v>
      </c>
      <c r="F42" s="766">
        <f>SUMIF(修正!A57:A68,G2,修正!G57:G68)</f>
        <v>0.1</v>
      </c>
      <c r="G42" s="187">
        <f>ROUND(IF(E2="工业",C42*$M$42,C42*$M$41),0)</f>
        <v>93</v>
      </c>
      <c r="H42" s="187">
        <f t="shared" si="5"/>
        <v>0</v>
      </c>
      <c r="I42" s="187">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f>ROUND(POWER(1+E44,H44-G44)*(POWER(1+E44,G44)-1)/(POWER(1+E44,H44)-1),4)</f>
        <v>0.77559999999999996</v>
      </c>
      <c r="D44" s="171" t="s">
        <v>1998</v>
      </c>
      <c r="E44" s="2151">
        <f>G24</f>
        <v>5.5E-2</v>
      </c>
      <c r="F44" s="171" t="s">
        <v>2007</v>
      </c>
      <c r="G44" s="183">
        <f>项目基本情况!E15</f>
        <v>23.93</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t="e">
        <f>1+E50</f>
        <v>#VALUE!</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3514</v>
      </c>
      <c r="D50" s="1064" t="e">
        <f t="shared" ref="D50:D58" si="7">SUMIF($J$49:$N$49,C50,J50:N50)</f>
        <v>#VALUE!</v>
      </c>
      <c r="E50" s="743" t="e">
        <f>ROUND(SUM(D50:D58),4)</f>
        <v>#VALUE!</v>
      </c>
      <c r="F50" s="1812" t="str">
        <f>IF(E2="商业",SUMIF(L1:L12,G2,N1:N12),"——")</f>
        <v>——</v>
      </c>
      <c r="G50" s="1062" t="str">
        <f>H50</f>
        <v>——</v>
      </c>
      <c r="H50" s="1065" t="str">
        <f t="shared" ref="H50:H58" si="8">IFERROR(ROUNDDOWN($F$50*I50/2,4),"——")</f>
        <v>——</v>
      </c>
      <c r="I50" s="3364">
        <v>0.3</v>
      </c>
      <c r="J50" s="1063" t="e">
        <f t="shared" ref="J50:J58" si="9">K50+$G50</f>
        <v>#VALUE!</v>
      </c>
      <c r="K50" s="1063" t="e">
        <f t="shared" ref="K50:K58" si="10">$L50+$G50</f>
        <v>#VALUE!</v>
      </c>
      <c r="L50" s="1063">
        <v>0</v>
      </c>
      <c r="M50" s="1063" t="e">
        <f t="shared" ref="M50:N58" si="11">L50-$G50</f>
        <v>#VALUE!</v>
      </c>
      <c r="N50" s="1063" t="e">
        <f t="shared" si="11"/>
        <v>#VALUE!</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3514</v>
      </c>
      <c r="D51" s="1064" t="e">
        <f t="shared" si="7"/>
        <v>#VALUE!</v>
      </c>
      <c r="E51" s="744"/>
      <c r="F51" s="1812"/>
      <c r="G51" s="1062" t="str">
        <f t="shared" ref="G51:G58" si="12">H51</f>
        <v>——</v>
      </c>
      <c r="H51" s="1065" t="str">
        <f t="shared" si="8"/>
        <v>——</v>
      </c>
      <c r="I51" s="3364">
        <v>0.22</v>
      </c>
      <c r="J51" s="1063" t="e">
        <f t="shared" si="9"/>
        <v>#VALUE!</v>
      </c>
      <c r="K51" s="1063" t="e">
        <f t="shared" si="10"/>
        <v>#VALUE!</v>
      </c>
      <c r="L51" s="1063">
        <v>0</v>
      </c>
      <c r="M51" s="1063" t="e">
        <f t="shared" si="11"/>
        <v>#VALUE!</v>
      </c>
      <c r="N51" s="1063" t="e">
        <f t="shared" si="11"/>
        <v>#VALUE!</v>
      </c>
      <c r="AA51" s="1119"/>
      <c r="AB51" s="1119"/>
      <c r="AC51" s="1119"/>
      <c r="AD51" s="1119"/>
      <c r="AE51" s="1119"/>
      <c r="AF51" s="1119"/>
      <c r="AG51" s="1119"/>
      <c r="AH51" s="1119"/>
      <c r="AI51" s="1119"/>
      <c r="AJ51" s="1119"/>
      <c r="AK51" s="1119"/>
    </row>
    <row r="52" spans="1:37" s="1118" customFormat="1" ht="36">
      <c r="A52" s="3366" t="s">
        <v>3266</v>
      </c>
      <c r="B52" s="2132">
        <f>估价对象房地状况!C19</f>
        <v>0</v>
      </c>
      <c r="C52" s="2042" t="s">
        <v>3431</v>
      </c>
      <c r="D52" s="1064">
        <f t="shared" si="7"/>
        <v>0</v>
      </c>
      <c r="E52" s="744"/>
      <c r="F52" s="1812"/>
      <c r="G52" s="1062" t="str">
        <f t="shared" si="12"/>
        <v>——</v>
      </c>
      <c r="H52" s="1065" t="str">
        <f t="shared" si="8"/>
        <v>——</v>
      </c>
      <c r="I52" s="3364">
        <v>0.12</v>
      </c>
      <c r="J52" s="1063" t="e">
        <f t="shared" si="9"/>
        <v>#VALUE!</v>
      </c>
      <c r="K52" s="1063" t="e">
        <f t="shared" si="10"/>
        <v>#VALUE!</v>
      </c>
      <c r="L52" s="1063">
        <v>0</v>
      </c>
      <c r="M52" s="1063" t="e">
        <f t="shared" si="11"/>
        <v>#VALUE!</v>
      </c>
      <c r="N52" s="1063" t="e">
        <f t="shared" si="11"/>
        <v>#VALUE!</v>
      </c>
      <c r="AA52" s="1119"/>
      <c r="AB52" s="1119"/>
      <c r="AC52" s="1119"/>
      <c r="AD52" s="1119"/>
      <c r="AE52" s="1119"/>
      <c r="AF52" s="1119"/>
      <c r="AG52" s="1119"/>
      <c r="AH52" s="1119"/>
      <c r="AI52" s="1119"/>
      <c r="AJ52" s="1119"/>
      <c r="AK52" s="1119"/>
    </row>
    <row r="53" spans="1:37" s="1118" customFormat="1" ht="36.75">
      <c r="A53" s="2128" t="s">
        <v>2053</v>
      </c>
      <c r="B53" s="2133" t="s">
        <v>2054</v>
      </c>
      <c r="C53" s="2042" t="s">
        <v>3430</v>
      </c>
      <c r="D53" s="1064" t="e">
        <f t="shared" si="7"/>
        <v>#VALUE!</v>
      </c>
      <c r="E53" s="744"/>
      <c r="F53" s="1812"/>
      <c r="G53" s="1062" t="str">
        <f t="shared" si="12"/>
        <v>——</v>
      </c>
      <c r="H53" s="1065" t="str">
        <f t="shared" si="8"/>
        <v>——</v>
      </c>
      <c r="I53" s="3364">
        <v>0.05</v>
      </c>
      <c r="J53" s="1063" t="e">
        <f t="shared" si="9"/>
        <v>#VALUE!</v>
      </c>
      <c r="K53" s="1063" t="e">
        <f t="shared" si="10"/>
        <v>#VALUE!</v>
      </c>
      <c r="L53" s="1063">
        <v>0</v>
      </c>
      <c r="M53" s="1063" t="e">
        <f t="shared" si="11"/>
        <v>#VALUE!</v>
      </c>
      <c r="N53" s="1063" t="e">
        <f t="shared" si="11"/>
        <v>#VALUE!</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3430</v>
      </c>
      <c r="D54" s="1064" t="e">
        <f t="shared" si="7"/>
        <v>#VALUE!</v>
      </c>
      <c r="E54" s="744"/>
      <c r="F54" s="1812"/>
      <c r="G54" s="1062" t="str">
        <f t="shared" si="12"/>
        <v>——</v>
      </c>
      <c r="H54" s="1065" t="str">
        <f t="shared" si="8"/>
        <v>——</v>
      </c>
      <c r="I54" s="3364">
        <v>0.08</v>
      </c>
      <c r="J54" s="1063" t="e">
        <f t="shared" si="9"/>
        <v>#VALUE!</v>
      </c>
      <c r="K54" s="1063" t="e">
        <f t="shared" si="10"/>
        <v>#VALUE!</v>
      </c>
      <c r="L54" s="1063">
        <v>0</v>
      </c>
      <c r="M54" s="1063" t="e">
        <f t="shared" si="11"/>
        <v>#VALUE!</v>
      </c>
      <c r="N54" s="1063" t="e">
        <f t="shared" si="11"/>
        <v>#VALUE!</v>
      </c>
      <c r="AA54" s="1119"/>
      <c r="AB54" s="1119"/>
      <c r="AC54" s="1119"/>
      <c r="AD54" s="1119"/>
      <c r="AE54" s="1119"/>
      <c r="AF54" s="1119"/>
      <c r="AG54" s="1119"/>
      <c r="AH54" s="1119"/>
      <c r="AI54" s="1119"/>
      <c r="AJ54" s="1119"/>
      <c r="AK54" s="1119"/>
    </row>
    <row r="55" spans="1:37" s="1118" customFormat="1" ht="24">
      <c r="A55" s="2128" t="s">
        <v>2056</v>
      </c>
      <c r="B55" s="2134" t="s">
        <v>2057</v>
      </c>
      <c r="C55" s="2042" t="s">
        <v>3430</v>
      </c>
      <c r="D55" s="1064" t="e">
        <f t="shared" si="7"/>
        <v>#VALUE!</v>
      </c>
      <c r="E55" s="744"/>
      <c r="F55" s="1812"/>
      <c r="G55" s="1062" t="str">
        <f t="shared" si="12"/>
        <v>——</v>
      </c>
      <c r="H55" s="1065" t="str">
        <f t="shared" si="8"/>
        <v>——</v>
      </c>
      <c r="I55" s="3364">
        <v>0.05</v>
      </c>
      <c r="J55" s="1063" t="e">
        <f t="shared" si="9"/>
        <v>#VALUE!</v>
      </c>
      <c r="K55" s="1063" t="e">
        <f t="shared" si="10"/>
        <v>#VALUE!</v>
      </c>
      <c r="L55" s="1063">
        <v>0</v>
      </c>
      <c r="M55" s="1063" t="e">
        <f t="shared" si="11"/>
        <v>#VALUE!</v>
      </c>
      <c r="N55" s="1063" t="e">
        <f t="shared" si="11"/>
        <v>#VALUE!</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3431</v>
      </c>
      <c r="D56" s="1064">
        <f t="shared" si="7"/>
        <v>0</v>
      </c>
      <c r="E56" s="744"/>
      <c r="F56" s="1812"/>
      <c r="G56" s="1062" t="str">
        <f t="shared" si="12"/>
        <v>——</v>
      </c>
      <c r="H56" s="1065" t="str">
        <f t="shared" si="8"/>
        <v>——</v>
      </c>
      <c r="I56" s="3364">
        <v>0.05</v>
      </c>
      <c r="J56" s="1063" t="e">
        <f t="shared" si="9"/>
        <v>#VALUE!</v>
      </c>
      <c r="K56" s="1063" t="e">
        <f t="shared" si="10"/>
        <v>#VALUE!</v>
      </c>
      <c r="L56" s="1063">
        <v>0</v>
      </c>
      <c r="M56" s="1063" t="e">
        <f t="shared" si="11"/>
        <v>#VALUE!</v>
      </c>
      <c r="N56" s="1063" t="e">
        <f t="shared" si="11"/>
        <v>#VALUE!</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3431</v>
      </c>
      <c r="D57" s="1064">
        <f t="shared" si="7"/>
        <v>0</v>
      </c>
      <c r="E57" s="744"/>
      <c r="F57" s="1812"/>
      <c r="G57" s="1062" t="str">
        <f t="shared" si="12"/>
        <v>——</v>
      </c>
      <c r="H57" s="1065" t="str">
        <f t="shared" si="8"/>
        <v>——</v>
      </c>
      <c r="I57" s="3364">
        <v>0.08</v>
      </c>
      <c r="J57" s="1063" t="e">
        <f t="shared" si="9"/>
        <v>#VALUE!</v>
      </c>
      <c r="K57" s="1063" t="e">
        <f t="shared" si="10"/>
        <v>#VALUE!</v>
      </c>
      <c r="L57" s="1063">
        <v>0</v>
      </c>
      <c r="M57" s="1063" t="e">
        <f t="shared" si="11"/>
        <v>#VALUE!</v>
      </c>
      <c r="N57" s="1063" t="e">
        <f t="shared" si="11"/>
        <v>#VALUE!</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3514</v>
      </c>
      <c r="D58" s="1064" t="e">
        <f t="shared" si="7"/>
        <v>#VALUE!</v>
      </c>
      <c r="E58" s="745"/>
      <c r="F58" s="1812"/>
      <c r="G58" s="1062" t="str">
        <f t="shared" si="12"/>
        <v>——</v>
      </c>
      <c r="H58" s="1065" t="str">
        <f t="shared" si="8"/>
        <v>——</v>
      </c>
      <c r="I58" s="3365">
        <v>0.05</v>
      </c>
      <c r="J58" s="1063" t="e">
        <f t="shared" si="9"/>
        <v>#VALUE!</v>
      </c>
      <c r="K58" s="1063" t="e">
        <f t="shared" si="10"/>
        <v>#VALUE!</v>
      </c>
      <c r="L58" s="1063">
        <v>0</v>
      </c>
      <c r="M58" s="1063" t="e">
        <f t="shared" si="11"/>
        <v>#VALUE!</v>
      </c>
      <c r="N58" s="1063" t="e">
        <f t="shared" si="11"/>
        <v>#VALUE!</v>
      </c>
      <c r="AA58" s="1119"/>
      <c r="AB58" s="1119"/>
      <c r="AC58" s="1119"/>
      <c r="AD58" s="1119"/>
      <c r="AE58" s="1119"/>
      <c r="AF58" s="1119"/>
      <c r="AG58" s="1119"/>
      <c r="AH58" s="1119"/>
      <c r="AI58" s="1119"/>
      <c r="AJ58" s="1119"/>
      <c r="AK58" s="1119"/>
    </row>
    <row r="59" spans="1:37" s="1118" customFormat="1" ht="15">
      <c r="A59" s="2124" t="s">
        <v>2061</v>
      </c>
      <c r="B59" s="2125">
        <f>1+E61</f>
        <v>0.96850000000000003</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t="s">
        <v>3514</v>
      </c>
      <c r="D61" s="1064">
        <f t="shared" ref="D61:D69" si="13">SUMIF($J$60:$N$60,C61,J61:N61)</f>
        <v>-1.8700000000000001E-2</v>
      </c>
      <c r="E61" s="743">
        <f>ROUND(SUM(D61:D69),4)</f>
        <v>-3.15E-2</v>
      </c>
      <c r="F61" s="1812">
        <f>IF(E2="办公",SUMIF(L1:L12,G2,N1:N12),"——")</f>
        <v>0.15</v>
      </c>
      <c r="G61" s="1062">
        <f>H61</f>
        <v>1.8700000000000001E-2</v>
      </c>
      <c r="H61" s="1065">
        <f t="shared" ref="H61:H69" si="14">IFERROR(ROUNDDOWN($F$61*I61/2,4),"——")</f>
        <v>1.8700000000000001E-2</v>
      </c>
      <c r="I61" s="3364">
        <v>0.25</v>
      </c>
      <c r="J61" s="1063">
        <f t="shared" ref="J61:J69" si="15">K61+$G61</f>
        <v>3.7400000000000003E-2</v>
      </c>
      <c r="K61" s="1063">
        <f t="shared" ref="K61:K69" si="16">$L61+$G61</f>
        <v>1.8700000000000001E-2</v>
      </c>
      <c r="L61" s="1063">
        <v>0</v>
      </c>
      <c r="M61" s="1063">
        <f t="shared" ref="M61:N69" si="17">L61-$G61</f>
        <v>-1.8700000000000001E-2</v>
      </c>
      <c r="N61" s="1063">
        <f t="shared" si="17"/>
        <v>-3.7400000000000003E-2</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t="s">
        <v>3514</v>
      </c>
      <c r="D62" s="1064">
        <f t="shared" si="13"/>
        <v>-1.95E-2</v>
      </c>
      <c r="E62" s="744"/>
      <c r="F62" s="1812"/>
      <c r="G62" s="1062">
        <f t="shared" ref="G62:G69" si="18">H62</f>
        <v>1.95E-2</v>
      </c>
      <c r="H62" s="1065">
        <f t="shared" si="14"/>
        <v>1.95E-2</v>
      </c>
      <c r="I62" s="3364">
        <v>0.26</v>
      </c>
      <c r="J62" s="1063">
        <f t="shared" si="15"/>
        <v>3.9E-2</v>
      </c>
      <c r="K62" s="1063">
        <f t="shared" si="16"/>
        <v>1.95E-2</v>
      </c>
      <c r="L62" s="1063">
        <v>0</v>
      </c>
      <c r="M62" s="1063">
        <f t="shared" si="17"/>
        <v>-1.95E-2</v>
      </c>
      <c r="N62" s="1063">
        <f t="shared" si="17"/>
        <v>-3.9E-2</v>
      </c>
      <c r="AA62" s="1119"/>
      <c r="AB62" s="1119"/>
      <c r="AC62" s="1119"/>
      <c r="AD62" s="1119"/>
      <c r="AE62" s="1119"/>
      <c r="AF62" s="1119"/>
      <c r="AG62" s="1119"/>
      <c r="AH62" s="1119"/>
      <c r="AI62" s="1119"/>
      <c r="AJ62" s="1119"/>
      <c r="AK62" s="1119"/>
    </row>
    <row r="63" spans="1:37" s="1118" customFormat="1" ht="36">
      <c r="A63" s="3366" t="s">
        <v>3266</v>
      </c>
      <c r="B63" s="2132">
        <f>估价对象房地状况!C19</f>
        <v>0</v>
      </c>
      <c r="C63" s="2042" t="s">
        <v>3431</v>
      </c>
      <c r="D63" s="1064">
        <f t="shared" si="13"/>
        <v>0</v>
      </c>
      <c r="E63" s="744"/>
      <c r="F63" s="1812"/>
      <c r="G63" s="1062">
        <f t="shared" si="18"/>
        <v>8.2000000000000007E-3</v>
      </c>
      <c r="H63" s="1065">
        <f t="shared" si="14"/>
        <v>8.2000000000000007E-3</v>
      </c>
      <c r="I63" s="3364">
        <v>0.11</v>
      </c>
      <c r="J63" s="1063">
        <f t="shared" si="15"/>
        <v>1.6400000000000001E-2</v>
      </c>
      <c r="K63" s="1063">
        <f t="shared" si="16"/>
        <v>8.2000000000000007E-3</v>
      </c>
      <c r="L63" s="1063">
        <v>0</v>
      </c>
      <c r="M63" s="1063">
        <f t="shared" si="17"/>
        <v>-8.2000000000000007E-3</v>
      </c>
      <c r="N63" s="1063">
        <f t="shared" si="17"/>
        <v>-1.6400000000000001E-2</v>
      </c>
      <c r="AA63" s="1119"/>
      <c r="AB63" s="1119"/>
      <c r="AC63" s="1119"/>
      <c r="AD63" s="1119"/>
      <c r="AE63" s="1119"/>
      <c r="AF63" s="1119"/>
      <c r="AG63" s="1119"/>
      <c r="AH63" s="1119"/>
      <c r="AI63" s="1119"/>
      <c r="AJ63" s="1119"/>
      <c r="AK63" s="1119"/>
    </row>
    <row r="64" spans="1:37" s="1118" customFormat="1" ht="36.75">
      <c r="A64" s="2128" t="s">
        <v>2053</v>
      </c>
      <c r="B64" s="2133" t="s">
        <v>2054</v>
      </c>
      <c r="C64" s="2042" t="s">
        <v>3430</v>
      </c>
      <c r="D64" s="1064">
        <f t="shared" si="13"/>
        <v>3.7000000000000002E-3</v>
      </c>
      <c r="E64" s="744"/>
      <c r="F64" s="1812"/>
      <c r="G64" s="1062">
        <f t="shared" si="18"/>
        <v>3.7000000000000002E-3</v>
      </c>
      <c r="H64" s="1065">
        <f t="shared" si="14"/>
        <v>3.7000000000000002E-3</v>
      </c>
      <c r="I64" s="3364">
        <v>0.05</v>
      </c>
      <c r="J64" s="1063">
        <f t="shared" si="15"/>
        <v>7.4000000000000003E-3</v>
      </c>
      <c r="K64" s="1063">
        <f t="shared" si="16"/>
        <v>3.7000000000000002E-3</v>
      </c>
      <c r="L64" s="1063">
        <v>0</v>
      </c>
      <c r="M64" s="1063">
        <f t="shared" si="17"/>
        <v>-3.7000000000000002E-3</v>
      </c>
      <c r="N64" s="1063">
        <f t="shared" si="17"/>
        <v>-7.4000000000000003E-3</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t="s">
        <v>3430</v>
      </c>
      <c r="D65" s="1064">
        <f t="shared" si="13"/>
        <v>3.7000000000000002E-3</v>
      </c>
      <c r="E65" s="744"/>
      <c r="F65" s="1812"/>
      <c r="G65" s="1062">
        <f t="shared" si="18"/>
        <v>3.7000000000000002E-3</v>
      </c>
      <c r="H65" s="1065">
        <f t="shared" si="14"/>
        <v>3.7000000000000002E-3</v>
      </c>
      <c r="I65" s="3364">
        <v>0.05</v>
      </c>
      <c r="J65" s="1063">
        <f t="shared" si="15"/>
        <v>7.4000000000000003E-3</v>
      </c>
      <c r="K65" s="1063">
        <f t="shared" si="16"/>
        <v>3.7000000000000002E-3</v>
      </c>
      <c r="L65" s="1063">
        <v>0</v>
      </c>
      <c r="M65" s="1063">
        <f t="shared" si="17"/>
        <v>-3.7000000000000002E-3</v>
      </c>
      <c r="N65" s="1063">
        <f t="shared" si="17"/>
        <v>-7.4000000000000003E-3</v>
      </c>
      <c r="AA65" s="1119"/>
      <c r="AB65" s="1119"/>
      <c r="AC65" s="1119"/>
      <c r="AD65" s="1119"/>
      <c r="AE65" s="1119"/>
      <c r="AF65" s="1119"/>
      <c r="AG65" s="1119"/>
      <c r="AH65" s="1119"/>
      <c r="AI65" s="1119"/>
      <c r="AJ65" s="1119"/>
      <c r="AK65" s="1119"/>
    </row>
    <row r="66" spans="1:37" s="1118" customFormat="1" ht="24">
      <c r="A66" s="2128" t="s">
        <v>2056</v>
      </c>
      <c r="B66" s="2134" t="s">
        <v>2057</v>
      </c>
      <c r="C66" s="2042" t="s">
        <v>3430</v>
      </c>
      <c r="D66" s="1064">
        <f t="shared" si="13"/>
        <v>4.4999999999999997E-3</v>
      </c>
      <c r="E66" s="744"/>
      <c r="F66" s="1812"/>
      <c r="G66" s="1062">
        <f t="shared" si="18"/>
        <v>4.4999999999999997E-3</v>
      </c>
      <c r="H66" s="1065">
        <f t="shared" si="14"/>
        <v>4.4999999999999997E-3</v>
      </c>
      <c r="I66" s="3364">
        <v>0.06</v>
      </c>
      <c r="J66" s="1063">
        <f t="shared" si="15"/>
        <v>8.9999999999999993E-3</v>
      </c>
      <c r="K66" s="1063">
        <f t="shared" si="16"/>
        <v>4.4999999999999997E-3</v>
      </c>
      <c r="L66" s="1063">
        <v>0</v>
      </c>
      <c r="M66" s="1063">
        <f t="shared" si="17"/>
        <v>-4.4999999999999997E-3</v>
      </c>
      <c r="N66" s="1063">
        <f t="shared" si="17"/>
        <v>-8.9999999999999993E-3</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t="s">
        <v>3431</v>
      </c>
      <c r="D67" s="1064">
        <f t="shared" si="13"/>
        <v>0</v>
      </c>
      <c r="E67" s="744"/>
      <c r="F67" s="1812"/>
      <c r="G67" s="1062">
        <f t="shared" si="18"/>
        <v>4.4999999999999997E-3</v>
      </c>
      <c r="H67" s="1065">
        <f t="shared" si="14"/>
        <v>4.4999999999999997E-3</v>
      </c>
      <c r="I67" s="3364">
        <v>0.06</v>
      </c>
      <c r="J67" s="1063">
        <f t="shared" si="15"/>
        <v>8.9999999999999993E-3</v>
      </c>
      <c r="K67" s="1063">
        <f t="shared" si="16"/>
        <v>4.4999999999999997E-3</v>
      </c>
      <c r="L67" s="1063">
        <v>0</v>
      </c>
      <c r="M67" s="1063">
        <f t="shared" si="17"/>
        <v>-4.4999999999999997E-3</v>
      </c>
      <c r="N67" s="1063">
        <f t="shared" si="17"/>
        <v>-8.9999999999999993E-3</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t="s">
        <v>3431</v>
      </c>
      <c r="D68" s="1064">
        <f t="shared" si="13"/>
        <v>0</v>
      </c>
      <c r="E68" s="744"/>
      <c r="F68" s="1812"/>
      <c r="G68" s="1062">
        <f t="shared" si="18"/>
        <v>6.7000000000000002E-3</v>
      </c>
      <c r="H68" s="1065">
        <f t="shared" si="14"/>
        <v>6.7000000000000002E-3</v>
      </c>
      <c r="I68" s="3364">
        <v>0.09</v>
      </c>
      <c r="J68" s="1063">
        <f t="shared" si="15"/>
        <v>1.34E-2</v>
      </c>
      <c r="K68" s="1063">
        <f t="shared" si="16"/>
        <v>6.7000000000000002E-3</v>
      </c>
      <c r="L68" s="1063">
        <v>0</v>
      </c>
      <c r="M68" s="1063">
        <f t="shared" si="17"/>
        <v>-6.7000000000000002E-3</v>
      </c>
      <c r="N68" s="1063">
        <f t="shared" si="17"/>
        <v>-1.34E-2</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t="s">
        <v>3514</v>
      </c>
      <c r="D69" s="1064">
        <f t="shared" si="13"/>
        <v>-5.1999999999999998E-3</v>
      </c>
      <c r="E69" s="745"/>
      <c r="F69" s="1812"/>
      <c r="G69" s="1062">
        <f t="shared" si="18"/>
        <v>5.1999999999999998E-3</v>
      </c>
      <c r="H69" s="1065">
        <f t="shared" si="14"/>
        <v>5.1999999999999998E-3</v>
      </c>
      <c r="I69" s="3365">
        <v>7.0000000000000007E-2</v>
      </c>
      <c r="J69" s="1063">
        <f t="shared" si="15"/>
        <v>1.04E-2</v>
      </c>
      <c r="K69" s="1063">
        <f t="shared" si="16"/>
        <v>5.1999999999999998E-3</v>
      </c>
      <c r="L69" s="1063">
        <v>0</v>
      </c>
      <c r="M69" s="1063">
        <f t="shared" si="17"/>
        <v>-5.1999999999999998E-3</v>
      </c>
      <c r="N69" s="1063">
        <f t="shared" si="17"/>
        <v>-1.04E-2</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9">SUMIF($J$71:$N$71,C72,J72:N72)</f>
        <v>0</v>
      </c>
      <c r="E72" s="743">
        <f>ROUND(SUM(D72:D80),4)</f>
        <v>0</v>
      </c>
      <c r="F72" s="1812" t="str">
        <f>IF(E2="住宅",SUMIF(L1:L12,G2,N1:N12),"——")</f>
        <v>——</v>
      </c>
      <c r="G72" s="1062"/>
      <c r="H72" s="1065" t="str">
        <f t="shared" ref="H72:H80" si="20">IFERROR(ROUNDDOWN($F$72*I72/2,4),"——")</f>
        <v>——</v>
      </c>
      <c r="I72" s="3364">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9"/>
        <v>0</v>
      </c>
      <c r="E73" s="746"/>
      <c r="F73" s="1812"/>
      <c r="G73" s="1062"/>
      <c r="H73" s="1065" t="str">
        <f t="shared" si="20"/>
        <v>——</v>
      </c>
      <c r="I73" s="3364">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5" customFormat="1" ht="36">
      <c r="A74" s="3366" t="s">
        <v>3266</v>
      </c>
      <c r="B74" s="2132">
        <f>估价对象房地状况!C19</f>
        <v>0</v>
      </c>
      <c r="C74" s="2042"/>
      <c r="D74" s="1064">
        <f t="shared" si="19"/>
        <v>0</v>
      </c>
      <c r="E74" s="746"/>
      <c r="F74" s="1812"/>
      <c r="G74" s="1062"/>
      <c r="H74" s="1065" t="str">
        <f t="shared" si="20"/>
        <v>——</v>
      </c>
      <c r="I74" s="3364">
        <v>0.1</v>
      </c>
      <c r="J74" s="1063">
        <f t="shared" si="21"/>
        <v>0</v>
      </c>
      <c r="K74" s="1063">
        <f t="shared" si="22"/>
        <v>0</v>
      </c>
      <c r="L74" s="1063">
        <v>0</v>
      </c>
      <c r="M74" s="1063">
        <f t="shared" si="23"/>
        <v>0</v>
      </c>
      <c r="N74" s="1063">
        <f t="shared" si="23"/>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9"/>
        <v>0</v>
      </c>
      <c r="E75" s="746"/>
      <c r="F75" s="1812"/>
      <c r="G75" s="1062"/>
      <c r="H75" s="1065" t="str">
        <f t="shared" si="20"/>
        <v>——</v>
      </c>
      <c r="I75" s="3364">
        <v>0.05</v>
      </c>
      <c r="J75" s="1063">
        <f t="shared" si="21"/>
        <v>0</v>
      </c>
      <c r="K75" s="1063">
        <f t="shared" si="22"/>
        <v>0</v>
      </c>
      <c r="L75" s="1063">
        <v>0</v>
      </c>
      <c r="M75" s="1063">
        <f t="shared" si="23"/>
        <v>0</v>
      </c>
      <c r="N75" s="1063">
        <f t="shared" si="23"/>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9"/>
        <v>0</v>
      </c>
      <c r="E76" s="746"/>
      <c r="F76" s="1812"/>
      <c r="G76" s="1062"/>
      <c r="H76" s="1065" t="str">
        <f t="shared" si="20"/>
        <v>——</v>
      </c>
      <c r="I76" s="3364">
        <v>0.08</v>
      </c>
      <c r="J76" s="1063">
        <f t="shared" si="21"/>
        <v>0</v>
      </c>
      <c r="K76" s="1063">
        <f t="shared" si="22"/>
        <v>0</v>
      </c>
      <c r="L76" s="1063">
        <v>0</v>
      </c>
      <c r="M76" s="1063">
        <f t="shared" si="23"/>
        <v>0</v>
      </c>
      <c r="N76" s="1063">
        <f t="shared" si="23"/>
        <v>0</v>
      </c>
      <c r="O76" s="1118"/>
      <c r="P76" s="1118"/>
      <c r="Z76" s="1996"/>
      <c r="AA76" s="2051"/>
      <c r="AG76" s="1120"/>
      <c r="AK76" s="2051"/>
    </row>
    <row r="77" spans="1:37" ht="25.5">
      <c r="A77" s="2128" t="s">
        <v>2059</v>
      </c>
      <c r="B77" s="1324" t="str">
        <f>估价对象房地状况!C22</f>
        <v>估价对象所在区域基础设施水平</v>
      </c>
      <c r="C77" s="2042"/>
      <c r="D77" s="1064">
        <f t="shared" si="19"/>
        <v>0</v>
      </c>
      <c r="E77" s="746"/>
      <c r="F77" s="1812"/>
      <c r="G77" s="1062"/>
      <c r="H77" s="1065" t="str">
        <f t="shared" si="20"/>
        <v>——</v>
      </c>
      <c r="I77" s="3364">
        <v>0.09</v>
      </c>
      <c r="J77" s="1063">
        <f t="shared" si="21"/>
        <v>0</v>
      </c>
      <c r="K77" s="1063">
        <f t="shared" si="22"/>
        <v>0</v>
      </c>
      <c r="L77" s="1063">
        <v>0</v>
      </c>
      <c r="M77" s="1063">
        <f t="shared" si="23"/>
        <v>0</v>
      </c>
      <c r="N77" s="1063">
        <f t="shared" si="23"/>
        <v>0</v>
      </c>
      <c r="O77" s="1118"/>
      <c r="P77" s="1118"/>
      <c r="Z77" s="1996"/>
      <c r="AA77" s="2051"/>
      <c r="AG77" s="1120"/>
      <c r="AK77" s="2051"/>
    </row>
    <row r="78" spans="1:37" ht="24">
      <c r="A78" s="2128" t="s">
        <v>2056</v>
      </c>
      <c r="B78" s="2134" t="s">
        <v>2057</v>
      </c>
      <c r="C78" s="2042"/>
      <c r="D78" s="1064">
        <f t="shared" si="19"/>
        <v>0</v>
      </c>
      <c r="E78" s="746"/>
      <c r="F78" s="1812"/>
      <c r="G78" s="1062"/>
      <c r="H78" s="1065" t="str">
        <f t="shared" si="20"/>
        <v>——</v>
      </c>
      <c r="I78" s="3364">
        <v>0.05</v>
      </c>
      <c r="J78" s="1063">
        <f t="shared" si="21"/>
        <v>0</v>
      </c>
      <c r="K78" s="1063">
        <f t="shared" si="22"/>
        <v>0</v>
      </c>
      <c r="L78" s="1063">
        <v>0</v>
      </c>
      <c r="M78" s="1063">
        <f t="shared" si="23"/>
        <v>0</v>
      </c>
      <c r="N78" s="1063">
        <f t="shared" si="23"/>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9"/>
        <v>0</v>
      </c>
      <c r="E79" s="746"/>
      <c r="F79" s="1812"/>
      <c r="G79" s="1062"/>
      <c r="H79" s="1065" t="str">
        <f t="shared" si="20"/>
        <v>——</v>
      </c>
      <c r="I79" s="3364">
        <v>0.12</v>
      </c>
      <c r="J79" s="1063">
        <f t="shared" si="21"/>
        <v>0</v>
      </c>
      <c r="K79" s="1063">
        <f t="shared" si="22"/>
        <v>0</v>
      </c>
      <c r="L79" s="1063">
        <v>0</v>
      </c>
      <c r="M79" s="1063">
        <f t="shared" si="23"/>
        <v>0</v>
      </c>
      <c r="N79" s="1063">
        <f t="shared" si="23"/>
        <v>0</v>
      </c>
      <c r="Z79" s="1996"/>
      <c r="AA79" s="2051"/>
      <c r="AG79" s="1120"/>
      <c r="AK79" s="2051"/>
    </row>
    <row r="80" spans="1:37" ht="24.75" thickBot="1">
      <c r="A80" s="2136" t="s">
        <v>2067</v>
      </c>
      <c r="B80" s="2140"/>
      <c r="C80" s="2042"/>
      <c r="D80" s="1064">
        <f t="shared" si="19"/>
        <v>0</v>
      </c>
      <c r="E80" s="747"/>
      <c r="F80" s="1812"/>
      <c r="G80" s="1062"/>
      <c r="H80" s="1065" t="str">
        <f t="shared" si="20"/>
        <v>——</v>
      </c>
      <c r="I80" s="3365">
        <v>0.05</v>
      </c>
      <c r="J80" s="1063">
        <f t="shared" si="21"/>
        <v>0</v>
      </c>
      <c r="K80" s="1063">
        <f t="shared" si="22"/>
        <v>0</v>
      </c>
      <c r="L80" s="1063">
        <v>0</v>
      </c>
      <c r="M80" s="1063">
        <f t="shared" si="23"/>
        <v>0</v>
      </c>
      <c r="N80" s="1063">
        <f t="shared" si="23"/>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4">SUMIF($J$82:$N$82,C83,J83:N83)</f>
        <v>0</v>
      </c>
      <c r="E83" s="743">
        <f>ROUND(SUM(D83:D90),4)</f>
        <v>0</v>
      </c>
      <c r="F83" s="1812" t="str">
        <f>IF(E2="工业",SUMIF(L1:L12,G2,N1:N12),"——")</f>
        <v>——</v>
      </c>
      <c r="G83" s="1062"/>
      <c r="H83" s="1065" t="str">
        <f t="shared" ref="H83:H90" si="25">IFERROR(ROUNDDOWN($F$83*I83/2,4),"——")</f>
        <v>——</v>
      </c>
      <c r="I83" s="3364">
        <v>0.26</v>
      </c>
      <c r="J83" s="1063">
        <f t="shared" ref="J83:J90" si="26">K83+$G83</f>
        <v>0</v>
      </c>
      <c r="K83" s="1063">
        <f t="shared" ref="K83:K90" si="27">$L83+$G83</f>
        <v>0</v>
      </c>
      <c r="L83" s="1063">
        <v>0</v>
      </c>
      <c r="M83" s="1063">
        <f t="shared" ref="M83:N90" si="28">L83-$G83</f>
        <v>0</v>
      </c>
      <c r="N83" s="1063">
        <f t="shared" si="28"/>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4"/>
        <v>0</v>
      </c>
      <c r="E84" s="746"/>
      <c r="F84" s="1812"/>
      <c r="G84" s="1062"/>
      <c r="H84" s="1065" t="str">
        <f t="shared" si="25"/>
        <v>——</v>
      </c>
      <c r="I84" s="3364">
        <v>0.3</v>
      </c>
      <c r="J84" s="1063">
        <f t="shared" si="26"/>
        <v>0</v>
      </c>
      <c r="K84" s="1063">
        <f t="shared" si="27"/>
        <v>0</v>
      </c>
      <c r="L84" s="1063">
        <v>0</v>
      </c>
      <c r="M84" s="1063">
        <f t="shared" si="28"/>
        <v>0</v>
      </c>
      <c r="N84" s="1063">
        <f t="shared" si="28"/>
        <v>0</v>
      </c>
      <c r="Z84" s="1996"/>
      <c r="AA84" s="2051"/>
      <c r="AG84" s="1120"/>
      <c r="AK84" s="2051"/>
    </row>
    <row r="85" spans="1:37" ht="36">
      <c r="A85" s="3366" t="s">
        <v>3267</v>
      </c>
      <c r="B85" s="2132">
        <f>估价对象房地状况!G17</f>
        <v>0</v>
      </c>
      <c r="C85" s="2042"/>
      <c r="D85" s="1064">
        <f t="shared" si="24"/>
        <v>0</v>
      </c>
      <c r="E85" s="746"/>
      <c r="F85" s="1812"/>
      <c r="G85" s="1062"/>
      <c r="H85" s="1065" t="str">
        <f t="shared" si="25"/>
        <v>——</v>
      </c>
      <c r="I85" s="3364">
        <v>0.1</v>
      </c>
      <c r="J85" s="1063">
        <f t="shared" si="26"/>
        <v>0</v>
      </c>
      <c r="K85" s="1063">
        <f t="shared" si="27"/>
        <v>0</v>
      </c>
      <c r="L85" s="1063">
        <v>0</v>
      </c>
      <c r="M85" s="1063">
        <f t="shared" si="28"/>
        <v>0</v>
      </c>
      <c r="N85" s="1063">
        <f t="shared" si="28"/>
        <v>0</v>
      </c>
      <c r="Z85" s="1996"/>
      <c r="AA85" s="2051"/>
      <c r="AG85" s="1120"/>
      <c r="AK85" s="2051"/>
    </row>
    <row r="86" spans="1:37" ht="14.25">
      <c r="A86" s="2128" t="s">
        <v>2066</v>
      </c>
      <c r="B86" s="2132">
        <f>估价对象房地状况!G22</f>
        <v>0</v>
      </c>
      <c r="C86" s="2042"/>
      <c r="D86" s="1064">
        <f t="shared" si="24"/>
        <v>0</v>
      </c>
      <c r="E86" s="746"/>
      <c r="F86" s="1812"/>
      <c r="G86" s="1062"/>
      <c r="H86" s="1065" t="str">
        <f t="shared" si="25"/>
        <v>——</v>
      </c>
      <c r="I86" s="3364">
        <v>0.05</v>
      </c>
      <c r="J86" s="1063">
        <f t="shared" si="26"/>
        <v>0</v>
      </c>
      <c r="K86" s="1063">
        <f t="shared" si="27"/>
        <v>0</v>
      </c>
      <c r="L86" s="1063">
        <v>0</v>
      </c>
      <c r="M86" s="1063">
        <f t="shared" si="28"/>
        <v>0</v>
      </c>
      <c r="N86" s="1063">
        <f t="shared" si="28"/>
        <v>0</v>
      </c>
      <c r="Z86" s="1996"/>
      <c r="AA86" s="2051"/>
      <c r="AG86" s="1120"/>
      <c r="AK86" s="2051"/>
    </row>
    <row r="87" spans="1:37" ht="25.5">
      <c r="A87" s="2128" t="s">
        <v>2058</v>
      </c>
      <c r="B87" s="1324" t="str">
        <f>估价对象房地状况!G19</f>
        <v>估价对象所在区域公共配套设施齐备情况</v>
      </c>
      <c r="C87" s="2042"/>
      <c r="D87" s="1064">
        <f t="shared" si="24"/>
        <v>0</v>
      </c>
      <c r="E87" s="746"/>
      <c r="F87" s="1812"/>
      <c r="G87" s="1062"/>
      <c r="H87" s="1065" t="str">
        <f t="shared" si="25"/>
        <v>——</v>
      </c>
      <c r="I87" s="3364">
        <v>0.06</v>
      </c>
      <c r="J87" s="1063">
        <f t="shared" si="26"/>
        <v>0</v>
      </c>
      <c r="K87" s="1063">
        <f t="shared" si="27"/>
        <v>0</v>
      </c>
      <c r="L87" s="1063">
        <v>0</v>
      </c>
      <c r="M87" s="1063">
        <f t="shared" si="28"/>
        <v>0</v>
      </c>
      <c r="N87" s="1063">
        <f t="shared" si="28"/>
        <v>0</v>
      </c>
    </row>
    <row r="88" spans="1:37" ht="25.5">
      <c r="A88" s="2128" t="s">
        <v>2059</v>
      </c>
      <c r="B88" s="1324" t="str">
        <f>估价对象房地状况!G20</f>
        <v>估价对象所在区域基础设施水平</v>
      </c>
      <c r="C88" s="2042"/>
      <c r="D88" s="1064">
        <f t="shared" si="24"/>
        <v>0</v>
      </c>
      <c r="E88" s="746"/>
      <c r="F88" s="1812"/>
      <c r="G88" s="1062"/>
      <c r="H88" s="1065" t="str">
        <f t="shared" si="25"/>
        <v>——</v>
      </c>
      <c r="I88" s="3364">
        <v>0.12</v>
      </c>
      <c r="J88" s="1063">
        <f t="shared" si="26"/>
        <v>0</v>
      </c>
      <c r="K88" s="1063">
        <f t="shared" si="27"/>
        <v>0</v>
      </c>
      <c r="L88" s="1063">
        <v>0</v>
      </c>
      <c r="M88" s="1063">
        <f t="shared" si="28"/>
        <v>0</v>
      </c>
      <c r="N88" s="1063">
        <f t="shared" si="28"/>
        <v>0</v>
      </c>
    </row>
    <row r="89" spans="1:37" ht="24">
      <c r="A89" s="2128" t="s">
        <v>2056</v>
      </c>
      <c r="B89" s="2134" t="s">
        <v>2070</v>
      </c>
      <c r="C89" s="2042"/>
      <c r="D89" s="1064">
        <f t="shared" si="24"/>
        <v>0</v>
      </c>
      <c r="E89" s="746"/>
      <c r="F89" s="1812"/>
      <c r="G89" s="1062"/>
      <c r="H89" s="1065" t="str">
        <f t="shared" si="25"/>
        <v>——</v>
      </c>
      <c r="I89" s="3364">
        <v>0.06</v>
      </c>
      <c r="J89" s="1063">
        <f t="shared" si="26"/>
        <v>0</v>
      </c>
      <c r="K89" s="1063">
        <f t="shared" si="27"/>
        <v>0</v>
      </c>
      <c r="L89" s="1063">
        <v>0</v>
      </c>
      <c r="M89" s="1063">
        <f t="shared" si="28"/>
        <v>0</v>
      </c>
      <c r="N89" s="1063">
        <f t="shared" si="28"/>
        <v>0</v>
      </c>
    </row>
    <row r="90" spans="1:37" ht="39" thickBot="1">
      <c r="A90" s="2136" t="s">
        <v>2071</v>
      </c>
      <c r="B90" s="2141" t="str">
        <f>估价对象房地状况!G18</f>
        <v>该园区内是否有污染型企业，绿化情况，卫生条件，整体环境状况判断</v>
      </c>
      <c r="C90" s="2042"/>
      <c r="D90" s="1064">
        <f t="shared" si="24"/>
        <v>0</v>
      </c>
      <c r="E90" s="747"/>
      <c r="F90" s="1812"/>
      <c r="G90" s="1062"/>
      <c r="H90" s="1065" t="str">
        <f t="shared" si="25"/>
        <v>——</v>
      </c>
      <c r="I90" s="3365">
        <v>0.05</v>
      </c>
      <c r="J90" s="1063">
        <f t="shared" si="26"/>
        <v>0</v>
      </c>
      <c r="K90" s="1063">
        <f t="shared" si="27"/>
        <v>0</v>
      </c>
      <c r="L90" s="1063">
        <v>0</v>
      </c>
      <c r="M90" s="1063">
        <f t="shared" si="28"/>
        <v>0</v>
      </c>
      <c r="N90" s="1063">
        <f t="shared" si="28"/>
        <v>0</v>
      </c>
    </row>
    <row r="91" spans="1:37" ht="15">
      <c r="A91" s="3374" t="s">
        <v>2610</v>
      </c>
      <c r="B91" s="3375">
        <f>1+E93</f>
        <v>1</v>
      </c>
      <c r="C91" s="3368"/>
      <c r="D91" s="3369"/>
      <c r="E91" s="1812"/>
      <c r="F91" s="1812"/>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9">K93+$G93</f>
        <v>0</v>
      </c>
      <c r="K93" s="3342">
        <f t="shared" ref="K93:K101" si="30">$L93+$G93</f>
        <v>0</v>
      </c>
      <c r="L93" s="3342">
        <v>0</v>
      </c>
      <c r="M93" s="3342">
        <f t="shared" ref="M93:N101" si="31">L93-$G93</f>
        <v>0</v>
      </c>
      <c r="N93" s="3342">
        <f t="shared" si="31"/>
        <v>0</v>
      </c>
    </row>
    <row r="94" spans="1:37" ht="38.25">
      <c r="A94" s="3376" t="s">
        <v>3270</v>
      </c>
      <c r="B94" s="3367" t="str">
        <f>估价对象房地状况!C18</f>
        <v>估价对象周边道路状况、公共交通通达情况、停车便捷程度，综合评价交通便捷度较好</v>
      </c>
      <c r="C94" s="2042"/>
      <c r="D94" s="3363">
        <f t="shared" ref="D94:D101" si="32">SUMIF($J$60:$N$60,C94,J94:N94)</f>
        <v>0</v>
      </c>
      <c r="E94" s="3380"/>
      <c r="F94" s="1812"/>
      <c r="G94" s="3370"/>
      <c r="H94" s="3418" t="str">
        <f>IFERROR(ROUNDDOWN($F$93*I94/2,4),"——")</f>
        <v>——</v>
      </c>
      <c r="I94" s="3364">
        <v>0.26</v>
      </c>
      <c r="J94" s="3342">
        <f t="shared" si="29"/>
        <v>0</v>
      </c>
      <c r="K94" s="3342">
        <f t="shared" si="30"/>
        <v>0</v>
      </c>
      <c r="L94" s="3342">
        <v>0</v>
      </c>
      <c r="M94" s="3342">
        <f t="shared" si="31"/>
        <v>0</v>
      </c>
      <c r="N94" s="3342">
        <f t="shared" si="31"/>
        <v>0</v>
      </c>
    </row>
    <row r="95" spans="1:37" ht="36">
      <c r="A95" s="3366" t="s">
        <v>3266</v>
      </c>
      <c r="B95" s="3367">
        <f>估价对象房地状况!C19</f>
        <v>0</v>
      </c>
      <c r="C95" s="2042"/>
      <c r="D95" s="3363">
        <f t="shared" si="32"/>
        <v>0</v>
      </c>
      <c r="E95" s="3380"/>
      <c r="F95" s="1812"/>
      <c r="G95" s="3370"/>
      <c r="H95" s="3418" t="str">
        <f t="shared" ref="H95:H101" si="33">IFERROR(ROUNDDOWN($F$93*I95/2,4),"——")</f>
        <v>——</v>
      </c>
      <c r="I95" s="3364">
        <v>0.11</v>
      </c>
      <c r="J95" s="3342">
        <f t="shared" si="29"/>
        <v>0</v>
      </c>
      <c r="K95" s="3342">
        <f t="shared" si="30"/>
        <v>0</v>
      </c>
      <c r="L95" s="3342">
        <v>0</v>
      </c>
      <c r="M95" s="3342">
        <f t="shared" si="31"/>
        <v>0</v>
      </c>
      <c r="N95" s="3342">
        <f t="shared" si="31"/>
        <v>0</v>
      </c>
    </row>
    <row r="96" spans="1:37" ht="36.75">
      <c r="A96" s="3376" t="s">
        <v>3271</v>
      </c>
      <c r="B96" s="3382" t="s">
        <v>3282</v>
      </c>
      <c r="C96" s="2042"/>
      <c r="D96" s="3363">
        <f t="shared" si="32"/>
        <v>0</v>
      </c>
      <c r="E96" s="3380"/>
      <c r="F96" s="1812"/>
      <c r="G96" s="3370"/>
      <c r="H96" s="3418" t="str">
        <f t="shared" si="33"/>
        <v>——</v>
      </c>
      <c r="I96" s="3364">
        <v>0.05</v>
      </c>
      <c r="J96" s="3342">
        <f t="shared" si="29"/>
        <v>0</v>
      </c>
      <c r="K96" s="3342">
        <f t="shared" si="30"/>
        <v>0</v>
      </c>
      <c r="L96" s="3342">
        <v>0</v>
      </c>
      <c r="M96" s="3342">
        <f t="shared" si="31"/>
        <v>0</v>
      </c>
      <c r="N96" s="3342">
        <f t="shared" si="31"/>
        <v>0</v>
      </c>
    </row>
    <row r="97" spans="1:14" ht="24">
      <c r="A97" s="3376" t="s">
        <v>3272</v>
      </c>
      <c r="B97" s="3367">
        <f>估价对象房地状况!C24</f>
        <v>0</v>
      </c>
      <c r="C97" s="2042"/>
      <c r="D97" s="3363">
        <f t="shared" si="32"/>
        <v>0</v>
      </c>
      <c r="E97" s="3380"/>
      <c r="F97" s="1812"/>
      <c r="G97" s="3370"/>
      <c r="H97" s="3418" t="str">
        <f t="shared" si="33"/>
        <v>——</v>
      </c>
      <c r="I97" s="3364">
        <v>0.05</v>
      </c>
      <c r="J97" s="3342">
        <f t="shared" si="29"/>
        <v>0</v>
      </c>
      <c r="K97" s="3342">
        <f t="shared" si="30"/>
        <v>0</v>
      </c>
      <c r="L97" s="3342">
        <v>0</v>
      </c>
      <c r="M97" s="3342">
        <f t="shared" si="31"/>
        <v>0</v>
      </c>
      <c r="N97" s="3342">
        <f t="shared" si="31"/>
        <v>0</v>
      </c>
    </row>
    <row r="98" spans="1:14" ht="24">
      <c r="A98" s="3376" t="s">
        <v>3273</v>
      </c>
      <c r="B98" s="3383" t="s">
        <v>3283</v>
      </c>
      <c r="C98" s="2042"/>
      <c r="D98" s="3363">
        <f t="shared" si="32"/>
        <v>0</v>
      </c>
      <c r="E98" s="3380"/>
      <c r="F98" s="1812"/>
      <c r="G98" s="3370"/>
      <c r="H98" s="3418" t="str">
        <f t="shared" si="33"/>
        <v>——</v>
      </c>
      <c r="I98" s="3364">
        <v>0.06</v>
      </c>
      <c r="J98" s="3342">
        <f t="shared" si="29"/>
        <v>0</v>
      </c>
      <c r="K98" s="3342">
        <f t="shared" si="30"/>
        <v>0</v>
      </c>
      <c r="L98" s="3342">
        <v>0</v>
      </c>
      <c r="M98" s="3342">
        <f t="shared" si="31"/>
        <v>0</v>
      </c>
      <c r="N98" s="3342">
        <f t="shared" si="31"/>
        <v>0</v>
      </c>
    </row>
    <row r="99" spans="1:14" ht="25.5">
      <c r="A99" s="3376" t="s">
        <v>3274</v>
      </c>
      <c r="B99" s="3367" t="str">
        <f>估价对象房地状况!C21</f>
        <v>估价对象所在区域公共配套设施齐备情况</v>
      </c>
      <c r="C99" s="2042"/>
      <c r="D99" s="3363">
        <f t="shared" si="32"/>
        <v>0</v>
      </c>
      <c r="E99" s="3380"/>
      <c r="F99" s="1812"/>
      <c r="G99" s="3370"/>
      <c r="H99" s="3418" t="str">
        <f t="shared" si="33"/>
        <v>——</v>
      </c>
      <c r="I99" s="3364">
        <v>0.06</v>
      </c>
      <c r="J99" s="3342">
        <f t="shared" si="29"/>
        <v>0</v>
      </c>
      <c r="K99" s="3342">
        <f t="shared" si="30"/>
        <v>0</v>
      </c>
      <c r="L99" s="3342">
        <v>0</v>
      </c>
      <c r="M99" s="3342">
        <f t="shared" si="31"/>
        <v>0</v>
      </c>
      <c r="N99" s="3342">
        <f t="shared" si="31"/>
        <v>0</v>
      </c>
    </row>
    <row r="100" spans="1:14" ht="25.5">
      <c r="A100" s="3376" t="s">
        <v>3275</v>
      </c>
      <c r="B100" s="3367" t="str">
        <f>估价对象房地状况!C22</f>
        <v>估价对象所在区域基础设施水平</v>
      </c>
      <c r="C100" s="2042"/>
      <c r="D100" s="3363">
        <f t="shared" si="32"/>
        <v>0</v>
      </c>
      <c r="E100" s="3380"/>
      <c r="F100" s="1812"/>
      <c r="G100" s="3370"/>
      <c r="H100" s="3418" t="str">
        <f t="shared" si="33"/>
        <v>——</v>
      </c>
      <c r="I100" s="3364">
        <v>0.09</v>
      </c>
      <c r="J100" s="3342">
        <f t="shared" si="29"/>
        <v>0</v>
      </c>
      <c r="K100" s="3342">
        <f t="shared" si="30"/>
        <v>0</v>
      </c>
      <c r="L100" s="3342">
        <v>0</v>
      </c>
      <c r="M100" s="3342">
        <f t="shared" si="31"/>
        <v>0</v>
      </c>
      <c r="N100" s="3342">
        <f t="shared" si="31"/>
        <v>0</v>
      </c>
    </row>
    <row r="101" spans="1:14" ht="26.25" thickBot="1">
      <c r="A101" s="3377" t="s">
        <v>3276</v>
      </c>
      <c r="B101" s="3384" t="str">
        <f>估价对象房地状况!C20</f>
        <v>区域自然环境：；人文环境；综合评价环境状况一般</v>
      </c>
      <c r="C101" s="2042"/>
      <c r="D101" s="3363">
        <f t="shared" si="32"/>
        <v>0</v>
      </c>
      <c r="E101" s="3381"/>
      <c r="F101" s="1812"/>
      <c r="G101" s="3370"/>
      <c r="H101" s="3418" t="str">
        <f t="shared" si="33"/>
        <v>——</v>
      </c>
      <c r="I101" s="3365">
        <v>7.0000000000000007E-2</v>
      </c>
      <c r="J101" s="3342">
        <f t="shared" si="29"/>
        <v>0</v>
      </c>
      <c r="K101" s="3342">
        <f t="shared" si="30"/>
        <v>0</v>
      </c>
      <c r="L101" s="3342">
        <v>0</v>
      </c>
      <c r="M101" s="3342">
        <f t="shared" si="31"/>
        <v>0</v>
      </c>
      <c r="N101" s="3342">
        <f t="shared" si="31"/>
        <v>0</v>
      </c>
    </row>
    <row r="103" spans="1:14">
      <c r="A103" s="3736" t="s">
        <v>3291</v>
      </c>
      <c r="B103" s="3736"/>
      <c r="C103" s="3736"/>
      <c r="D103" s="3736"/>
      <c r="E103" s="3736"/>
      <c r="F103" s="3736"/>
      <c r="G103" s="3736"/>
      <c r="H103" s="3736"/>
      <c r="I103" s="3736"/>
      <c r="J103" s="3736"/>
      <c r="K103" s="3387"/>
      <c r="L103" s="3387"/>
      <c r="M103" s="3387"/>
      <c r="N103" s="3387"/>
    </row>
    <row r="104" spans="1:14">
      <c r="A104" s="3737" t="s">
        <v>3292</v>
      </c>
      <c r="B104" s="3737" t="s">
        <v>3293</v>
      </c>
      <c r="C104" s="3388" t="s">
        <v>3294</v>
      </c>
      <c r="D104" s="3389"/>
      <c r="E104" s="3389"/>
      <c r="F104" s="3389"/>
      <c r="G104" s="3389"/>
      <c r="H104" s="3389"/>
      <c r="I104" s="3389"/>
      <c r="J104" s="3390"/>
      <c r="K104" s="3391"/>
      <c r="L104" s="3391"/>
      <c r="M104" s="3391"/>
      <c r="N104" s="3391"/>
    </row>
    <row r="105" spans="1:14">
      <c r="A105" s="3737"/>
      <c r="B105" s="3737"/>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723"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2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2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2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2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24"/>
      <c r="B111" s="3392" t="s">
        <v>3265</v>
      </c>
      <c r="C111" s="3393">
        <f>$I$3</f>
        <v>0</v>
      </c>
      <c r="D111" s="3393">
        <f t="shared" ref="D111:M111" si="34">$I$3</f>
        <v>0</v>
      </c>
      <c r="E111" s="3393">
        <f t="shared" si="34"/>
        <v>0</v>
      </c>
      <c r="F111" s="3393">
        <f t="shared" si="34"/>
        <v>0</v>
      </c>
      <c r="G111" s="3393">
        <f t="shared" si="34"/>
        <v>0</v>
      </c>
      <c r="H111" s="3393">
        <f t="shared" si="34"/>
        <v>0</v>
      </c>
      <c r="I111" s="3393">
        <f t="shared" si="34"/>
        <v>0</v>
      </c>
      <c r="J111" s="3393">
        <f t="shared" si="34"/>
        <v>0</v>
      </c>
      <c r="K111" s="3393">
        <f t="shared" si="34"/>
        <v>0</v>
      </c>
      <c r="L111" s="3393">
        <f t="shared" si="34"/>
        <v>0</v>
      </c>
      <c r="M111" s="3393">
        <f t="shared" si="34"/>
        <v>0</v>
      </c>
      <c r="N111" s="3393">
        <f>$I$3</f>
        <v>0</v>
      </c>
    </row>
    <row r="112" spans="1:14">
      <c r="A112" s="3725"/>
      <c r="B112" s="3392">
        <v>6</v>
      </c>
      <c r="C112" s="3385">
        <f>(-0.5556*(C111^2)-0.2719*C111+8944)*(10^(-4))</f>
        <v>0.89440000000000008</v>
      </c>
      <c r="D112" s="3385">
        <f>(-0.5556*(D111^2)-0.2719*D111+8944)*(10^(-4))</f>
        <v>0.89440000000000008</v>
      </c>
      <c r="E112" s="3385">
        <f>(-0.7912*(E111^2)-11.3794*E111+8482)*(10^(-4))</f>
        <v>0.84820000000000007</v>
      </c>
      <c r="F112" s="3385">
        <f t="shared" ref="F112:I112" si="35">(-0.7912*(F111^2)-11.3794*F111+8482)*(10^(-4))</f>
        <v>0.84820000000000007</v>
      </c>
      <c r="G112" s="3385">
        <f t="shared" si="35"/>
        <v>0.84820000000000007</v>
      </c>
      <c r="H112" s="3385">
        <f t="shared" si="35"/>
        <v>0.84820000000000007</v>
      </c>
      <c r="I112" s="3385">
        <f t="shared" si="35"/>
        <v>0.84820000000000007</v>
      </c>
      <c r="J112" s="3385">
        <f>(-0.989*(J111^2)-63.78*J111+7771)*(10^(-4))</f>
        <v>0.77710000000000001</v>
      </c>
      <c r="K112" s="3385">
        <f t="shared" ref="K112:N112" si="36">(-0.989*(K111^2)-63.78*K111+7771)*(10^(-4))</f>
        <v>0.77710000000000001</v>
      </c>
      <c r="L112" s="3385">
        <f t="shared" si="36"/>
        <v>0.77710000000000001</v>
      </c>
      <c r="M112" s="3385">
        <f t="shared" si="36"/>
        <v>0.77710000000000001</v>
      </c>
      <c r="N112" s="3385">
        <f t="shared" si="36"/>
        <v>0.77710000000000001</v>
      </c>
    </row>
    <row r="113" spans="1:14">
      <c r="A113" s="3726" t="s">
        <v>3308</v>
      </c>
      <c r="B113" s="3726"/>
      <c r="C113" s="3726"/>
      <c r="D113" s="3726"/>
      <c r="E113" s="3726"/>
      <c r="F113" s="3726"/>
      <c r="G113" s="3726"/>
      <c r="H113" s="3726"/>
      <c r="I113" s="3726"/>
      <c r="J113" s="372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1.02</v>
      </c>
      <c r="C116" s="3397" t="s">
        <v>3310</v>
      </c>
      <c r="D116" s="3398">
        <f>SUMPRODUCT((A118:A122=F116)*(B117:M117=H116)*B118:M122)</f>
        <v>0.81940000000000002</v>
      </c>
      <c r="E116" s="1998" t="s">
        <v>3311</v>
      </c>
      <c r="F116" s="3399" t="str">
        <f>E2</f>
        <v>办公</v>
      </c>
      <c r="G116" s="1998" t="s">
        <v>3312</v>
      </c>
      <c r="H116" s="3399" t="str">
        <f>G2</f>
        <v>九级</v>
      </c>
      <c r="I116" s="1998"/>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0.98560000000000003</v>
      </c>
      <c r="C118" s="3385">
        <f>B118</f>
        <v>0.98560000000000003</v>
      </c>
      <c r="D118" s="3385">
        <f>ROUND(0.949-0.014*B116,4)</f>
        <v>0.93469999999999998</v>
      </c>
      <c r="E118" s="3385">
        <f>D118</f>
        <v>0.93469999999999998</v>
      </c>
      <c r="F118" s="3385">
        <f>E118</f>
        <v>0.93469999999999998</v>
      </c>
      <c r="G118" s="3385">
        <f>F118</f>
        <v>0.93469999999999998</v>
      </c>
      <c r="H118" s="3385">
        <f>G118</f>
        <v>0.93469999999999998</v>
      </c>
      <c r="I118" s="3385">
        <f>ROUND(0.8486-0.018*B116,4)</f>
        <v>0.83020000000000005</v>
      </c>
      <c r="J118" s="3385">
        <f t="shared" ref="J118:M122" si="37">I118</f>
        <v>0.83020000000000005</v>
      </c>
      <c r="K118" s="3385">
        <f t="shared" si="37"/>
        <v>0.83020000000000005</v>
      </c>
      <c r="L118" s="3385">
        <f t="shared" si="37"/>
        <v>0.83020000000000005</v>
      </c>
      <c r="M118" s="3408">
        <f t="shared" si="37"/>
        <v>0.83020000000000005</v>
      </c>
      <c r="N118" s="3395"/>
    </row>
    <row r="119" spans="1:14">
      <c r="A119" s="3407" t="s">
        <v>3326</v>
      </c>
      <c r="B119" s="3385">
        <f>ROUND(0.993-0.0112*B116,4)</f>
        <v>0.98160000000000003</v>
      </c>
      <c r="C119" s="3385">
        <f>B119</f>
        <v>0.98160000000000003</v>
      </c>
      <c r="D119" s="3385">
        <f>ROUND(0.9415-0.0142*B116,4)</f>
        <v>0.92700000000000005</v>
      </c>
      <c r="E119" s="3385">
        <f t="shared" ref="E119:H120" si="38">D119</f>
        <v>0.92700000000000005</v>
      </c>
      <c r="F119" s="3385">
        <f t="shared" si="38"/>
        <v>0.92700000000000005</v>
      </c>
      <c r="G119" s="3385">
        <f t="shared" si="38"/>
        <v>0.92700000000000005</v>
      </c>
      <c r="H119" s="3385">
        <f t="shared" si="38"/>
        <v>0.92700000000000005</v>
      </c>
      <c r="I119" s="3385">
        <f>ROUND(0.838-0.0182*B116,4)</f>
        <v>0.81940000000000002</v>
      </c>
      <c r="J119" s="3385">
        <f t="shared" si="37"/>
        <v>0.81940000000000002</v>
      </c>
      <c r="K119" s="3385">
        <f t="shared" si="37"/>
        <v>0.81940000000000002</v>
      </c>
      <c r="L119" s="3385">
        <f t="shared" si="37"/>
        <v>0.81940000000000002</v>
      </c>
      <c r="M119" s="3408">
        <f t="shared" si="37"/>
        <v>0.81940000000000002</v>
      </c>
      <c r="N119" s="3395"/>
    </row>
    <row r="120" spans="1:14">
      <c r="A120" s="3407" t="s">
        <v>3327</v>
      </c>
      <c r="B120" s="3385">
        <f>ROUND(0.9448-0.0115*B116,4)</f>
        <v>0.93310000000000004</v>
      </c>
      <c r="C120" s="3385">
        <f>B120</f>
        <v>0.93310000000000004</v>
      </c>
      <c r="D120" s="3385">
        <f>ROUND(0.937-0.0145*B116,4)</f>
        <v>0.92220000000000002</v>
      </c>
      <c r="E120" s="3385">
        <f t="shared" si="38"/>
        <v>0.92220000000000002</v>
      </c>
      <c r="F120" s="3385">
        <f t="shared" si="38"/>
        <v>0.92220000000000002</v>
      </c>
      <c r="G120" s="3385">
        <f t="shared" si="38"/>
        <v>0.92220000000000002</v>
      </c>
      <c r="H120" s="3385">
        <f t="shared" si="38"/>
        <v>0.92220000000000002</v>
      </c>
      <c r="I120" s="3385">
        <f>ROUND(0.7965-0.0185*B116,4)</f>
        <v>0.77759999999999996</v>
      </c>
      <c r="J120" s="3385">
        <f t="shared" si="37"/>
        <v>0.77759999999999996</v>
      </c>
      <c r="K120" s="3385">
        <f t="shared" si="37"/>
        <v>0.77759999999999996</v>
      </c>
      <c r="L120" s="3385">
        <f t="shared" si="37"/>
        <v>0.77759999999999996</v>
      </c>
      <c r="M120" s="3408">
        <f t="shared" si="37"/>
        <v>0.77759999999999996</v>
      </c>
      <c r="N120" s="3395"/>
    </row>
    <row r="121" spans="1:14" ht="13.5" thickBot="1">
      <c r="A121" s="3409" t="s">
        <v>3328</v>
      </c>
      <c r="B121" s="3410">
        <f>ROUND(0.7836-0.012*B116,4)</f>
        <v>0.77139999999999997</v>
      </c>
      <c r="C121" s="3410">
        <f>B121</f>
        <v>0.77139999999999997</v>
      </c>
      <c r="D121" s="3410">
        <f>ROUND(0.753-0.015*B116,4)</f>
        <v>0.73770000000000002</v>
      </c>
      <c r="E121" s="3410">
        <f>D121</f>
        <v>0.73770000000000002</v>
      </c>
      <c r="F121" s="3410">
        <f>E121</f>
        <v>0.73770000000000002</v>
      </c>
      <c r="G121" s="3410">
        <f>ROUND(0.6612-0.018*B116,4)</f>
        <v>0.64280000000000004</v>
      </c>
      <c r="H121" s="3410">
        <f>G121</f>
        <v>0.64280000000000004</v>
      </c>
      <c r="I121" s="3410">
        <f>ROUND(0.5905-0.019*B116,4)</f>
        <v>0.57110000000000005</v>
      </c>
      <c r="J121" s="3410">
        <f t="shared" si="37"/>
        <v>0.57110000000000005</v>
      </c>
      <c r="K121" s="3410">
        <f t="shared" si="37"/>
        <v>0.57110000000000005</v>
      </c>
      <c r="L121" s="3410">
        <f t="shared" si="37"/>
        <v>0.57110000000000005</v>
      </c>
      <c r="M121" s="3411">
        <f t="shared" si="37"/>
        <v>0.57110000000000005</v>
      </c>
      <c r="N121" s="3395"/>
    </row>
    <row r="122" spans="1:14">
      <c r="A122" s="3412" t="s">
        <v>2610</v>
      </c>
      <c r="B122" s="3385">
        <f>ROUND(0.9404-0.0106*B116,4)</f>
        <v>0.92959999999999998</v>
      </c>
      <c r="C122" s="3385">
        <f>B122</f>
        <v>0.92959999999999998</v>
      </c>
      <c r="D122" s="3385">
        <f>ROUND(0.8955-0.0135*B116,4)</f>
        <v>0.88170000000000004</v>
      </c>
      <c r="E122" s="3385">
        <f t="shared" ref="E122:H122" si="39">D122</f>
        <v>0.88170000000000004</v>
      </c>
      <c r="F122" s="3385">
        <f t="shared" si="39"/>
        <v>0.88170000000000004</v>
      </c>
      <c r="G122" s="3385">
        <f t="shared" si="39"/>
        <v>0.88170000000000004</v>
      </c>
      <c r="H122" s="3385">
        <f t="shared" si="39"/>
        <v>0.88170000000000004</v>
      </c>
      <c r="I122" s="3385">
        <f>ROUND(0.7632-0.0166*B116,4)</f>
        <v>0.74629999999999996</v>
      </c>
      <c r="J122" s="3385">
        <f t="shared" si="37"/>
        <v>0.74629999999999996</v>
      </c>
      <c r="K122" s="3385">
        <f t="shared" si="37"/>
        <v>0.74629999999999996</v>
      </c>
      <c r="L122" s="3385">
        <f t="shared" si="37"/>
        <v>0.74629999999999996</v>
      </c>
      <c r="M122" s="3408">
        <f t="shared" si="37"/>
        <v>0.74629999999999996</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3" zoomScale="80" zoomScaleNormal="70" zoomScaleSheetLayoutView="80" workbookViewId="0">
      <selection activeCell="I65" sqref="I65:M6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3475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t="e">
        <f ca="1">ROUND(D2/10000,4)</f>
        <v>#N/A</v>
      </c>
      <c r="C2" s="1385" t="s">
        <v>879</v>
      </c>
      <c r="D2" s="1469" t="e">
        <f ca="1">C40+J29+L46</f>
        <v>#N/A</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t="e">
        <f ca="1">C6+C10+C12</f>
        <v>#N/A</v>
      </c>
      <c r="D5" s="1362" t="s">
        <v>889</v>
      </c>
      <c r="E5" s="1070"/>
      <c r="F5" s="1071"/>
      <c r="G5" s="1382"/>
      <c r="H5" s="299">
        <v>1</v>
      </c>
      <c r="I5" s="300" t="s">
        <v>888</v>
      </c>
      <c r="J5" s="1069" t="e">
        <f ca="1">J6+J10+J12</f>
        <v>#N/A</v>
      </c>
      <c r="K5" s="1362" t="s">
        <v>889</v>
      </c>
      <c r="L5" s="1070"/>
      <c r="M5" s="1071"/>
    </row>
    <row r="6" spans="1:37" ht="18" customHeight="1">
      <c r="A6" s="1068" t="s">
        <v>398</v>
      </c>
      <c r="B6" s="3717" t="s">
        <v>694</v>
      </c>
      <c r="C6" s="1073" t="e">
        <f ca="1">ROUND(F6*F8*F7*(1-F9),0)</f>
        <v>#N/A</v>
      </c>
      <c r="D6" s="155" t="s">
        <v>2105</v>
      </c>
      <c r="E6" s="302" t="s">
        <v>696</v>
      </c>
      <c r="F6" s="303" t="e">
        <f ca="1">INDIRECT("'数据-取费表'!u"&amp;$G$1)</f>
        <v>#N/A</v>
      </c>
      <c r="G6" s="1382"/>
      <c r="H6" s="1068" t="s">
        <v>398</v>
      </c>
      <c r="I6" s="3717" t="s">
        <v>694</v>
      </c>
      <c r="J6" s="301" t="e">
        <f ca="1">ROUND(M6*M8*M7*(1-M9),0)</f>
        <v>#N/A</v>
      </c>
      <c r="K6" s="1374" t="s">
        <v>2106</v>
      </c>
      <c r="L6" s="302" t="s">
        <v>696</v>
      </c>
      <c r="M6" s="303" t="e">
        <f ca="1">INDIRECT("'数据-取费表'!z"&amp;$G$1)</f>
        <v>#N/A</v>
      </c>
    </row>
    <row r="7" spans="1:37" ht="18" customHeight="1">
      <c r="A7" s="1072"/>
      <c r="B7" s="3718"/>
      <c r="C7" s="1074"/>
      <c r="D7" s="307"/>
      <c r="E7" s="1075" t="s">
        <v>697</v>
      </c>
      <c r="F7" s="303" t="e">
        <f ca="1">IF(INDIRECT("'数据-取费表'!ah"&amp;$G$1)="",INDIRECT("'数据-取费表'!k"&amp;$G$1),INDIRECT("'数据-取费表'!ah"&amp;$G$1))</f>
        <v>#N/A</v>
      </c>
      <c r="G7" s="1382"/>
      <c r="H7" s="304"/>
      <c r="I7" s="3718"/>
      <c r="J7" s="306"/>
      <c r="K7" s="307"/>
      <c r="L7" s="302" t="s">
        <v>697</v>
      </c>
      <c r="M7" s="303" t="e">
        <f ca="1">F7</f>
        <v>#N/A</v>
      </c>
    </row>
    <row r="8" spans="1:37" ht="18" customHeight="1">
      <c r="A8" s="304"/>
      <c r="B8" s="3718"/>
      <c r="C8" s="306"/>
      <c r="D8" s="307"/>
      <c r="E8" s="302" t="s">
        <v>698</v>
      </c>
      <c r="F8" s="303" t="e">
        <f ca="1">INDIRECT("'数据-取费表'!ai"&amp;$G$1)</f>
        <v>#N/A</v>
      </c>
      <c r="G8" s="1382"/>
      <c r="H8" s="304"/>
      <c r="I8" s="3718"/>
      <c r="J8" s="306"/>
      <c r="K8" s="307"/>
      <c r="L8" s="302" t="s">
        <v>698</v>
      </c>
      <c r="M8" s="303" t="e">
        <f ca="1">INDIRECT("'数据-取费表'!ai"&amp;$G$1)</f>
        <v>#N/A</v>
      </c>
    </row>
    <row r="9" spans="1:37" ht="18" customHeight="1">
      <c r="A9" s="304"/>
      <c r="B9" s="3719"/>
      <c r="C9" s="306"/>
      <c r="D9" s="307"/>
      <c r="E9" s="302" t="s">
        <v>699</v>
      </c>
      <c r="F9" s="312" t="e">
        <f ca="1">INDIRECT("'数据-取费表'!w"&amp;$G$1)</f>
        <v>#N/A</v>
      </c>
      <c r="G9" s="1382"/>
      <c r="H9" s="304"/>
      <c r="I9" s="3719"/>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2115</v>
      </c>
      <c r="E10" s="313" t="s">
        <v>701</v>
      </c>
      <c r="F10" s="1115" t="s">
        <v>3418</v>
      </c>
      <c r="G10" s="1382"/>
      <c r="H10" s="1068" t="s">
        <v>402</v>
      </c>
      <c r="I10" s="1363" t="s">
        <v>700</v>
      </c>
      <c r="J10" s="301" t="e">
        <f ca="1">ROUND(IF(M10="押一",J6/12*M11,IF(M10="押二",J6/12*2*M11,IF(M10="押三",J6/12*3*M11,J11*M11))),0)</f>
        <v>#N/A</v>
      </c>
      <c r="K10" s="1375" t="s">
        <v>2117</v>
      </c>
      <c r="L10" s="313" t="s">
        <v>701</v>
      </c>
      <c r="M10" s="1115" t="s">
        <v>3418</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ROUND(INDIRECT("'数据-取费表'!l"&amp;$G$1)*F43+'数据-取费表'!L14*INDIRECT("'数据-取费表'!S"&amp;$G$1),0)</f>
        <v>#N/A</v>
      </c>
      <c r="D14" s="1343" t="s">
        <v>708</v>
      </c>
      <c r="E14" s="1340"/>
      <c r="F14" s="319"/>
      <c r="G14" s="1382"/>
      <c r="H14" s="981" t="s">
        <v>398</v>
      </c>
      <c r="I14" s="302" t="s">
        <v>709</v>
      </c>
      <c r="J14" s="21" t="e">
        <f ca="1">C29</f>
        <v>#N/A</v>
      </c>
      <c r="K14" s="12"/>
      <c r="L14" s="806"/>
      <c r="M14" s="807"/>
    </row>
    <row r="15" spans="1:37" s="1395" customFormat="1" ht="18" customHeight="1" thickBot="1">
      <c r="A15" s="981" t="s">
        <v>399</v>
      </c>
      <c r="B15" s="302" t="s">
        <v>710</v>
      </c>
      <c r="C15" s="21" t="e">
        <f ca="1">ROUND(C14*F15,0)</f>
        <v>#N/A</v>
      </c>
      <c r="D15" s="320" t="s">
        <v>711</v>
      </c>
      <c r="E15" s="320" t="s">
        <v>712</v>
      </c>
      <c r="F15" s="321">
        <f>'数据-取费表'!B33</f>
        <v>0.05</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1087"/>
      <c r="M16" s="1071"/>
    </row>
    <row r="17" spans="1:37" s="1395" customFormat="1" ht="18" customHeight="1">
      <c r="A17" s="981" t="s">
        <v>681</v>
      </c>
      <c r="B17" s="302" t="s">
        <v>716</v>
      </c>
      <c r="C17" s="21" t="e">
        <f ca="1">ROUND(F17*(F43+INDIRECT("'数据-取费表'!S"&amp;$G$1)),0)</f>
        <v>#N/A</v>
      </c>
      <c r="D17" s="302" t="s">
        <v>717</v>
      </c>
      <c r="E17" s="302" t="s">
        <v>718</v>
      </c>
      <c r="F17" s="23">
        <f>'数据-取费表'!B35</f>
        <v>200</v>
      </c>
      <c r="G17" s="1394"/>
      <c r="H17" s="981" t="s">
        <v>398</v>
      </c>
      <c r="I17" s="302" t="s">
        <v>719</v>
      </c>
      <c r="J17" s="2314" t="e">
        <f ca="1">ROUND(IF(AND(项目基本情况!B11="自然人",项目基本情况!B10="北京市"),J6*M17/(1+'数据-取费表'!C42),J18+J19+J20),0)</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2.5000000000000001E-2</v>
      </c>
      <c r="G18" s="1394"/>
      <c r="H18" s="981" t="s">
        <v>397</v>
      </c>
      <c r="I18" s="302" t="s">
        <v>723</v>
      </c>
      <c r="J18" s="21" t="e">
        <f ca="1">ROUND(J6*M18/(1+'数据-取费表'!C42),0)</f>
        <v>#N/A</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1358"/>
      <c r="F19" s="23"/>
      <c r="G19" s="1382"/>
      <c r="H19" s="981" t="s">
        <v>399</v>
      </c>
      <c r="I19" s="302" t="s">
        <v>727</v>
      </c>
      <c r="J19" s="21" t="e">
        <f ca="1">IF(K19="按租金收入计税",ROUND(J6*M19/(1+'数据-取费表'!C42),0),ROUND(C29*M19*0.7,0))</f>
        <v>#N/A</v>
      </c>
      <c r="K19" s="1368" t="s">
        <v>3332</v>
      </c>
      <c r="L19" s="302" t="s">
        <v>712</v>
      </c>
      <c r="M19" s="322">
        <f>IF(K19="按租金收入计税",'数据-取费表'!B51,'数据-取费表'!B50)</f>
        <v>0.12</v>
      </c>
    </row>
    <row r="20" spans="1:37" s="1395" customFormat="1" ht="18" customHeight="1">
      <c r="A20" s="981" t="s">
        <v>402</v>
      </c>
      <c r="B20" s="302" t="s">
        <v>728</v>
      </c>
      <c r="C20" s="21" t="e">
        <f ca="1">ROUND(C19*F20,0)</f>
        <v>#N/A</v>
      </c>
      <c r="D20" s="323" t="s">
        <v>729</v>
      </c>
      <c r="E20" s="302" t="s">
        <v>712</v>
      </c>
      <c r="F20" s="322">
        <f>'数据-取费表'!B37</f>
        <v>0.03</v>
      </c>
      <c r="G20" s="1394"/>
      <c r="H20" s="981" t="s">
        <v>680</v>
      </c>
      <c r="I20" s="155" t="s">
        <v>730</v>
      </c>
      <c r="J20" s="22" t="e">
        <f ca="1">ROUND(M20*M21,0)</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t="e">
        <f ca="1">ROUND(J14*M22,0)</f>
        <v>#N/A</v>
      </c>
      <c r="K22" s="1342"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4"/>
      <c r="H24" s="1088" t="s">
        <v>684</v>
      </c>
      <c r="I24" s="1089" t="s">
        <v>728</v>
      </c>
      <c r="J24" s="1090" t="e">
        <f ca="1">ROUND(J5*M24,0)</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1087"/>
      <c r="F30" s="1071"/>
      <c r="G30" s="1382"/>
      <c r="H30" s="2694"/>
      <c r="I30" s="1396"/>
      <c r="J30" s="1397"/>
      <c r="K30" s="2473"/>
      <c r="L30" s="2695"/>
      <c r="M30" s="2696"/>
    </row>
    <row r="31" spans="1:37" ht="18" customHeight="1">
      <c r="A31" s="981" t="s">
        <v>398</v>
      </c>
      <c r="B31" s="302" t="s">
        <v>719</v>
      </c>
      <c r="C31" s="2314" t="e">
        <f ca="1">ROUND(IF(AND(项目基本情况!B11="自然人",项目基本情况!B10="北京市"),C6*F31/(1+'数据-取费表'!C42),C32+C33+C34),0)</f>
        <v>#N/A</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1" t="s">
        <v>397</v>
      </c>
      <c r="B32" s="302" t="s">
        <v>723</v>
      </c>
      <c r="C32" s="21" t="e">
        <f ca="1">IF(项目基本情况!B11="自然人","——",ROUND(C6*F32/(1+'数据-取费表'!C42),0))</f>
        <v>#N/A</v>
      </c>
      <c r="D32" s="1342" t="s">
        <v>724</v>
      </c>
      <c r="E32" s="302" t="s">
        <v>712</v>
      </c>
      <c r="F32" s="331">
        <f>'数据-取费表'!B41</f>
        <v>5.5000000000000007E-2</v>
      </c>
      <c r="G32" s="1382"/>
      <c r="H32" s="2694"/>
      <c r="I32" s="1396"/>
      <c r="J32" s="1397"/>
      <c r="K32" s="2473"/>
      <c r="L32" s="2695"/>
      <c r="M32" s="2696"/>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IF(项目基本情况!B11="自然人","——",ROUND(F34*F35,0))</f>
        <v>#N/A</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ROUND(C29*F36,0)</f>
        <v>#N/A</v>
      </c>
      <c r="D36" s="1342" t="s">
        <v>771</v>
      </c>
      <c r="E36" s="302" t="s">
        <v>712</v>
      </c>
      <c r="F36" s="328" t="e">
        <f ca="1">INDIRECT("'数据-取费表'!Ak"&amp;$G$1)</f>
        <v>#N/A</v>
      </c>
      <c r="G36" s="1382"/>
      <c r="H36" s="2697"/>
      <c r="I36" s="1396"/>
      <c r="J36" s="1397"/>
      <c r="K36" s="2542"/>
      <c r="L36" s="2697"/>
      <c r="M36" s="2697"/>
    </row>
    <row r="37" spans="1:18" ht="18" customHeight="1">
      <c r="A37" s="981" t="s">
        <v>437</v>
      </c>
      <c r="B37" s="302" t="s">
        <v>742</v>
      </c>
      <c r="C37" s="21" t="e">
        <f ca="1">ROUND(C13*F37,0)</f>
        <v>#N/A</v>
      </c>
      <c r="D37" s="1342" t="s">
        <v>743</v>
      </c>
      <c r="E37" s="302" t="s">
        <v>744</v>
      </c>
      <c r="F37" s="330" t="e">
        <f ca="1">INDIRECT("'数据-取费表'!Al"&amp;$G$1)</f>
        <v>#N/A</v>
      </c>
      <c r="G37" s="1382"/>
      <c r="H37" s="2697"/>
      <c r="I37" s="1396"/>
      <c r="J37" s="1397"/>
      <c r="K37" s="2542"/>
      <c r="L37" s="2697"/>
      <c r="M37" s="2697"/>
    </row>
    <row r="38" spans="1:18" ht="18" customHeight="1" thickBot="1">
      <c r="A38" s="1088" t="s">
        <v>684</v>
      </c>
      <c r="B38" s="1089" t="s">
        <v>728</v>
      </c>
      <c r="C38" s="1090" t="e">
        <f ca="1">ROUND(C5*F38,0)</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3348</v>
      </c>
      <c r="B45" s="1398"/>
      <c r="C45" s="1470" t="e">
        <f ca="1">ROUND((C68-C40)/10000,4)</f>
        <v>#N/A</v>
      </c>
      <c r="D45" s="3429" t="s">
        <v>3349</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3419</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1357" t="e">
        <f ca="1">C49+C53+C55</f>
        <v>#N/A</v>
      </c>
      <c r="D48" s="1111"/>
      <c r="E48" s="1112"/>
      <c r="F48" s="961"/>
      <c r="G48" s="721"/>
      <c r="H48" s="722"/>
      <c r="I48" s="1419" t="s">
        <v>819</v>
      </c>
      <c r="J48" s="1420" t="s">
        <v>3420</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ROUND(F49*F51*F50*(1-F52),0)</f>
        <v>#N/A</v>
      </c>
      <c r="D49" s="1054" t="s">
        <v>695</v>
      </c>
      <c r="E49" s="1370" t="s">
        <v>780</v>
      </c>
      <c r="F49" s="1059"/>
      <c r="G49" s="1423"/>
      <c r="H49" s="722"/>
      <c r="I49" s="1419" t="s">
        <v>823</v>
      </c>
      <c r="J49" s="1424">
        <f>'数据-取费表'!N18</f>
        <v>0</v>
      </c>
      <c r="K49" s="1421" t="s">
        <v>824</v>
      </c>
      <c r="L49" s="1425"/>
      <c r="O49" s="1426" t="s">
        <v>405</v>
      </c>
      <c r="P49" s="1417" t="s">
        <v>825</v>
      </c>
      <c r="Q49" s="1418" t="e">
        <f ca="1">C29</f>
        <v>#N/A</v>
      </c>
      <c r="R49" s="1418" t="s">
        <v>818</v>
      </c>
    </row>
    <row r="50" spans="1:18" s="1382" customFormat="1" ht="13.5" thickBot="1">
      <c r="A50" s="975"/>
      <c r="B50" s="978"/>
      <c r="C50" s="979"/>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-1965</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t="e">
        <f ca="1">J53</f>
        <v>#N/A</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6" t="e">
        <f ca="1">IF(M47="住宅",IF(D1="——",MAX(J51,L48),MAX(J51,L48-'数据-取费表'!B24)),IF(D1="——",MIN(J51,L48),MIN(J51,L48-'数据-取费表'!B24)))</f>
        <v>#N/A</v>
      </c>
      <c r="K53" s="3715" t="s">
        <v>837</v>
      </c>
      <c r="L53" s="3716"/>
      <c r="O53" s="1416" t="s">
        <v>409</v>
      </c>
      <c r="P53" s="1417" t="s">
        <v>838</v>
      </c>
      <c r="Q53" s="1418" t="e">
        <f ca="1">Q47+Q48</f>
        <v>#N/A</v>
      </c>
      <c r="R53" s="1418" t="s">
        <v>410</v>
      </c>
    </row>
    <row r="54" spans="1:18" s="1382" customFormat="1" ht="13.5" thickBot="1">
      <c r="A54" s="974"/>
      <c r="B54" s="1471" t="s">
        <v>891</v>
      </c>
      <c r="C54" s="958"/>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6">
        <v>2</v>
      </c>
      <c r="B56" s="957" t="s">
        <v>704</v>
      </c>
      <c r="C56" s="232" t="e">
        <f ca="1">C13</f>
        <v>#N/A</v>
      </c>
      <c r="D56" s="1445"/>
      <c r="E56" s="1446"/>
      <c r="F56" s="1438"/>
      <c r="I56" s="1447" t="s">
        <v>842</v>
      </c>
      <c r="J56" s="1448" t="s">
        <v>3413</v>
      </c>
      <c r="K56" s="1419" t="s">
        <v>843</v>
      </c>
      <c r="L56" s="1422" t="e">
        <f ca="1">IF(L48&lt;J51,"——",L48-J51)</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4" t="e">
        <f ca="1">ROUND(IF(AND(项目基本情况!B11="自然人",项目基本情况!B10="北京市"),C49*F59/(1+'数据-取费表'!C42),C60+C61+C62),0)</f>
        <v>#N/A</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IF(项目基本情况!B11="自然人","——",ROUND(C48*F60/(1+'数据-取费表'!C42),0))</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IF(项目基本情况!B11="自然人","——",IF(D61="按租金收入计税",ROUND(C49*F61/(1+'数据-取费表'!C42),0),IF(D61="按房产原值计税",ROUND(C57*F61*0.7,0),INDIRECT("'数据-取费表'!Aj"&amp;$G$1))))</f>
        <v>#N/A</v>
      </c>
      <c r="D61" s="1368" t="s">
        <v>3332</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IF(项目基本情况!B11="自然人","——",ROUND(F62*F63,0))</f>
        <v>#N/A</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ROUND(C57*F64,0)</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ROUND(C56*F65,0)</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ROUND(C48*F66,0)</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topLeftCell="A16" zoomScaleNormal="100" workbookViewId="0">
      <selection activeCell="P8" sqref="P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3" t="s">
        <v>2314</v>
      </c>
      <c r="B2" s="2840">
        <f ca="1">IF(D2="——",C40,C40+E2)</f>
        <v>643</v>
      </c>
      <c r="C2" s="2841" t="s">
        <v>2315</v>
      </c>
      <c r="D2" s="3440" t="s">
        <v>3355</v>
      </c>
      <c r="E2" s="3441">
        <f ca="1">收益法!L46</f>
        <v>4</v>
      </c>
      <c r="F2" s="2843"/>
      <c r="G2" s="2844"/>
      <c r="H2" s="2845"/>
      <c r="I2" s="2846"/>
      <c r="J2" s="3742" t="s">
        <v>2316</v>
      </c>
      <c r="K2" s="3743"/>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f ca="1">ROUND(B2*10000/B4,0)</f>
        <v>7067</v>
      </c>
      <c r="C3" s="2841" t="s">
        <v>2325</v>
      </c>
      <c r="D3" s="2841"/>
      <c r="E3" s="2842"/>
      <c r="F3" s="2843"/>
      <c r="G3" s="2844"/>
      <c r="H3" s="2845"/>
      <c r="I3" s="2846"/>
      <c r="J3" s="3744" t="s">
        <v>2326</v>
      </c>
      <c r="K3" s="3745"/>
      <c r="L3" s="2853"/>
      <c r="M3" s="2853"/>
      <c r="N3" s="2853"/>
      <c r="O3" s="2853"/>
      <c r="P3" s="2853"/>
      <c r="Q3" s="2854">
        <f>B4</f>
        <v>909.8</v>
      </c>
      <c r="R3" s="2855">
        <f>SUM(L3:Q3)</f>
        <v>909.8</v>
      </c>
      <c r="S3" s="2838"/>
      <c r="T3" s="2838"/>
      <c r="U3" s="2838"/>
      <c r="V3" s="2846"/>
    </row>
    <row r="4" spans="1:22" s="2850" customFormat="1" ht="13.15" customHeight="1">
      <c r="A4" s="2856" t="s">
        <v>2327</v>
      </c>
      <c r="B4" s="2857">
        <f>'数据-汇总表'!F19</f>
        <v>909.8</v>
      </c>
      <c r="C4" s="2841"/>
      <c r="D4" s="2841"/>
      <c r="E4" s="2842"/>
      <c r="F4" s="2843"/>
      <c r="G4" s="2844"/>
      <c r="H4" s="2845"/>
      <c r="I4" s="2846"/>
      <c r="J4" s="3744" t="s">
        <v>2328</v>
      </c>
      <c r="K4" s="3745"/>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291</v>
      </c>
      <c r="S5" s="2838"/>
      <c r="T5" s="2838" t="s">
        <v>2331</v>
      </c>
      <c r="U5" s="2838">
        <f>ROUND(R5*10000/365/R3,1)</f>
        <v>8.8000000000000007</v>
      </c>
      <c r="V5" s="2846"/>
    </row>
    <row r="6" spans="1:22" s="2850" customFormat="1" ht="13.15" customHeight="1" thickBot="1">
      <c r="A6" s="3746" t="s">
        <v>2332</v>
      </c>
      <c r="B6" s="3747"/>
      <c r="C6" s="3748"/>
      <c r="D6" s="2867">
        <f>E44</f>
        <v>93</v>
      </c>
      <c r="E6" s="2868"/>
      <c r="F6" s="2869"/>
      <c r="G6" s="2870"/>
      <c r="H6" s="2845"/>
      <c r="I6" s="2846"/>
      <c r="J6" s="3749">
        <v>1</v>
      </c>
      <c r="K6" s="3750"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 ca="1">SUM(D9,D10,D11,D17,0)</f>
        <v>46</v>
      </c>
      <c r="E7" s="2877">
        <f ca="1">E9+E10+E11+E17</f>
        <v>0.49677419354838703</v>
      </c>
      <c r="F7" s="2878"/>
      <c r="G7" s="2879"/>
      <c r="H7" s="2845"/>
      <c r="I7" s="2846"/>
      <c r="J7" s="3749"/>
      <c r="K7" s="3751"/>
      <c r="L7" s="3831" t="s">
        <v>3515</v>
      </c>
      <c r="M7" s="2881">
        <v>69</v>
      </c>
      <c r="N7" s="2857">
        <v>200</v>
      </c>
      <c r="O7" s="2882">
        <v>0.85</v>
      </c>
      <c r="P7" s="2882">
        <v>0.68</v>
      </c>
      <c r="Q7" s="2883">
        <v>365</v>
      </c>
      <c r="R7" s="2884">
        <f>ROUND(M7*N7*O7*P7*Q7/10000,0)</f>
        <v>291</v>
      </c>
      <c r="S7" s="2838"/>
      <c r="T7" s="2838" t="s">
        <v>2344</v>
      </c>
      <c r="U7" s="2838"/>
      <c r="V7" s="2846"/>
    </row>
    <row r="8" spans="1:22" s="2850" customFormat="1" ht="13.15" customHeight="1">
      <c r="A8" s="2885" t="s">
        <v>2345</v>
      </c>
      <c r="B8" s="3753" t="s">
        <v>2346</v>
      </c>
      <c r="C8" s="3754"/>
      <c r="D8" s="2886" t="s">
        <v>2347</v>
      </c>
      <c r="E8" s="2887" t="s">
        <v>2348</v>
      </c>
      <c r="F8" s="2888" t="s">
        <v>2349</v>
      </c>
      <c r="G8" s="2889"/>
      <c r="H8" s="2845"/>
      <c r="I8" s="2846"/>
      <c r="J8" s="3749"/>
      <c r="K8" s="3751"/>
      <c r="L8" s="2880" t="s">
        <v>2350</v>
      </c>
      <c r="M8" s="2881"/>
      <c r="N8" s="2857"/>
      <c r="O8" s="2882"/>
      <c r="P8" s="2882"/>
      <c r="Q8" s="2883">
        <v>365</v>
      </c>
      <c r="R8" s="2884">
        <f t="shared" ref="R8:R13" si="0">ROUND(M8*N8*O8*P8*Q8/10000,0)</f>
        <v>0</v>
      </c>
      <c r="S8" s="2838"/>
      <c r="T8" s="3833" t="s">
        <v>3527</v>
      </c>
      <c r="U8" s="2838">
        <v>2</v>
      </c>
      <c r="V8" s="2846"/>
    </row>
    <row r="9" spans="1:22" s="2850" customFormat="1" ht="13.15" customHeight="1">
      <c r="A9" s="2885">
        <v>1</v>
      </c>
      <c r="B9" s="3753" t="s">
        <v>2352</v>
      </c>
      <c r="C9" s="3754"/>
      <c r="D9" s="2886">
        <f>ROUND(D6*E9,0)</f>
        <v>14</v>
      </c>
      <c r="E9" s="2890">
        <v>0.15</v>
      </c>
      <c r="F9" s="2891" t="s">
        <v>2353</v>
      </c>
      <c r="G9" s="2870"/>
      <c r="H9" s="2845"/>
      <c r="I9" s="2846"/>
      <c r="J9" s="3749"/>
      <c r="K9" s="3751"/>
      <c r="L9" s="2880" t="s">
        <v>2354</v>
      </c>
      <c r="M9" s="2881"/>
      <c r="N9" s="2857"/>
      <c r="O9" s="2882"/>
      <c r="P9" s="2882"/>
      <c r="Q9" s="2883">
        <v>365</v>
      </c>
      <c r="R9" s="2884">
        <f t="shared" si="0"/>
        <v>0</v>
      </c>
      <c r="S9" s="2838"/>
      <c r="T9" s="2838"/>
      <c r="U9" s="2838"/>
      <c r="V9" s="2846"/>
    </row>
    <row r="10" spans="1:22" s="2850" customFormat="1" ht="13.15" customHeight="1">
      <c r="A10" s="2885">
        <v>2</v>
      </c>
      <c r="B10" s="3753" t="s">
        <v>2355</v>
      </c>
      <c r="C10" s="3754"/>
      <c r="D10" s="2886">
        <f>ROUND(D6*E10,0)</f>
        <v>14</v>
      </c>
      <c r="E10" s="2890">
        <v>0.15</v>
      </c>
      <c r="F10" s="2891" t="s">
        <v>2356</v>
      </c>
      <c r="G10" s="2870"/>
      <c r="H10" s="2845"/>
      <c r="I10" s="2846"/>
      <c r="J10" s="3749"/>
      <c r="K10" s="3751"/>
      <c r="L10" s="2880" t="s">
        <v>2343</v>
      </c>
      <c r="M10" s="2881"/>
      <c r="N10" s="2857"/>
      <c r="O10" s="2882"/>
      <c r="P10" s="2882"/>
      <c r="Q10" s="2883">
        <v>365</v>
      </c>
      <c r="R10" s="2884">
        <f t="shared" si="0"/>
        <v>0</v>
      </c>
      <c r="S10" s="2838"/>
      <c r="T10" s="2838"/>
      <c r="U10" s="2838"/>
      <c r="V10" s="2846"/>
    </row>
    <row r="11" spans="1:22" s="2850" customFormat="1" ht="13.15" customHeight="1">
      <c r="A11" s="2885">
        <v>3</v>
      </c>
      <c r="B11" s="3753" t="s">
        <v>2357</v>
      </c>
      <c r="C11" s="3754"/>
      <c r="D11" s="2886">
        <f ca="1">D12+D14+D15+D16</f>
        <v>9</v>
      </c>
      <c r="E11" s="2892">
        <f ca="1">D11/D6</f>
        <v>9.6774193548387094E-2</v>
      </c>
      <c r="F11" s="2888"/>
      <c r="G11" s="2889"/>
      <c r="H11" s="2845"/>
      <c r="I11" s="2846"/>
      <c r="J11" s="3749"/>
      <c r="K11" s="3751"/>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55" t="s">
        <v>2360</v>
      </c>
      <c r="C12" s="3756"/>
      <c r="D12" s="2894">
        <f ca="1">ROUND(D13*1.2%*(1-30%),0)</f>
        <v>4</v>
      </c>
      <c r="E12" s="2895">
        <v>1.2E-2</v>
      </c>
      <c r="F12" s="2888" t="s">
        <v>2361</v>
      </c>
      <c r="G12" s="2889"/>
      <c r="H12" s="2845"/>
      <c r="I12" s="2846"/>
      <c r="J12" s="3749"/>
      <c r="K12" s="3751"/>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f ca="1">收益法!C29</f>
        <v>439</v>
      </c>
      <c r="E13" s="2899"/>
      <c r="F13" s="2888"/>
      <c r="G13" s="2889"/>
      <c r="H13" s="2845"/>
      <c r="I13" s="2846"/>
      <c r="J13" s="3749"/>
      <c r="K13" s="3751"/>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55" t="s">
        <v>2366</v>
      </c>
      <c r="C14" s="3756"/>
      <c r="D14" s="2894">
        <f>ROUND(E14*B5/10000,0)</f>
        <v>0</v>
      </c>
      <c r="E14" s="2883"/>
      <c r="F14" s="2888" t="s">
        <v>2367</v>
      </c>
      <c r="G14" s="2889"/>
      <c r="H14" s="2845"/>
      <c r="I14" s="2846"/>
      <c r="J14" s="3749"/>
      <c r="K14" s="3752"/>
      <c r="L14" s="2900" t="s">
        <v>2368</v>
      </c>
      <c r="M14" s="2901">
        <f>SUM(M7:M13)</f>
        <v>69</v>
      </c>
      <c r="N14" s="2901">
        <f>ROUND((N7*M7+N8*M8+N9*M9+N10*M10+N11*M11+N12*M12+N13*M13)/M14,0)</f>
        <v>200</v>
      </c>
      <c r="O14" s="2902"/>
      <c r="P14" s="2902"/>
      <c r="Q14" s="2903"/>
      <c r="R14" s="2849">
        <f>SUM(R7:R13)</f>
        <v>291</v>
      </c>
      <c r="S14" s="2838"/>
      <c r="T14" s="2838"/>
      <c r="U14" s="2838"/>
      <c r="V14" s="2846"/>
    </row>
    <row r="15" spans="1:22" s="2850" customFormat="1" ht="13.15" customHeight="1">
      <c r="A15" s="2893" t="s">
        <v>2369</v>
      </c>
      <c r="B15" s="3755" t="s">
        <v>2370</v>
      </c>
      <c r="C15" s="3756"/>
      <c r="D15" s="2894">
        <f>ROUND(D6*E15,0)</f>
        <v>5</v>
      </c>
      <c r="E15" s="2895">
        <v>5.5E-2</v>
      </c>
      <c r="F15" s="2888" t="s">
        <v>2371</v>
      </c>
      <c r="G15" s="2870"/>
      <c r="H15" s="2845"/>
      <c r="I15" s="2846"/>
      <c r="J15" s="3749">
        <v>2</v>
      </c>
      <c r="K15" s="3750" t="s">
        <v>2372</v>
      </c>
      <c r="L15" s="2880" t="s">
        <v>2373</v>
      </c>
      <c r="M15" s="2881" t="s">
        <v>2374</v>
      </c>
      <c r="N15" s="2881" t="s">
        <v>2375</v>
      </c>
      <c r="O15" s="2882" t="s">
        <v>2376</v>
      </c>
      <c r="P15" s="2882" t="s">
        <v>2339</v>
      </c>
      <c r="Q15" s="2857" t="s">
        <v>2377</v>
      </c>
      <c r="R15" s="2904" t="s">
        <v>2340</v>
      </c>
      <c r="S15" s="2838"/>
      <c r="T15" s="2838"/>
      <c r="U15" s="2838"/>
      <c r="V15" s="2846"/>
    </row>
    <row r="16" spans="1:22" s="2850" customFormat="1" ht="13.15" customHeight="1">
      <c r="A16" s="2893" t="s">
        <v>2378</v>
      </c>
      <c r="B16" s="3755" t="s">
        <v>2379</v>
      </c>
      <c r="C16" s="3756"/>
      <c r="D16" s="2905">
        <f>D6*E16</f>
        <v>0</v>
      </c>
      <c r="E16" s="2906"/>
      <c r="F16" s="2891" t="s">
        <v>2380</v>
      </c>
      <c r="G16" s="2870"/>
      <c r="H16" s="2845"/>
      <c r="I16" s="2846"/>
      <c r="J16" s="3749"/>
      <c r="K16" s="3751"/>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57" t="s">
        <v>2382</v>
      </c>
      <c r="C17" s="3758"/>
      <c r="D17" s="2908">
        <f>ROUND(D6*E17,0)</f>
        <v>9</v>
      </c>
      <c r="E17" s="2909">
        <v>0.1</v>
      </c>
      <c r="F17" s="2910" t="s">
        <v>2383</v>
      </c>
      <c r="G17" s="2870"/>
      <c r="H17" s="2845"/>
      <c r="I17" s="2846"/>
      <c r="J17" s="3749"/>
      <c r="K17" s="3751"/>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5</v>
      </c>
      <c r="E18" s="2912">
        <v>0.05</v>
      </c>
      <c r="F18" s="2913" t="s">
        <v>2386</v>
      </c>
      <c r="G18" s="2870"/>
      <c r="H18" s="2845"/>
      <c r="I18" s="2846"/>
      <c r="J18" s="3749"/>
      <c r="K18" s="3751"/>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49"/>
      <c r="K19" s="3752"/>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9">
        <v>3</v>
      </c>
      <c r="K20" s="3750"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49"/>
      <c r="K21" s="3751"/>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49"/>
      <c r="K22" s="3751"/>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93</v>
      </c>
      <c r="D23" s="2931">
        <f>C23*(1+D24)</f>
        <v>93</v>
      </c>
      <c r="E23" s="2932">
        <f>D23*(1+E24)</f>
        <v>93</v>
      </c>
      <c r="F23" s="2933"/>
      <c r="G23" s="2934"/>
      <c r="H23" s="2845"/>
      <c r="I23" s="2846"/>
      <c r="J23" s="3749"/>
      <c r="K23" s="3751"/>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49"/>
      <c r="K24" s="3752"/>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 ca="1">D7</f>
        <v>46</v>
      </c>
      <c r="D26" s="2931">
        <f ca="1">D23*D27</f>
        <v>46.199999999999996</v>
      </c>
      <c r="E26" s="2932">
        <f>E23*E27</f>
        <v>0</v>
      </c>
      <c r="F26" s="2933"/>
      <c r="G26" s="2934"/>
      <c r="H26" s="2845"/>
      <c r="I26" s="2846"/>
      <c r="J26" s="3759">
        <v>5</v>
      </c>
      <c r="K26" s="2948" t="s">
        <v>2410</v>
      </c>
      <c r="L26" s="2949"/>
      <c r="M26" s="2950"/>
      <c r="N26" s="2951" t="s">
        <v>2411</v>
      </c>
      <c r="O26" s="2951" t="s">
        <v>2412</v>
      </c>
      <c r="P26" s="2952" t="s">
        <v>2413</v>
      </c>
      <c r="Q26" s="2952" t="s">
        <v>2414</v>
      </c>
      <c r="R26" s="2855" t="s">
        <v>2340</v>
      </c>
      <c r="S26" s="2953"/>
      <c r="T26" s="2953"/>
      <c r="U26" s="2953"/>
      <c r="V26" s="2946"/>
    </row>
    <row r="27" spans="1:22" s="2850" customFormat="1" ht="13.15" customHeight="1">
      <c r="A27" s="2935"/>
      <c r="B27" s="2936" t="s">
        <v>2415</v>
      </c>
      <c r="C27" s="2954">
        <f ca="1">E7</f>
        <v>0.49677419354838703</v>
      </c>
      <c r="D27" s="2938">
        <f ca="1">C27</f>
        <v>0.49677419354838703</v>
      </c>
      <c r="E27" s="2939"/>
      <c r="F27" s="2940"/>
      <c r="G27" s="2934"/>
      <c r="H27" s="2955"/>
      <c r="I27" s="2946"/>
      <c r="J27" s="376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4.6500000000000004</v>
      </c>
      <c r="D29" s="2931">
        <f>D23*C30</f>
        <v>4.6500000000000004</v>
      </c>
      <c r="E29" s="2932">
        <f>E23*C30</f>
        <v>4.6500000000000004</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0.05</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 ca="1">C23-C26-C29</f>
        <v>42.35</v>
      </c>
      <c r="D32" s="2931">
        <f ca="1">D23-D26-D29</f>
        <v>42.150000000000006</v>
      </c>
      <c r="E32" s="2932">
        <f>E23-E26-E29</f>
        <v>88.35</v>
      </c>
      <c r="F32" s="2933"/>
      <c r="G32" s="2927"/>
      <c r="H32" s="2845"/>
      <c r="I32" s="2846"/>
      <c r="J32" s="3742" t="s">
        <v>2316</v>
      </c>
      <c r="K32" s="3743"/>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4" t="s">
        <v>2326</v>
      </c>
      <c r="K33" s="3745"/>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v>5.5E-2</v>
      </c>
      <c r="D34" s="2975">
        <f>C34</f>
        <v>5.5E-2</v>
      </c>
      <c r="E34" s="2976">
        <f>C34</f>
        <v>5.5E-2</v>
      </c>
      <c r="F34" s="2933"/>
      <c r="G34" s="2927"/>
      <c r="H34" s="2955"/>
      <c r="I34" s="2946"/>
      <c r="J34" s="3744" t="s">
        <v>2328</v>
      </c>
      <c r="K34" s="374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v>1.4999999999999999E-2</v>
      </c>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2426</v>
      </c>
      <c r="C36" s="2984">
        <f>项目基本情况!E15</f>
        <v>23.93</v>
      </c>
      <c r="D36" s="2985"/>
      <c r="E36" s="2986"/>
      <c r="F36" s="2987">
        <f>C36+D36+E36</f>
        <v>23.93</v>
      </c>
      <c r="G36" s="2927"/>
      <c r="H36" s="2845"/>
      <c r="I36" s="2846"/>
      <c r="J36" s="3749">
        <v>1</v>
      </c>
      <c r="K36" s="3750" t="s">
        <v>2427</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9"/>
      <c r="K37" s="3751"/>
      <c r="L37" s="2880"/>
      <c r="M37" s="2881"/>
      <c r="N37" s="2857"/>
      <c r="O37" s="2882"/>
      <c r="P37" s="2882"/>
      <c r="Q37" s="2883"/>
      <c r="R37" s="2884"/>
      <c r="S37" s="2919"/>
      <c r="T37" s="2838" t="s">
        <v>2344</v>
      </c>
      <c r="U37" s="2838"/>
      <c r="V37" s="2846"/>
    </row>
    <row r="38" spans="1:23" s="2850" customFormat="1" ht="13.15" customHeight="1">
      <c r="A38" s="2928">
        <v>8</v>
      </c>
      <c r="B38" s="2929"/>
      <c r="C38" s="2886">
        <f ca="1">ROUND(C32*(1-((1+C35)/(1+C34))^C36)/(C34-C35),0)</f>
        <v>639</v>
      </c>
      <c r="D38" s="2886">
        <f ca="1">IF(D23=0,0,ROUND(D32*(1-((1+D35)/(1+D34))^D36)/(D34-D35),0))</f>
        <v>0</v>
      </c>
      <c r="E38" s="2886">
        <f>IF(E23=0,0,ROUND(E32*(1-((1+E35)/(1+E34))^E36)/(E34-E35),0))</f>
        <v>0</v>
      </c>
      <c r="F38" s="2933"/>
      <c r="G38" s="2927"/>
      <c r="H38" s="2845"/>
      <c r="I38" s="2846"/>
      <c r="J38" s="3749"/>
      <c r="K38" s="3751"/>
      <c r="L38" s="2880"/>
      <c r="M38" s="2881"/>
      <c r="N38" s="2857"/>
      <c r="O38" s="2882"/>
      <c r="P38" s="2882"/>
      <c r="Q38" s="2883"/>
      <c r="R38" s="2884"/>
      <c r="S38" s="2919"/>
      <c r="T38" s="2838" t="s">
        <v>2351</v>
      </c>
      <c r="U38" s="2838"/>
      <c r="V38" s="2846"/>
    </row>
    <row r="39" spans="1:23" s="2850" customFormat="1" ht="13.15" customHeight="1">
      <c r="A39" s="2928">
        <v>9</v>
      </c>
      <c r="B39" s="2929" t="s">
        <v>2428</v>
      </c>
      <c r="C39" s="2894">
        <f ca="1">C38</f>
        <v>639</v>
      </c>
      <c r="D39" s="2929">
        <f ca="1">D38/(1+D34)^C36</f>
        <v>0</v>
      </c>
      <c r="E39" s="2929">
        <f>E38/(1+E34)^(C36+D36)</f>
        <v>0</v>
      </c>
      <c r="F39" s="2933"/>
      <c r="G39" s="2988"/>
      <c r="H39" s="2845"/>
      <c r="I39" s="2846"/>
      <c r="J39" s="3749"/>
      <c r="K39" s="3751"/>
      <c r="L39" s="2880"/>
      <c r="M39" s="2881"/>
      <c r="N39" s="2857"/>
      <c r="O39" s="2882"/>
      <c r="P39" s="2882"/>
      <c r="Q39" s="2883"/>
      <c r="R39" s="2884"/>
      <c r="S39" s="2919"/>
      <c r="T39" s="2838"/>
      <c r="U39" s="2838"/>
      <c r="V39" s="2846"/>
    </row>
    <row r="40" spans="1:23" s="2850" customFormat="1" ht="13.15" customHeight="1">
      <c r="A40" s="2989">
        <v>10</v>
      </c>
      <c r="B40" s="2929" t="s">
        <v>2429</v>
      </c>
      <c r="C40" s="2990">
        <f ca="1">C39+D39+E39</f>
        <v>639</v>
      </c>
      <c r="D40" s="2991"/>
      <c r="E40" s="2991"/>
      <c r="F40" s="2992"/>
      <c r="G40" s="2927"/>
      <c r="H40" s="2845"/>
      <c r="I40" s="2846"/>
      <c r="J40" s="3749"/>
      <c r="K40" s="3752"/>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f ca="1">ROUND(C40*10000/B4,0)</f>
        <v>7024</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E42" s="2850" t="s">
        <v>3518</v>
      </c>
      <c r="G42" s="2997"/>
      <c r="H42" s="2845"/>
      <c r="I42" s="2846"/>
      <c r="J42" s="3759">
        <v>3</v>
      </c>
      <c r="K42" s="2948" t="s">
        <v>2410</v>
      </c>
      <c r="L42" s="2949"/>
      <c r="M42" s="2950"/>
      <c r="N42" s="2951" t="s">
        <v>2411</v>
      </c>
      <c r="O42" s="2951" t="s">
        <v>2412</v>
      </c>
      <c r="P42" s="2952" t="s">
        <v>2413</v>
      </c>
      <c r="Q42" s="2952" t="s">
        <v>2414</v>
      </c>
      <c r="R42" s="2855" t="s">
        <v>2340</v>
      </c>
      <c r="S42" s="2953"/>
      <c r="T42" s="2953"/>
      <c r="U42" s="2838"/>
      <c r="V42" s="2846"/>
    </row>
    <row r="43" spans="1:23" ht="13.15" customHeight="1">
      <c r="A43" s="2850"/>
      <c r="B43" s="2850"/>
      <c r="C43" s="2850" t="s">
        <v>3516</v>
      </c>
      <c r="D43" s="2850">
        <v>2856</v>
      </c>
      <c r="E43" s="2850">
        <f>R5</f>
        <v>291</v>
      </c>
      <c r="F43" s="2850"/>
      <c r="I43" s="2833"/>
      <c r="J43" s="3760"/>
      <c r="K43" s="2956"/>
      <c r="L43" s="2957"/>
      <c r="M43" s="2958"/>
      <c r="N43" s="2881"/>
      <c r="O43" s="2881"/>
      <c r="P43" s="2881"/>
      <c r="Q43" s="2945"/>
      <c r="R43" s="2916">
        <f>ROUND(O43*N43*P43*(1-Q43)/10000,0)</f>
        <v>0</v>
      </c>
      <c r="S43" s="2919"/>
      <c r="T43" s="2838"/>
      <c r="V43" s="2999"/>
      <c r="W43" s="3000"/>
    </row>
    <row r="44" spans="1:23" ht="13.15" customHeight="1" thickBot="1">
      <c r="C44" s="2839" t="s">
        <v>3517</v>
      </c>
      <c r="D44" s="2839">
        <f>'数据-汇总表'!F19</f>
        <v>909.8</v>
      </c>
      <c r="E44" s="2839">
        <f>ROUND(D44/D43*E43,0)</f>
        <v>93</v>
      </c>
      <c r="J44" s="2961">
        <v>6</v>
      </c>
      <c r="K44" s="2962" t="s">
        <v>2417</v>
      </c>
      <c r="L44" s="3001" t="s">
        <v>2418</v>
      </c>
      <c r="M44" s="2964"/>
      <c r="N44" s="3001" t="s">
        <v>2419</v>
      </c>
      <c r="O44" s="2964"/>
      <c r="P44" s="3001" t="s">
        <v>2420</v>
      </c>
      <c r="Q44" s="2966">
        <v>1.4999999999999999E-2</v>
      </c>
      <c r="R44" s="2967"/>
    </row>
    <row r="46" spans="1:23" ht="13.15" customHeight="1">
      <c r="B46" s="2839" t="s">
        <v>3519</v>
      </c>
      <c r="C46" s="2839" t="s">
        <v>3521</v>
      </c>
      <c r="D46" s="2839" t="s">
        <v>3522</v>
      </c>
      <c r="E46" s="2839" t="s">
        <v>3523</v>
      </c>
    </row>
    <row r="47" spans="1:23" ht="13.15" customHeight="1">
      <c r="A47" s="2839" t="s">
        <v>3520</v>
      </c>
      <c r="B47" s="2839">
        <v>275</v>
      </c>
      <c r="C47" s="2839">
        <v>245</v>
      </c>
      <c r="D47" s="2839">
        <v>325</v>
      </c>
      <c r="E47" s="2839">
        <v>100</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519</v>
      </c>
      <c r="C2" s="1870" t="s">
        <v>1651</v>
      </c>
      <c r="D2" s="1871" t="s">
        <v>1652</v>
      </c>
      <c r="E2" s="2605">
        <f>SUM(E6:E13)</f>
        <v>909.8</v>
      </c>
      <c r="F2" s="2704"/>
      <c r="G2" s="1487"/>
      <c r="H2" s="1487"/>
      <c r="I2" s="1487"/>
      <c r="J2" s="1487"/>
      <c r="K2" s="1487"/>
      <c r="L2" s="1487"/>
      <c r="M2" s="1487"/>
      <c r="N2" s="1487"/>
      <c r="O2" s="1487"/>
      <c r="P2" s="1487"/>
      <c r="Q2" s="1487"/>
      <c r="R2" s="1487"/>
      <c r="S2" s="1487"/>
    </row>
    <row r="3" spans="1:22" ht="15.75">
      <c r="A3" s="1868" t="s">
        <v>686</v>
      </c>
      <c r="B3" s="2599">
        <f ca="1">ROUND(B2*10000/E2,0)</f>
        <v>5705</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61" t="s">
        <v>1654</v>
      </c>
      <c r="C5" s="3762"/>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519</v>
      </c>
      <c r="C6" s="1870" t="s">
        <v>1651</v>
      </c>
      <c r="D6" s="2706"/>
      <c r="E6" s="2604">
        <f>IF(OR(A6=0,F6="否"),0,'数据-取费表'!K6+'数据-取费表'!S6)</f>
        <v>909.8</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909.8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688" t="s">
        <v>1667</v>
      </c>
      <c r="D4" s="3689"/>
      <c r="E4" s="3690" t="s">
        <v>1668</v>
      </c>
      <c r="F4" s="3691"/>
      <c r="G4" s="3688" t="s">
        <v>1669</v>
      </c>
      <c r="H4" s="3689"/>
      <c r="I4" s="3688" t="s">
        <v>1670</v>
      </c>
      <c r="J4" s="3689"/>
      <c r="K4" s="1887" t="s">
        <v>1671</v>
      </c>
      <c r="L4" s="2712"/>
      <c r="M4" s="2713"/>
      <c r="N4" s="2713"/>
      <c r="O4" s="2713"/>
      <c r="P4" s="3692" t="s">
        <v>1672</v>
      </c>
      <c r="Q4" s="3693"/>
      <c r="R4" s="3674" t="s">
        <v>1668</v>
      </c>
      <c r="S4" s="3675"/>
      <c r="T4" s="3674" t="s">
        <v>1669</v>
      </c>
      <c r="U4" s="3675"/>
      <c r="V4" s="3671" t="s">
        <v>1670</v>
      </c>
      <c r="W4" s="3671"/>
      <c r="X4" s="1353"/>
      <c r="Y4" s="3674" t="s">
        <v>1672</v>
      </c>
      <c r="Z4" s="3675"/>
      <c r="AA4" s="3668" t="s">
        <v>1668</v>
      </c>
      <c r="AB4" s="3668" t="s">
        <v>1669</v>
      </c>
      <c r="AC4" s="3668" t="s">
        <v>1670</v>
      </c>
    </row>
    <row r="5" spans="1:29" ht="15">
      <c r="A5" s="358"/>
      <c r="B5" s="359"/>
      <c r="C5" s="3764" t="s">
        <v>1673</v>
      </c>
      <c r="D5" s="3681"/>
      <c r="E5" s="3763" t="s">
        <v>1674</v>
      </c>
      <c r="F5" s="3679"/>
      <c r="G5" s="3764" t="s">
        <v>1675</v>
      </c>
      <c r="H5" s="3681"/>
      <c r="I5" s="3764" t="s">
        <v>1676</v>
      </c>
      <c r="J5" s="3681"/>
      <c r="K5" s="1888"/>
      <c r="L5" s="2712"/>
      <c r="M5" s="2713"/>
      <c r="N5" s="2713"/>
      <c r="O5" s="2713"/>
      <c r="P5" s="3694"/>
      <c r="Q5" s="3695"/>
      <c r="R5" s="3676"/>
      <c r="S5" s="3677"/>
      <c r="T5" s="3676"/>
      <c r="U5" s="3677"/>
      <c r="V5" s="3671"/>
      <c r="W5" s="3671"/>
      <c r="X5" s="1353"/>
      <c r="Y5" s="3676"/>
      <c r="Z5" s="3677"/>
      <c r="AA5" s="3669"/>
      <c r="AB5" s="3669"/>
      <c r="AC5" s="3669"/>
    </row>
    <row r="6" spans="1:29" ht="15.75" thickBot="1">
      <c r="A6" s="360"/>
      <c r="B6" s="361"/>
      <c r="C6" s="3682" t="s">
        <v>1677</v>
      </c>
      <c r="D6" s="3683"/>
      <c r="E6" s="3684" t="s">
        <v>1677</v>
      </c>
      <c r="F6" s="3685"/>
      <c r="G6" s="3682" t="s">
        <v>1677</v>
      </c>
      <c r="H6" s="3683"/>
      <c r="I6" s="3682" t="s">
        <v>1677</v>
      </c>
      <c r="J6" s="3683"/>
      <c r="K6" s="1888" t="s">
        <v>1678</v>
      </c>
      <c r="L6" s="2712"/>
      <c r="M6" s="2713"/>
      <c r="N6" s="2713"/>
      <c r="O6" s="2713"/>
      <c r="P6" s="3696"/>
      <c r="Q6" s="3697"/>
      <c r="R6" s="3676"/>
      <c r="S6" s="3677"/>
      <c r="T6" s="3698"/>
      <c r="U6" s="3699"/>
      <c r="V6" s="3671"/>
      <c r="W6" s="3671"/>
      <c r="X6" s="1353"/>
      <c r="Y6" s="3698"/>
      <c r="Z6" s="3699"/>
      <c r="AA6" s="3670"/>
      <c r="AB6" s="3670"/>
      <c r="AC6" s="3670"/>
    </row>
    <row r="7" spans="1:29" s="108" customFormat="1" ht="15.75" thickBot="1">
      <c r="A7" s="362" t="s">
        <v>1679</v>
      </c>
      <c r="B7" s="363"/>
      <c r="C7" s="364">
        <f>'数据-取费表'!B2</f>
        <v>45825</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72" t="s">
        <v>1680</v>
      </c>
      <c r="Q7" s="3700"/>
      <c r="R7" s="700" t="s">
        <v>20</v>
      </c>
      <c r="S7" s="701">
        <f t="shared" ref="S7:S15" si="0">F7</f>
        <v>0</v>
      </c>
      <c r="T7" s="700" t="s">
        <v>20</v>
      </c>
      <c r="U7" s="701">
        <f t="shared" ref="U7:U15" si="1">H7</f>
        <v>0</v>
      </c>
      <c r="V7" s="700" t="s">
        <v>20</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72" t="s">
        <v>1683</v>
      </c>
      <c r="Q8" s="3673"/>
      <c r="R8" s="700" t="s">
        <v>20</v>
      </c>
      <c r="S8" s="701">
        <f t="shared" si="0"/>
        <v>100</v>
      </c>
      <c r="T8" s="700" t="s">
        <v>20</v>
      </c>
      <c r="U8" s="701">
        <f t="shared" si="1"/>
        <v>100</v>
      </c>
      <c r="V8" s="700" t="s">
        <v>20</v>
      </c>
      <c r="W8" s="701">
        <f t="shared" si="2"/>
        <v>100</v>
      </c>
      <c r="X8" s="702"/>
      <c r="Y8" s="3672" t="s">
        <v>1683</v>
      </c>
      <c r="Z8" s="367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7" t="s">
        <v>1686</v>
      </c>
      <c r="Q9" s="1341"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7"/>
      <c r="Q11" s="1341" t="str">
        <f t="shared" si="6"/>
        <v>容积率</v>
      </c>
      <c r="R11" s="700" t="s">
        <v>18</v>
      </c>
      <c r="S11" s="701" t="e">
        <f t="shared" si="0"/>
        <v>#N/A</v>
      </c>
      <c r="T11" s="700" t="s">
        <v>18</v>
      </c>
      <c r="U11" s="701" t="e">
        <f t="shared" si="1"/>
        <v>#N/A</v>
      </c>
      <c r="V11" s="700" t="s">
        <v>18</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7"/>
      <c r="Q12" s="1341">
        <f t="shared" si="6"/>
        <v>111</v>
      </c>
      <c r="R12" s="700" t="s">
        <v>18</v>
      </c>
      <c r="S12" s="701">
        <f t="shared" si="0"/>
        <v>100</v>
      </c>
      <c r="T12" s="700" t="s">
        <v>18</v>
      </c>
      <c r="U12" s="701">
        <f t="shared" si="1"/>
        <v>100</v>
      </c>
      <c r="V12" s="700" t="s">
        <v>18</v>
      </c>
      <c r="W12" s="701">
        <f t="shared" si="2"/>
        <v>100</v>
      </c>
      <c r="X12" s="702"/>
      <c r="Y12" s="364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7"/>
      <c r="Q13" s="1341">
        <f t="shared" si="6"/>
        <v>111</v>
      </c>
      <c r="R13" s="700" t="s">
        <v>18</v>
      </c>
      <c r="S13" s="701">
        <f t="shared" si="0"/>
        <v>100</v>
      </c>
      <c r="T13" s="700" t="s">
        <v>18</v>
      </c>
      <c r="U13" s="701">
        <f t="shared" si="1"/>
        <v>100</v>
      </c>
      <c r="V13" s="700" t="s">
        <v>18</v>
      </c>
      <c r="W13" s="701">
        <f t="shared" si="2"/>
        <v>100</v>
      </c>
      <c r="X13" s="702"/>
      <c r="Y13" s="364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7"/>
      <c r="Q14" s="1341">
        <f t="shared" si="6"/>
        <v>111</v>
      </c>
      <c r="R14" s="700" t="s">
        <v>18</v>
      </c>
      <c r="S14" s="701">
        <f t="shared" si="0"/>
        <v>100</v>
      </c>
      <c r="T14" s="700" t="s">
        <v>18</v>
      </c>
      <c r="U14" s="701">
        <f t="shared" si="1"/>
        <v>100</v>
      </c>
      <c r="V14" s="700" t="s">
        <v>18</v>
      </c>
      <c r="W14" s="701">
        <f t="shared" si="2"/>
        <v>100</v>
      </c>
      <c r="X14" s="702"/>
      <c r="Y14" s="3644"/>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1" t="s">
        <v>1691</v>
      </c>
      <c r="Q15" s="1350" t="str">
        <f t="shared" si="6"/>
        <v>居住社区成熟度</v>
      </c>
      <c r="R15" s="704" t="s">
        <v>18</v>
      </c>
      <c r="S15" s="705">
        <f t="shared" si="0"/>
        <v>100</v>
      </c>
      <c r="T15" s="704" t="s">
        <v>18</v>
      </c>
      <c r="U15" s="705">
        <f t="shared" si="1"/>
        <v>100</v>
      </c>
      <c r="V15" s="704" t="s">
        <v>18</v>
      </c>
      <c r="W15" s="705">
        <f t="shared" si="2"/>
        <v>100</v>
      </c>
      <c r="X15" s="1353"/>
      <c r="Y15" s="370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02"/>
      <c r="Q16" s="1350"/>
      <c r="R16" s="704"/>
      <c r="S16" s="705"/>
      <c r="T16" s="704"/>
      <c r="U16" s="705"/>
      <c r="V16" s="704"/>
      <c r="W16" s="705"/>
      <c r="X16" s="1353"/>
      <c r="Y16" s="370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2"/>
      <c r="Q17" s="1350" t="str">
        <f>B17</f>
        <v>交通便捷度</v>
      </c>
      <c r="R17" s="704" t="s">
        <v>18</v>
      </c>
      <c r="S17" s="705">
        <f>F17</f>
        <v>100</v>
      </c>
      <c r="T17" s="704" t="s">
        <v>18</v>
      </c>
      <c r="U17" s="705">
        <f>H17</f>
        <v>100</v>
      </c>
      <c r="V17" s="704" t="s">
        <v>18</v>
      </c>
      <c r="W17" s="705">
        <f>J17</f>
        <v>100</v>
      </c>
      <c r="X17" s="1353"/>
      <c r="Y17" s="370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02"/>
      <c r="Q18" s="1350"/>
      <c r="R18" s="704"/>
      <c r="S18" s="705"/>
      <c r="T18" s="704"/>
      <c r="U18" s="705"/>
      <c r="V18" s="704"/>
      <c r="W18" s="705"/>
      <c r="X18" s="1353"/>
      <c r="Y18" s="370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2"/>
      <c r="Q19" s="1350" t="str">
        <f>B19</f>
        <v>公共配套设施</v>
      </c>
      <c r="R19" s="704" t="s">
        <v>18</v>
      </c>
      <c r="S19" s="705">
        <f>F19</f>
        <v>100</v>
      </c>
      <c r="T19" s="704" t="s">
        <v>18</v>
      </c>
      <c r="U19" s="705">
        <f>H19</f>
        <v>100</v>
      </c>
      <c r="V19" s="704" t="s">
        <v>18</v>
      </c>
      <c r="W19" s="705">
        <f>J19</f>
        <v>100</v>
      </c>
      <c r="X19" s="1353"/>
      <c r="Y19" s="370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02"/>
      <c r="Q20" s="1350"/>
      <c r="R20" s="704"/>
      <c r="S20" s="705"/>
      <c r="T20" s="704"/>
      <c r="U20" s="705"/>
      <c r="V20" s="704"/>
      <c r="W20" s="705"/>
      <c r="X20" s="1353"/>
      <c r="Y20" s="3704"/>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2"/>
      <c r="Q21" s="1350" t="str">
        <f>B21</f>
        <v>基础设施水平</v>
      </c>
      <c r="R21" s="704" t="s">
        <v>14</v>
      </c>
      <c r="S21" s="705">
        <f>F21</f>
        <v>100</v>
      </c>
      <c r="T21" s="704" t="s">
        <v>14</v>
      </c>
      <c r="U21" s="705">
        <f>H21</f>
        <v>100</v>
      </c>
      <c r="V21" s="704" t="s">
        <v>14</v>
      </c>
      <c r="W21" s="705">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02"/>
      <c r="Q22" s="1350"/>
      <c r="R22" s="704"/>
      <c r="S22" s="705"/>
      <c r="T22" s="704"/>
      <c r="U22" s="705"/>
      <c r="V22" s="704"/>
      <c r="W22" s="705"/>
      <c r="X22" s="1353"/>
      <c r="Y22" s="370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2"/>
      <c r="Q23" s="1350" t="str">
        <f>B23</f>
        <v>自然及人文环境</v>
      </c>
      <c r="R23" s="704" t="s">
        <v>18</v>
      </c>
      <c r="S23" s="705">
        <f>F23</f>
        <v>100</v>
      </c>
      <c r="T23" s="704" t="s">
        <v>18</v>
      </c>
      <c r="U23" s="705">
        <f>H23</f>
        <v>100</v>
      </c>
      <c r="V23" s="704" t="s">
        <v>18</v>
      </c>
      <c r="W23" s="705">
        <f>J23</f>
        <v>100</v>
      </c>
      <c r="X23" s="1353"/>
      <c r="Y23" s="370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02"/>
      <c r="Q24" s="1350"/>
      <c r="R24" s="704"/>
      <c r="S24" s="705"/>
      <c r="T24" s="704"/>
      <c r="U24" s="705"/>
      <c r="V24" s="704"/>
      <c r="W24" s="705"/>
      <c r="X24" s="1353"/>
      <c r="Y24" s="370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0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0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02"/>
      <c r="Q26" s="1350" t="str">
        <f t="shared" si="11"/>
        <v>朝向</v>
      </c>
      <c r="R26" s="704" t="s">
        <v>18</v>
      </c>
      <c r="S26" s="705">
        <f t="shared" si="12"/>
        <v>100</v>
      </c>
      <c r="T26" s="704" t="s">
        <v>18</v>
      </c>
      <c r="U26" s="705">
        <f t="shared" si="13"/>
        <v>100</v>
      </c>
      <c r="V26" s="704" t="s">
        <v>18</v>
      </c>
      <c r="W26" s="705">
        <f t="shared" si="14"/>
        <v>100</v>
      </c>
      <c r="X26" s="1353"/>
      <c r="Y26" s="370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02"/>
      <c r="Q27" s="1341">
        <f t="shared" si="11"/>
        <v>111</v>
      </c>
      <c r="R27" s="700" t="s">
        <v>18</v>
      </c>
      <c r="S27" s="701">
        <f t="shared" si="12"/>
        <v>100</v>
      </c>
      <c r="T27" s="700" t="s">
        <v>18</v>
      </c>
      <c r="U27" s="701">
        <f t="shared" si="13"/>
        <v>100</v>
      </c>
      <c r="V27" s="700" t="s">
        <v>18</v>
      </c>
      <c r="W27" s="701">
        <f t="shared" si="14"/>
        <v>100</v>
      </c>
      <c r="X27" s="702"/>
      <c r="Y27" s="370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02"/>
      <c r="Q28" s="1350">
        <f t="shared" si="11"/>
        <v>111</v>
      </c>
      <c r="R28" s="704" t="s">
        <v>18</v>
      </c>
      <c r="S28" s="705">
        <f t="shared" si="12"/>
        <v>100</v>
      </c>
      <c r="T28" s="704" t="s">
        <v>18</v>
      </c>
      <c r="U28" s="705">
        <f t="shared" si="13"/>
        <v>100</v>
      </c>
      <c r="V28" s="704" t="s">
        <v>18</v>
      </c>
      <c r="W28" s="705">
        <f t="shared" si="14"/>
        <v>100</v>
      </c>
      <c r="X28" s="1353"/>
      <c r="Y28" s="370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02"/>
      <c r="Q29" s="1350">
        <f t="shared" si="11"/>
        <v>111</v>
      </c>
      <c r="R29" s="704" t="s">
        <v>18</v>
      </c>
      <c r="S29" s="705">
        <f t="shared" si="12"/>
        <v>100</v>
      </c>
      <c r="T29" s="704" t="s">
        <v>18</v>
      </c>
      <c r="U29" s="705">
        <f t="shared" si="13"/>
        <v>100</v>
      </c>
      <c r="V29" s="704" t="s">
        <v>18</v>
      </c>
      <c r="W29" s="705">
        <f t="shared" si="14"/>
        <v>100</v>
      </c>
      <c r="X29" s="1353"/>
      <c r="Y29" s="370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02"/>
      <c r="Q30" s="1350">
        <f t="shared" si="11"/>
        <v>111</v>
      </c>
      <c r="R30" s="704" t="s">
        <v>18</v>
      </c>
      <c r="S30" s="705">
        <f t="shared" si="12"/>
        <v>100</v>
      </c>
      <c r="T30" s="704" t="s">
        <v>18</v>
      </c>
      <c r="U30" s="705">
        <f t="shared" si="13"/>
        <v>100</v>
      </c>
      <c r="V30" s="704" t="s">
        <v>18</v>
      </c>
      <c r="W30" s="705">
        <f t="shared" si="14"/>
        <v>100</v>
      </c>
      <c r="X30" s="1353"/>
      <c r="Y30" s="370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02"/>
      <c r="Q31" s="1350">
        <f t="shared" si="11"/>
        <v>111</v>
      </c>
      <c r="R31" s="704" t="s">
        <v>18</v>
      </c>
      <c r="S31" s="705">
        <f t="shared" si="12"/>
        <v>100</v>
      </c>
      <c r="T31" s="704" t="s">
        <v>18</v>
      </c>
      <c r="U31" s="705">
        <f t="shared" si="13"/>
        <v>100</v>
      </c>
      <c r="V31" s="704" t="s">
        <v>18</v>
      </c>
      <c r="W31" s="705">
        <f t="shared" si="14"/>
        <v>100</v>
      </c>
      <c r="X31" s="1353"/>
      <c r="Y31" s="370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5" t="s">
        <v>1696</v>
      </c>
      <c r="Q32" s="1350" t="str">
        <f t="shared" si="11"/>
        <v>建筑类型</v>
      </c>
      <c r="R32" s="704" t="s">
        <v>18</v>
      </c>
      <c r="S32" s="705">
        <f t="shared" si="12"/>
        <v>100</v>
      </c>
      <c r="T32" s="704" t="s">
        <v>18</v>
      </c>
      <c r="U32" s="705">
        <f t="shared" si="13"/>
        <v>100</v>
      </c>
      <c r="V32" s="704" t="s">
        <v>18</v>
      </c>
      <c r="W32" s="705">
        <f t="shared" si="14"/>
        <v>100</v>
      </c>
      <c r="X32" s="1353"/>
      <c r="Y32" s="370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6"/>
      <c r="Q34" s="1350" t="str">
        <f t="shared" si="11"/>
        <v>建筑结构</v>
      </c>
      <c r="R34" s="704" t="s">
        <v>18</v>
      </c>
      <c r="S34" s="705">
        <f t="shared" si="12"/>
        <v>100</v>
      </c>
      <c r="T34" s="704" t="s">
        <v>18</v>
      </c>
      <c r="U34" s="705">
        <f t="shared" si="13"/>
        <v>100</v>
      </c>
      <c r="V34" s="704" t="s">
        <v>18</v>
      </c>
      <c r="W34" s="705">
        <f t="shared" si="14"/>
        <v>100</v>
      </c>
      <c r="X34" s="1353"/>
      <c r="Y34" s="370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6"/>
      <c r="Q35" s="1350" t="str">
        <f t="shared" si="11"/>
        <v>建筑品质</v>
      </c>
      <c r="R35" s="704" t="s">
        <v>18</v>
      </c>
      <c r="S35" s="705">
        <f t="shared" si="12"/>
        <v>100</v>
      </c>
      <c r="T35" s="704" t="s">
        <v>18</v>
      </c>
      <c r="U35" s="705">
        <f t="shared" si="13"/>
        <v>100</v>
      </c>
      <c r="V35" s="704" t="s">
        <v>18</v>
      </c>
      <c r="W35" s="705">
        <f t="shared" si="14"/>
        <v>100</v>
      </c>
      <c r="X35" s="1353"/>
      <c r="Y35" s="370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6"/>
      <c r="Q36" s="1350" t="str">
        <f t="shared" si="11"/>
        <v>公共部分装修</v>
      </c>
      <c r="R36" s="704" t="s">
        <v>18</v>
      </c>
      <c r="S36" s="705">
        <f t="shared" si="12"/>
        <v>100</v>
      </c>
      <c r="T36" s="704" t="s">
        <v>18</v>
      </c>
      <c r="U36" s="705">
        <f t="shared" si="13"/>
        <v>100</v>
      </c>
      <c r="V36" s="704" t="s">
        <v>18</v>
      </c>
      <c r="W36" s="705">
        <f t="shared" si="14"/>
        <v>100</v>
      </c>
      <c r="X36" s="1353"/>
      <c r="Y36" s="370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6"/>
      <c r="Q37" s="1341"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6" t="s">
        <v>1696</v>
      </c>
      <c r="Q38" s="1350" t="str">
        <f t="shared" si="11"/>
        <v>物业管理</v>
      </c>
      <c r="R38" s="704" t="s">
        <v>18</v>
      </c>
      <c r="S38" s="705">
        <f t="shared" si="12"/>
        <v>100</v>
      </c>
      <c r="T38" s="704" t="s">
        <v>18</v>
      </c>
      <c r="U38" s="705">
        <f t="shared" si="13"/>
        <v>100</v>
      </c>
      <c r="V38" s="704" t="s">
        <v>18</v>
      </c>
      <c r="W38" s="705">
        <f t="shared" si="14"/>
        <v>100</v>
      </c>
      <c r="X38" s="1353"/>
      <c r="Y38" s="370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6"/>
      <c r="Q39" s="1350" t="str">
        <f t="shared" si="11"/>
        <v>市政基础设施</v>
      </c>
      <c r="R39" s="704" t="s">
        <v>18</v>
      </c>
      <c r="S39" s="705">
        <f t="shared" si="12"/>
        <v>100</v>
      </c>
      <c r="T39" s="704" t="s">
        <v>18</v>
      </c>
      <c r="U39" s="705">
        <f t="shared" si="13"/>
        <v>100</v>
      </c>
      <c r="V39" s="704" t="s">
        <v>18</v>
      </c>
      <c r="W39" s="705">
        <f t="shared" si="14"/>
        <v>100</v>
      </c>
      <c r="X39" s="1353"/>
      <c r="Y39" s="370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6"/>
      <c r="Q40" s="1350" t="str">
        <f t="shared" si="11"/>
        <v>房型</v>
      </c>
      <c r="R40" s="704" t="s">
        <v>18</v>
      </c>
      <c r="S40" s="705">
        <f t="shared" si="12"/>
        <v>100</v>
      </c>
      <c r="T40" s="704" t="s">
        <v>18</v>
      </c>
      <c r="U40" s="705">
        <f t="shared" si="13"/>
        <v>100</v>
      </c>
      <c r="V40" s="704" t="s">
        <v>18</v>
      </c>
      <c r="W40" s="705">
        <f t="shared" si="14"/>
        <v>100</v>
      </c>
      <c r="X40" s="1353"/>
      <c r="Y40" s="370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6"/>
      <c r="Q42" s="1350" t="str">
        <f t="shared" si="11"/>
        <v>内部装修</v>
      </c>
      <c r="R42" s="704" t="s">
        <v>18</v>
      </c>
      <c r="S42" s="705">
        <f t="shared" si="12"/>
        <v>100</v>
      </c>
      <c r="T42" s="704" t="s">
        <v>18</v>
      </c>
      <c r="U42" s="705">
        <f t="shared" si="13"/>
        <v>100</v>
      </c>
      <c r="V42" s="704" t="s">
        <v>18</v>
      </c>
      <c r="W42" s="705">
        <f t="shared" si="14"/>
        <v>100</v>
      </c>
      <c r="X42" s="1353"/>
      <c r="Y42" s="370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6"/>
      <c r="Q43" s="1350" t="str">
        <f t="shared" si="11"/>
        <v>内部装修维护情况</v>
      </c>
      <c r="R43" s="704" t="s">
        <v>18</v>
      </c>
      <c r="S43" s="705">
        <f t="shared" si="12"/>
        <v>100</v>
      </c>
      <c r="T43" s="704" t="s">
        <v>18</v>
      </c>
      <c r="U43" s="705">
        <f t="shared" si="13"/>
        <v>100</v>
      </c>
      <c r="V43" s="704" t="s">
        <v>18</v>
      </c>
      <c r="W43" s="705">
        <f t="shared" si="14"/>
        <v>100</v>
      </c>
      <c r="X43" s="1353"/>
      <c r="Y43" s="370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6"/>
      <c r="Q44" s="1341">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6"/>
      <c r="Q45" s="1350">
        <f t="shared" si="11"/>
        <v>111</v>
      </c>
      <c r="R45" s="704" t="s">
        <v>18</v>
      </c>
      <c r="S45" s="705">
        <f t="shared" si="12"/>
        <v>100</v>
      </c>
      <c r="T45" s="704" t="s">
        <v>18</v>
      </c>
      <c r="U45" s="705">
        <f t="shared" si="13"/>
        <v>100</v>
      </c>
      <c r="V45" s="704" t="s">
        <v>18</v>
      </c>
      <c r="W45" s="705">
        <f t="shared" si="14"/>
        <v>100</v>
      </c>
      <c r="X45" s="1353"/>
      <c r="Y45" s="370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7"/>
      <c r="Q46" s="1350">
        <f t="shared" si="11"/>
        <v>111</v>
      </c>
      <c r="R46" s="704" t="s">
        <v>17</v>
      </c>
      <c r="S46" s="705">
        <f t="shared" si="12"/>
        <v>100</v>
      </c>
      <c r="T46" s="704" t="s">
        <v>17</v>
      </c>
      <c r="U46" s="705">
        <f t="shared" si="13"/>
        <v>100</v>
      </c>
      <c r="V46" s="704" t="s">
        <v>17</v>
      </c>
      <c r="W46" s="705">
        <f t="shared" si="14"/>
        <v>100</v>
      </c>
      <c r="X46" s="1353"/>
      <c r="Y46" s="370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1"/>
      <c r="M48" s="2722"/>
      <c r="N48" s="2722"/>
      <c r="O48" s="2722"/>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受贵公司委托，我公司对北京市房山区阎村镇焦庄村西大件路北侧1号楼2层商业用房房地产抵押价值进行了预评估。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估价对象为北京市房山区阎村镇焦庄村西大件路北侧1号楼2层商业用房房地产，为所有。根据《国有土地使用证》[]，估价对象（分摊）出让国有建设用地使用权面积为0平方米，建筑面积为909.8平方米。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阎村镇焦庄村西大件路北侧1号楼2层商业用房房地产,属开发建设的综合项目（商业、办公），该项目尚在开发建设中。根据《国有土地使用证》[]，估价对象（分摊）出让国有建设用地使用权面积为0平方米，规划建筑面积为909.8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山区阎村镇焦庄村西大件路北侧1号楼2层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2025年6月17日（评估专业人员实地查勘之日）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909.8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771" t="s">
        <v>1775</v>
      </c>
      <c r="Q4" s="3772"/>
      <c r="R4" s="3766" t="s">
        <v>1771</v>
      </c>
      <c r="S4" s="3767"/>
      <c r="T4" s="3766" t="s">
        <v>1772</v>
      </c>
      <c r="U4" s="3767"/>
      <c r="V4" s="3775" t="s">
        <v>1773</v>
      </c>
      <c r="W4" s="3775"/>
      <c r="X4" s="1956"/>
      <c r="Y4" s="3766" t="s">
        <v>1775</v>
      </c>
      <c r="Z4" s="3767"/>
      <c r="AA4" s="3765" t="s">
        <v>1771</v>
      </c>
      <c r="AB4" s="3765" t="s">
        <v>1772</v>
      </c>
      <c r="AC4" s="3768" t="s">
        <v>1773</v>
      </c>
    </row>
    <row r="5" spans="1:29" ht="15">
      <c r="A5" s="358"/>
      <c r="B5" s="359"/>
      <c r="C5" s="3764" t="s">
        <v>1673</v>
      </c>
      <c r="D5" s="3681"/>
      <c r="E5" s="3763" t="s">
        <v>1674</v>
      </c>
      <c r="F5" s="3679"/>
      <c r="G5" s="3764" t="s">
        <v>1675</v>
      </c>
      <c r="H5" s="3681"/>
      <c r="I5" s="3764" t="s">
        <v>1676</v>
      </c>
      <c r="J5" s="3681"/>
      <c r="K5" s="559"/>
      <c r="L5" s="2712"/>
      <c r="M5" s="2713"/>
      <c r="N5" s="2713"/>
      <c r="O5" s="2713"/>
      <c r="P5" s="3773"/>
      <c r="Q5" s="3695"/>
      <c r="R5" s="3676"/>
      <c r="S5" s="3677"/>
      <c r="T5" s="3676"/>
      <c r="U5" s="3677"/>
      <c r="V5" s="3671"/>
      <c r="W5" s="3671"/>
      <c r="X5" s="1353"/>
      <c r="Y5" s="3676"/>
      <c r="Z5" s="3677"/>
      <c r="AA5" s="3669"/>
      <c r="AB5" s="3669"/>
      <c r="AC5" s="3769"/>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774"/>
      <c r="Q6" s="3697"/>
      <c r="R6" s="3676"/>
      <c r="S6" s="3677"/>
      <c r="T6" s="3698"/>
      <c r="U6" s="3699"/>
      <c r="V6" s="3671"/>
      <c r="W6" s="3671"/>
      <c r="X6" s="1353"/>
      <c r="Y6" s="3698"/>
      <c r="Z6" s="3699"/>
      <c r="AA6" s="3670"/>
      <c r="AB6" s="3670"/>
      <c r="AC6" s="3770"/>
    </row>
    <row r="7" spans="1:29" s="108" customFormat="1" ht="15.75" thickBot="1">
      <c r="A7" s="362" t="s">
        <v>1679</v>
      </c>
      <c r="B7" s="363"/>
      <c r="C7" s="364">
        <f>'数据-取费表'!B2</f>
        <v>45825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1683</v>
      </c>
      <c r="Q8" s="3673"/>
      <c r="R8" s="700" t="s">
        <v>14</v>
      </c>
      <c r="S8" s="701">
        <f t="shared" si="0"/>
        <v>100</v>
      </c>
      <c r="T8" s="700" t="s">
        <v>14</v>
      </c>
      <c r="U8" s="701">
        <f t="shared" si="1"/>
        <v>100</v>
      </c>
      <c r="V8" s="700" t="s">
        <v>14</v>
      </c>
      <c r="W8" s="701">
        <f t="shared" si="2"/>
        <v>100</v>
      </c>
      <c r="X8" s="702"/>
      <c r="Y8" s="3672" t="s">
        <v>1683</v>
      </c>
      <c r="Z8" s="3673"/>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7" t="s">
        <v>1686</v>
      </c>
      <c r="Q9" s="1341"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7"/>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7"/>
      <c r="Q11" s="1341"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7"/>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7"/>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687"/>
      <c r="Q14" s="1341">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1" t="s">
        <v>1691</v>
      </c>
      <c r="Q15" s="1350" t="str">
        <f t="shared" si="6"/>
        <v>办公集聚程度</v>
      </c>
      <c r="R15" s="704" t="s">
        <v>14</v>
      </c>
      <c r="S15" s="705">
        <f t="shared" si="0"/>
        <v>100</v>
      </c>
      <c r="T15" s="704" t="s">
        <v>14</v>
      </c>
      <c r="U15" s="705">
        <f t="shared" si="1"/>
        <v>100</v>
      </c>
      <c r="V15" s="704" t="s">
        <v>14</v>
      </c>
      <c r="W15" s="705">
        <f t="shared" si="2"/>
        <v>100</v>
      </c>
      <c r="X15" s="1353"/>
      <c r="Y15" s="3703"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9"/>
      <c r="M16" s="2713"/>
      <c r="N16" s="2713"/>
      <c r="O16" s="2713"/>
      <c r="P16" s="3702"/>
      <c r="Q16" s="1350"/>
      <c r="R16" s="704"/>
      <c r="S16" s="705"/>
      <c r="T16" s="704"/>
      <c r="U16" s="705"/>
      <c r="V16" s="704"/>
      <c r="W16" s="705"/>
      <c r="X16" s="1353"/>
      <c r="Y16" s="3704"/>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2"/>
      <c r="Q17" s="1350" t="str">
        <f>B17</f>
        <v>交通便捷度</v>
      </c>
      <c r="R17" s="704" t="s">
        <v>14</v>
      </c>
      <c r="S17" s="705">
        <f>F17</f>
        <v>100</v>
      </c>
      <c r="T17" s="704" t="s">
        <v>14</v>
      </c>
      <c r="U17" s="705">
        <f>H17</f>
        <v>100</v>
      </c>
      <c r="V17" s="704" t="s">
        <v>14</v>
      </c>
      <c r="W17" s="705">
        <f>J17</f>
        <v>100</v>
      </c>
      <c r="X17" s="1353"/>
      <c r="Y17" s="3704"/>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9"/>
      <c r="M18" s="2713"/>
      <c r="N18" s="2713"/>
      <c r="O18" s="2713"/>
      <c r="P18" s="3702"/>
      <c r="Q18" s="1350"/>
      <c r="R18" s="704"/>
      <c r="S18" s="705"/>
      <c r="T18" s="704"/>
      <c r="U18" s="705"/>
      <c r="V18" s="704"/>
      <c r="W18" s="705"/>
      <c r="X18" s="1353"/>
      <c r="Y18" s="3704"/>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2"/>
      <c r="Q19" s="1350" t="str">
        <f>B19</f>
        <v>公共配套设施</v>
      </c>
      <c r="R19" s="704" t="s">
        <v>14</v>
      </c>
      <c r="S19" s="705">
        <f>F19</f>
        <v>100</v>
      </c>
      <c r="T19" s="704" t="s">
        <v>14</v>
      </c>
      <c r="U19" s="705">
        <f>H19</f>
        <v>100</v>
      </c>
      <c r="V19" s="704" t="s">
        <v>14</v>
      </c>
      <c r="W19" s="705">
        <f>J19</f>
        <v>100</v>
      </c>
      <c r="X19" s="1353"/>
      <c r="Y19" s="3704"/>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9"/>
      <c r="M20" s="2713"/>
      <c r="N20" s="2713"/>
      <c r="O20" s="2713"/>
      <c r="P20" s="3702"/>
      <c r="Q20" s="1350"/>
      <c r="R20" s="704"/>
      <c r="S20" s="705"/>
      <c r="T20" s="704"/>
      <c r="U20" s="705"/>
      <c r="V20" s="704"/>
      <c r="W20" s="705"/>
      <c r="X20" s="1353"/>
      <c r="Y20" s="3704"/>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2"/>
      <c r="Q21" s="1350" t="str">
        <f>B21</f>
        <v>基础设施水平</v>
      </c>
      <c r="R21" s="704" t="s">
        <v>14</v>
      </c>
      <c r="S21" s="705">
        <f>F21</f>
        <v>100</v>
      </c>
      <c r="T21" s="704" t="s">
        <v>14</v>
      </c>
      <c r="U21" s="705">
        <f>H21</f>
        <v>100</v>
      </c>
      <c r="V21" s="704" t="s">
        <v>14</v>
      </c>
      <c r="W21" s="705">
        <f>J21</f>
        <v>100</v>
      </c>
      <c r="X21" s="1353"/>
      <c r="Y21" s="3704"/>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9"/>
      <c r="L22" s="2719"/>
      <c r="M22" s="2713"/>
      <c r="N22" s="2713"/>
      <c r="O22" s="2713"/>
      <c r="P22" s="3702"/>
      <c r="Q22" s="1350"/>
      <c r="R22" s="704"/>
      <c r="S22" s="705"/>
      <c r="T22" s="704"/>
      <c r="U22" s="705"/>
      <c r="V22" s="704"/>
      <c r="W22" s="705"/>
      <c r="X22" s="1353"/>
      <c r="Y22" s="3704"/>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2"/>
      <c r="Q23" s="1350" t="str">
        <f>B23</f>
        <v>环境质量</v>
      </c>
      <c r="R23" s="704" t="s">
        <v>14</v>
      </c>
      <c r="S23" s="705">
        <f>F23</f>
        <v>100</v>
      </c>
      <c r="T23" s="704" t="s">
        <v>14</v>
      </c>
      <c r="U23" s="705">
        <f>H23</f>
        <v>100</v>
      </c>
      <c r="V23" s="704" t="s">
        <v>14</v>
      </c>
      <c r="W23" s="705">
        <f>J23</f>
        <v>100</v>
      </c>
      <c r="X23" s="1353"/>
      <c r="Y23" s="3704"/>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9"/>
      <c r="M24" s="2713"/>
      <c r="N24" s="2713"/>
      <c r="O24" s="2713"/>
      <c r="P24" s="3702"/>
      <c r="Q24" s="1350"/>
      <c r="R24" s="704"/>
      <c r="S24" s="705"/>
      <c r="T24" s="704"/>
      <c r="U24" s="705"/>
      <c r="V24" s="704"/>
      <c r="W24" s="705"/>
      <c r="X24" s="1353"/>
      <c r="Y24" s="3704"/>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02"/>
      <c r="Q25" s="1350" t="str">
        <f>B25</f>
        <v>毗邻道路的类型与等级</v>
      </c>
      <c r="R25" s="704" t="s">
        <v>14</v>
      </c>
      <c r="S25" s="705">
        <f>F25</f>
        <v>100</v>
      </c>
      <c r="T25" s="704" t="s">
        <v>14</v>
      </c>
      <c r="U25" s="705">
        <f>H25</f>
        <v>100</v>
      </c>
      <c r="V25" s="704" t="s">
        <v>14</v>
      </c>
      <c r="W25" s="705">
        <f>J25</f>
        <v>100</v>
      </c>
      <c r="X25" s="1353"/>
      <c r="Y25" s="370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02"/>
      <c r="Q26" s="1350"/>
      <c r="R26" s="704"/>
      <c r="S26" s="705"/>
      <c r="T26" s="704"/>
      <c r="U26" s="705"/>
      <c r="V26" s="704"/>
      <c r="W26" s="705"/>
      <c r="X26" s="1353"/>
      <c r="Y26" s="3704"/>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9"/>
      <c r="M27" s="2713"/>
      <c r="N27" s="2713"/>
      <c r="O27" s="2713"/>
      <c r="P27" s="3702"/>
      <c r="Q27" s="1350" t="str">
        <f t="shared" ref="Q27:Q47" si="11">B27</f>
        <v>楼层</v>
      </c>
      <c r="R27" s="704" t="s">
        <v>14</v>
      </c>
      <c r="S27" s="705">
        <f>F27</f>
        <v>100</v>
      </c>
      <c r="T27" s="704" t="s">
        <v>14</v>
      </c>
      <c r="U27" s="705">
        <f>H27</f>
        <v>100</v>
      </c>
      <c r="V27" s="704" t="s">
        <v>14</v>
      </c>
      <c r="W27" s="705">
        <f>J27</f>
        <v>100</v>
      </c>
      <c r="X27" s="1353"/>
      <c r="Y27" s="3704"/>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02"/>
      <c r="Q28" s="1341" t="str">
        <f t="shared" si="11"/>
        <v>朝向</v>
      </c>
      <c r="R28" s="700" t="s">
        <v>14</v>
      </c>
      <c r="S28" s="701">
        <f>F28</f>
        <v>100</v>
      </c>
      <c r="T28" s="700" t="s">
        <v>14</v>
      </c>
      <c r="U28" s="701">
        <f>H28</f>
        <v>100</v>
      </c>
      <c r="V28" s="700" t="s">
        <v>14</v>
      </c>
      <c r="W28" s="701">
        <f>J28</f>
        <v>100</v>
      </c>
      <c r="X28" s="702"/>
      <c r="Y28" s="370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02"/>
      <c r="Q29" s="1350">
        <f t="shared" si="11"/>
        <v>111</v>
      </c>
      <c r="R29" s="704" t="s">
        <v>14</v>
      </c>
      <c r="S29" s="705">
        <f t="shared" ref="S29:S47" si="12">F29</f>
        <v>100</v>
      </c>
      <c r="T29" s="704" t="s">
        <v>14</v>
      </c>
      <c r="U29" s="705">
        <f t="shared" ref="U29:U47" si="13">H29</f>
        <v>100</v>
      </c>
      <c r="V29" s="704" t="s">
        <v>14</v>
      </c>
      <c r="W29" s="705">
        <f t="shared" ref="W29:W47" si="14">J29</f>
        <v>100</v>
      </c>
      <c r="X29" s="1353"/>
      <c r="Y29" s="370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02"/>
      <c r="Q30" s="1350">
        <f t="shared" si="11"/>
        <v>111</v>
      </c>
      <c r="R30" s="704" t="s">
        <v>14</v>
      </c>
      <c r="S30" s="705">
        <f t="shared" si="12"/>
        <v>100</v>
      </c>
      <c r="T30" s="704" t="s">
        <v>14</v>
      </c>
      <c r="U30" s="705">
        <f t="shared" si="13"/>
        <v>100</v>
      </c>
      <c r="V30" s="704" t="s">
        <v>14</v>
      </c>
      <c r="W30" s="705">
        <f t="shared" si="14"/>
        <v>100</v>
      </c>
      <c r="X30" s="1353"/>
      <c r="Y30" s="370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02"/>
      <c r="Q31" s="1350">
        <f t="shared" si="11"/>
        <v>111</v>
      </c>
      <c r="R31" s="704" t="s">
        <v>14</v>
      </c>
      <c r="S31" s="705">
        <f t="shared" si="12"/>
        <v>100</v>
      </c>
      <c r="T31" s="704" t="s">
        <v>14</v>
      </c>
      <c r="U31" s="705">
        <f t="shared" si="13"/>
        <v>100</v>
      </c>
      <c r="V31" s="704" t="s">
        <v>14</v>
      </c>
      <c r="W31" s="705">
        <f t="shared" si="14"/>
        <v>100</v>
      </c>
      <c r="X31" s="1353"/>
      <c r="Y31" s="370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02"/>
      <c r="Q32" s="1350">
        <f t="shared" si="11"/>
        <v>111</v>
      </c>
      <c r="R32" s="704" t="s">
        <v>14</v>
      </c>
      <c r="S32" s="705">
        <f t="shared" si="12"/>
        <v>100</v>
      </c>
      <c r="T32" s="704" t="s">
        <v>14</v>
      </c>
      <c r="U32" s="705">
        <f t="shared" si="13"/>
        <v>100</v>
      </c>
      <c r="V32" s="704" t="s">
        <v>14</v>
      </c>
      <c r="W32" s="705">
        <f t="shared" si="14"/>
        <v>100</v>
      </c>
      <c r="X32" s="1353"/>
      <c r="Y32" s="3704"/>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05" t="s">
        <v>1696</v>
      </c>
      <c r="Q33" s="1350" t="str">
        <f t="shared" si="11"/>
        <v>建筑类型</v>
      </c>
      <c r="R33" s="704" t="s">
        <v>14</v>
      </c>
      <c r="S33" s="705">
        <f t="shared" si="12"/>
        <v>100</v>
      </c>
      <c r="T33" s="704" t="s">
        <v>14</v>
      </c>
      <c r="U33" s="705">
        <f t="shared" si="13"/>
        <v>100</v>
      </c>
      <c r="V33" s="704" t="s">
        <v>14</v>
      </c>
      <c r="W33" s="705">
        <f t="shared" si="14"/>
        <v>100</v>
      </c>
      <c r="X33" s="1353"/>
      <c r="Y33" s="3708"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6"/>
      <c r="Q34" s="706" t="str">
        <f t="shared" si="11"/>
        <v>项目建筑规模</v>
      </c>
      <c r="R34" s="707" t="s">
        <v>14</v>
      </c>
      <c r="S34" s="708" t="e">
        <f t="shared" si="12"/>
        <v>#N/A</v>
      </c>
      <c r="T34" s="707" t="s">
        <v>14</v>
      </c>
      <c r="U34" s="708" t="e">
        <f t="shared" si="13"/>
        <v>#N/A</v>
      </c>
      <c r="V34" s="707" t="s">
        <v>14</v>
      </c>
      <c r="W34" s="708" t="e">
        <f t="shared" si="14"/>
        <v>#N/A</v>
      </c>
      <c r="X34" s="709"/>
      <c r="Y34" s="3708"/>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6"/>
      <c r="Q35" s="1350" t="str">
        <f t="shared" si="11"/>
        <v>建筑结构</v>
      </c>
      <c r="R35" s="704" t="s">
        <v>14</v>
      </c>
      <c r="S35" s="705">
        <f t="shared" si="12"/>
        <v>100</v>
      </c>
      <c r="T35" s="704" t="s">
        <v>14</v>
      </c>
      <c r="U35" s="705">
        <f t="shared" si="13"/>
        <v>100</v>
      </c>
      <c r="V35" s="704" t="s">
        <v>14</v>
      </c>
      <c r="W35" s="705">
        <f t="shared" si="14"/>
        <v>100</v>
      </c>
      <c r="X35" s="1353"/>
      <c r="Y35" s="3708"/>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6"/>
      <c r="Q36" s="1350" t="str">
        <f t="shared" si="11"/>
        <v>公共部分装修</v>
      </c>
      <c r="R36" s="704" t="s">
        <v>14</v>
      </c>
      <c r="S36" s="705">
        <f t="shared" si="12"/>
        <v>100</v>
      </c>
      <c r="T36" s="704" t="s">
        <v>14</v>
      </c>
      <c r="U36" s="705">
        <f t="shared" si="13"/>
        <v>100</v>
      </c>
      <c r="V36" s="704" t="s">
        <v>14</v>
      </c>
      <c r="W36" s="705">
        <f t="shared" si="14"/>
        <v>100</v>
      </c>
      <c r="X36" s="1353"/>
      <c r="Y36" s="3708"/>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6"/>
      <c r="Q37" s="1350" t="str">
        <f t="shared" si="11"/>
        <v>成新度</v>
      </c>
      <c r="R37" s="704" t="s">
        <v>14</v>
      </c>
      <c r="S37" s="705" t="e">
        <f t="shared" si="12"/>
        <v>#N/A</v>
      </c>
      <c r="T37" s="704" t="s">
        <v>14</v>
      </c>
      <c r="U37" s="705" t="e">
        <f t="shared" si="13"/>
        <v>#N/A</v>
      </c>
      <c r="V37" s="704" t="s">
        <v>14</v>
      </c>
      <c r="W37" s="705" t="e">
        <f t="shared" si="14"/>
        <v>#N/A</v>
      </c>
      <c r="X37" s="1353"/>
      <c r="Y37" s="3708"/>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6"/>
      <c r="Q38" s="1341"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6" t="s">
        <v>1696</v>
      </c>
      <c r="Q39" s="1350" t="str">
        <f t="shared" si="11"/>
        <v>物业管理</v>
      </c>
      <c r="R39" s="704" t="s">
        <v>14</v>
      </c>
      <c r="S39" s="705">
        <f t="shared" si="12"/>
        <v>100</v>
      </c>
      <c r="T39" s="704" t="s">
        <v>14</v>
      </c>
      <c r="U39" s="705">
        <f t="shared" si="13"/>
        <v>100</v>
      </c>
      <c r="V39" s="704" t="s">
        <v>14</v>
      </c>
      <c r="W39" s="705">
        <f t="shared" si="14"/>
        <v>100</v>
      </c>
      <c r="X39" s="1353"/>
      <c r="Y39" s="370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6"/>
      <c r="Q40" s="1350" t="str">
        <f t="shared" si="11"/>
        <v>市政基础设施</v>
      </c>
      <c r="R40" s="704" t="s">
        <v>14</v>
      </c>
      <c r="S40" s="705">
        <f t="shared" si="12"/>
        <v>100</v>
      </c>
      <c r="T40" s="704" t="s">
        <v>14</v>
      </c>
      <c r="U40" s="705">
        <f t="shared" si="13"/>
        <v>100</v>
      </c>
      <c r="V40" s="704" t="s">
        <v>14</v>
      </c>
      <c r="W40" s="705">
        <f t="shared" si="14"/>
        <v>100</v>
      </c>
      <c r="X40" s="1353"/>
      <c r="Y40" s="370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6"/>
      <c r="Q41" s="1350" t="str">
        <f t="shared" si="11"/>
        <v>层高</v>
      </c>
      <c r="R41" s="704" t="s">
        <v>14</v>
      </c>
      <c r="S41" s="705">
        <f t="shared" si="12"/>
        <v>100</v>
      </c>
      <c r="T41" s="704" t="s">
        <v>14</v>
      </c>
      <c r="U41" s="705">
        <f t="shared" si="13"/>
        <v>100</v>
      </c>
      <c r="V41" s="704" t="s">
        <v>14</v>
      </c>
      <c r="W41" s="705">
        <f t="shared" si="14"/>
        <v>100</v>
      </c>
      <c r="X41" s="1353"/>
      <c r="Y41" s="370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6"/>
      <c r="Q43" s="1350" t="str">
        <f t="shared" si="11"/>
        <v>内部装修</v>
      </c>
      <c r="R43" s="704" t="s">
        <v>14</v>
      </c>
      <c r="S43" s="705">
        <f t="shared" si="12"/>
        <v>100</v>
      </c>
      <c r="T43" s="704" t="s">
        <v>14</v>
      </c>
      <c r="U43" s="705">
        <f t="shared" si="13"/>
        <v>100</v>
      </c>
      <c r="V43" s="704" t="s">
        <v>14</v>
      </c>
      <c r="W43" s="705">
        <f t="shared" si="14"/>
        <v>100</v>
      </c>
      <c r="X43" s="1353"/>
      <c r="Y43" s="3708"/>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06"/>
      <c r="Q44" s="1350" t="str">
        <f t="shared" si="11"/>
        <v>内部装修维护情况</v>
      </c>
      <c r="R44" s="704" t="s">
        <v>14</v>
      </c>
      <c r="S44" s="705">
        <f t="shared" si="12"/>
        <v>100</v>
      </c>
      <c r="T44" s="704" t="s">
        <v>14</v>
      </c>
      <c r="U44" s="705">
        <f t="shared" si="13"/>
        <v>100</v>
      </c>
      <c r="V44" s="704" t="s">
        <v>14</v>
      </c>
      <c r="W44" s="705">
        <f t="shared" si="14"/>
        <v>100</v>
      </c>
      <c r="X44" s="1353"/>
      <c r="Y44" s="3708"/>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6"/>
      <c r="Q45" s="1341">
        <f t="shared" si="11"/>
        <v>111</v>
      </c>
      <c r="R45" s="700" t="s">
        <v>14</v>
      </c>
      <c r="S45" s="701">
        <f t="shared" si="12"/>
        <v>100</v>
      </c>
      <c r="T45" s="700" t="s">
        <v>14</v>
      </c>
      <c r="U45" s="701">
        <f t="shared" si="13"/>
        <v>100</v>
      </c>
      <c r="V45" s="700" t="s">
        <v>14</v>
      </c>
      <c r="W45" s="701">
        <f t="shared" si="14"/>
        <v>100</v>
      </c>
      <c r="X45" s="702"/>
      <c r="Y45" s="3708"/>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6"/>
      <c r="Q46" s="1350">
        <f t="shared" si="11"/>
        <v>111</v>
      </c>
      <c r="R46" s="704" t="s">
        <v>14</v>
      </c>
      <c r="S46" s="705">
        <f t="shared" si="12"/>
        <v>100</v>
      </c>
      <c r="T46" s="704" t="s">
        <v>14</v>
      </c>
      <c r="U46" s="705">
        <f t="shared" si="13"/>
        <v>100</v>
      </c>
      <c r="V46" s="704" t="s">
        <v>14</v>
      </c>
      <c r="W46" s="705">
        <f t="shared" si="14"/>
        <v>100</v>
      </c>
      <c r="X46" s="1353"/>
      <c r="Y46" s="370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7"/>
      <c r="Q47" s="1350">
        <f t="shared" si="11"/>
        <v>111</v>
      </c>
      <c r="R47" s="704" t="s">
        <v>14</v>
      </c>
      <c r="S47" s="705">
        <f t="shared" si="12"/>
        <v>100</v>
      </c>
      <c r="T47" s="704" t="s">
        <v>14</v>
      </c>
      <c r="U47" s="705">
        <f t="shared" si="13"/>
        <v>100</v>
      </c>
      <c r="V47" s="704" t="s">
        <v>14</v>
      </c>
      <c r="W47" s="705">
        <f t="shared" si="14"/>
        <v>100</v>
      </c>
      <c r="X47" s="1353"/>
      <c r="Y47" s="3709"/>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1"/>
      <c r="M48" s="2713"/>
      <c r="N48" s="2713"/>
      <c r="O48" s="2713"/>
      <c r="P48" s="3687" t="str">
        <f>A48</f>
        <v>成交单价（元/平方米）</v>
      </c>
      <c r="Q48" s="3710"/>
      <c r="R48" s="3711">
        <f>E48</f>
        <v>0</v>
      </c>
      <c r="S48" s="3711"/>
      <c r="T48" s="3711">
        <f>G48</f>
        <v>0</v>
      </c>
      <c r="U48" s="3711"/>
      <c r="V48" s="3711">
        <f>I48</f>
        <v>0</v>
      </c>
      <c r="W48" s="3711"/>
      <c r="X48" s="397"/>
      <c r="Y48" s="711"/>
      <c r="Z48" s="397"/>
      <c r="AA48" s="397"/>
      <c r="AB48" s="397"/>
      <c r="AC48" s="577"/>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1"/>
      <c r="M49" s="2713"/>
      <c r="N49" s="2713"/>
      <c r="O49" s="2713"/>
      <c r="P49" s="3687"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909.8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692" t="s">
        <v>1775</v>
      </c>
      <c r="Q4" s="3693"/>
      <c r="R4" s="3674" t="s">
        <v>1771</v>
      </c>
      <c r="S4" s="3675"/>
      <c r="T4" s="3674" t="s">
        <v>1772</v>
      </c>
      <c r="U4" s="3675"/>
      <c r="V4" s="3671" t="s">
        <v>1773</v>
      </c>
      <c r="W4" s="3671"/>
      <c r="X4" s="1353"/>
      <c r="Y4" s="3674" t="s">
        <v>1775</v>
      </c>
      <c r="Z4" s="3675"/>
      <c r="AA4" s="3668" t="s">
        <v>1771</v>
      </c>
      <c r="AB4" s="3669" t="s">
        <v>1772</v>
      </c>
      <c r="AC4" s="3668" t="s">
        <v>1773</v>
      </c>
    </row>
    <row r="5" spans="1:29" ht="15">
      <c r="A5" s="358"/>
      <c r="B5" s="359"/>
      <c r="C5" s="3764" t="s">
        <v>1673</v>
      </c>
      <c r="D5" s="3681"/>
      <c r="E5" s="3763" t="s">
        <v>1674</v>
      </c>
      <c r="F5" s="3679"/>
      <c r="G5" s="3764" t="s">
        <v>1675</v>
      </c>
      <c r="H5" s="3681"/>
      <c r="I5" s="3764" t="s">
        <v>1676</v>
      </c>
      <c r="J5" s="3681"/>
      <c r="K5" s="559"/>
      <c r="L5" s="912"/>
      <c r="M5" s="913"/>
      <c r="N5" s="913"/>
      <c r="O5" s="913"/>
      <c r="P5" s="3694"/>
      <c r="Q5" s="3695"/>
      <c r="R5" s="3676"/>
      <c r="S5" s="3677"/>
      <c r="T5" s="3676"/>
      <c r="U5" s="3677"/>
      <c r="V5" s="3671"/>
      <c r="W5" s="3671"/>
      <c r="X5" s="1353"/>
      <c r="Y5" s="3676"/>
      <c r="Z5" s="3677"/>
      <c r="AA5" s="3669"/>
      <c r="AB5" s="3669"/>
      <c r="AC5" s="3669"/>
    </row>
    <row r="6" spans="1:29" ht="15.75" thickBot="1">
      <c r="A6" s="360"/>
      <c r="B6" s="361"/>
      <c r="C6" s="3682" t="s">
        <v>1677</v>
      </c>
      <c r="D6" s="3683"/>
      <c r="E6" s="3684" t="s">
        <v>1677</v>
      </c>
      <c r="F6" s="3685"/>
      <c r="G6" s="3682" t="s">
        <v>1677</v>
      </c>
      <c r="H6" s="3683"/>
      <c r="I6" s="3682" t="s">
        <v>1677</v>
      </c>
      <c r="J6" s="3683"/>
      <c r="K6" s="559" t="s">
        <v>1678</v>
      </c>
      <c r="L6" s="912"/>
      <c r="M6" s="913"/>
      <c r="N6" s="913"/>
      <c r="O6" s="913"/>
      <c r="P6" s="3696"/>
      <c r="Q6" s="3697"/>
      <c r="R6" s="3676"/>
      <c r="S6" s="3677"/>
      <c r="T6" s="3698"/>
      <c r="U6" s="3699"/>
      <c r="V6" s="3671"/>
      <c r="W6" s="3671"/>
      <c r="X6" s="1353"/>
      <c r="Y6" s="3698"/>
      <c r="Z6" s="3699"/>
      <c r="AA6" s="3670"/>
      <c r="AB6" s="3670"/>
      <c r="AC6" s="3670"/>
    </row>
    <row r="7" spans="1:29" s="108" customFormat="1" ht="15.75" thickBot="1">
      <c r="A7" s="362" t="s">
        <v>1679</v>
      </c>
      <c r="B7" s="363"/>
      <c r="C7" s="364">
        <f>'数据-取费表'!B2</f>
        <v>45825</v>
      </c>
      <c r="D7" s="365">
        <v>100</v>
      </c>
      <c r="E7" s="366"/>
      <c r="F7" s="367">
        <f>SUMIF(52:52,YEAR(E7)&amp;"-"&amp;MONTH(E7),53:53)</f>
        <v>0</v>
      </c>
      <c r="G7" s="366"/>
      <c r="H7" s="365">
        <f>SUMIF(52:52,YEAR(G7)&amp;"-"&amp;MONTH(G7),53:53)</f>
        <v>0</v>
      </c>
      <c r="I7" s="366"/>
      <c r="J7" s="365">
        <f>SUMIF(52:52,YEAR(I7)&amp;"-"&amp;MONTH(I7),53:53)</f>
        <v>0</v>
      </c>
      <c r="K7" s="560"/>
      <c r="L7" s="914"/>
      <c r="M7" s="915"/>
      <c r="N7" s="915"/>
      <c r="O7" s="915"/>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2" t="s">
        <v>1683</v>
      </c>
      <c r="Q8" s="3673"/>
      <c r="R8" s="700" t="s">
        <v>14</v>
      </c>
      <c r="S8" s="701">
        <f t="shared" si="0"/>
        <v>100</v>
      </c>
      <c r="T8" s="700" t="s">
        <v>14</v>
      </c>
      <c r="U8" s="701">
        <f t="shared" si="1"/>
        <v>100</v>
      </c>
      <c r="V8" s="700" t="s">
        <v>14</v>
      </c>
      <c r="W8" s="701">
        <f t="shared" si="2"/>
        <v>100</v>
      </c>
      <c r="X8" s="702"/>
      <c r="Y8" s="3672" t="s">
        <v>1683</v>
      </c>
      <c r="Z8" s="367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0" t="s">
        <v>1686</v>
      </c>
      <c r="Q9" s="1341"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0"/>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0"/>
      <c r="Q11" s="1341"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0"/>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0"/>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0"/>
      <c r="Q14" s="1341">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1691</v>
      </c>
      <c r="Q15" s="1350" t="str">
        <f t="shared" si="6"/>
        <v>产业集聚程度</v>
      </c>
      <c r="R15" s="704" t="s">
        <v>14</v>
      </c>
      <c r="S15" s="705">
        <f t="shared" si="0"/>
        <v>100</v>
      </c>
      <c r="T15" s="704" t="s">
        <v>14</v>
      </c>
      <c r="U15" s="705">
        <f t="shared" si="1"/>
        <v>100</v>
      </c>
      <c r="V15" s="704" t="s">
        <v>14</v>
      </c>
      <c r="W15" s="705">
        <f t="shared" si="2"/>
        <v>100</v>
      </c>
      <c r="X15" s="1353"/>
      <c r="Y15" s="370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04"/>
      <c r="Q16" s="1350"/>
      <c r="R16" s="704"/>
      <c r="S16" s="705"/>
      <c r="T16" s="704"/>
      <c r="U16" s="705"/>
      <c r="V16" s="704"/>
      <c r="W16" s="705"/>
      <c r="X16" s="1353"/>
      <c r="Y16" s="370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0" t="str">
        <f>B17</f>
        <v>交通便捷度</v>
      </c>
      <c r="R17" s="704" t="s">
        <v>14</v>
      </c>
      <c r="S17" s="705">
        <f>F17</f>
        <v>100</v>
      </c>
      <c r="T17" s="704" t="s">
        <v>14</v>
      </c>
      <c r="U17" s="705">
        <f>H17</f>
        <v>100</v>
      </c>
      <c r="V17" s="704" t="s">
        <v>14</v>
      </c>
      <c r="W17" s="705">
        <f>J17</f>
        <v>100</v>
      </c>
      <c r="X17" s="1353"/>
      <c r="Y17" s="370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04"/>
      <c r="Q18" s="1350"/>
      <c r="R18" s="704"/>
      <c r="S18" s="705"/>
      <c r="T18" s="704"/>
      <c r="U18" s="705"/>
      <c r="V18" s="704"/>
      <c r="W18" s="705"/>
      <c r="X18" s="1353"/>
      <c r="Y18" s="370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0" t="str">
        <f>B19</f>
        <v>公共配套设施</v>
      </c>
      <c r="R19" s="704" t="s">
        <v>14</v>
      </c>
      <c r="S19" s="705">
        <f>F19</f>
        <v>100</v>
      </c>
      <c r="T19" s="704" t="s">
        <v>14</v>
      </c>
      <c r="U19" s="705">
        <f>H19</f>
        <v>100</v>
      </c>
      <c r="V19" s="704" t="s">
        <v>14</v>
      </c>
      <c r="W19" s="705">
        <f>J19</f>
        <v>100</v>
      </c>
      <c r="X19" s="1353"/>
      <c r="Y19" s="370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04"/>
      <c r="Q20" s="1350"/>
      <c r="R20" s="704"/>
      <c r="S20" s="705"/>
      <c r="T20" s="704"/>
      <c r="U20" s="705"/>
      <c r="V20" s="704"/>
      <c r="W20" s="705"/>
      <c r="X20" s="1353"/>
      <c r="Y20" s="3704"/>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0" t="str">
        <f>B21</f>
        <v>基础设施水平</v>
      </c>
      <c r="R21" s="704" t="s">
        <v>14</v>
      </c>
      <c r="S21" s="705">
        <f>F21</f>
        <v>100</v>
      </c>
      <c r="T21" s="704" t="s">
        <v>14</v>
      </c>
      <c r="U21" s="705">
        <f>H21</f>
        <v>100</v>
      </c>
      <c r="V21" s="704" t="s">
        <v>14</v>
      </c>
      <c r="W21" s="705">
        <f>J21</f>
        <v>100</v>
      </c>
      <c r="X21" s="1353"/>
      <c r="Y21" s="370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04"/>
      <c r="Q22" s="1350"/>
      <c r="R22" s="704"/>
      <c r="S22" s="705"/>
      <c r="T22" s="704"/>
      <c r="U22" s="705"/>
      <c r="V22" s="704"/>
      <c r="W22" s="705"/>
      <c r="X22" s="1353"/>
      <c r="Y22" s="370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0" t="str">
        <f>B23</f>
        <v>环境质量</v>
      </c>
      <c r="R23" s="704" t="s">
        <v>14</v>
      </c>
      <c r="S23" s="705">
        <f>F23</f>
        <v>100</v>
      </c>
      <c r="T23" s="704" t="s">
        <v>14</v>
      </c>
      <c r="U23" s="705">
        <f>H23</f>
        <v>100</v>
      </c>
      <c r="V23" s="704" t="s">
        <v>14</v>
      </c>
      <c r="W23" s="705">
        <f>J23</f>
        <v>100</v>
      </c>
      <c r="X23" s="1353"/>
      <c r="Y23" s="370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04"/>
      <c r="Q24" s="1350"/>
      <c r="R24" s="704"/>
      <c r="S24" s="705"/>
      <c r="T24" s="704"/>
      <c r="U24" s="705"/>
      <c r="V24" s="704"/>
      <c r="W24" s="705"/>
      <c r="X24" s="1353"/>
      <c r="Y24" s="370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0">
        <f>B25</f>
        <v>111</v>
      </c>
      <c r="R25" s="704" t="s">
        <v>14</v>
      </c>
      <c r="S25" s="705">
        <f>F25</f>
        <v>100</v>
      </c>
      <c r="T25" s="704" t="s">
        <v>14</v>
      </c>
      <c r="U25" s="705">
        <f>H25</f>
        <v>100</v>
      </c>
      <c r="V25" s="704" t="s">
        <v>14</v>
      </c>
      <c r="W25" s="705">
        <f>J25</f>
        <v>100</v>
      </c>
      <c r="X25" s="1353"/>
      <c r="Y25" s="370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0">
        <f t="shared" ref="Q26:Q40" si="11">B26</f>
        <v>111</v>
      </c>
      <c r="R26" s="704" t="s">
        <v>14</v>
      </c>
      <c r="S26" s="705">
        <f>F26</f>
        <v>100</v>
      </c>
      <c r="T26" s="704" t="s">
        <v>14</v>
      </c>
      <c r="U26" s="705">
        <f>H26</f>
        <v>100</v>
      </c>
      <c r="V26" s="704" t="s">
        <v>14</v>
      </c>
      <c r="W26" s="705">
        <f>J26</f>
        <v>100</v>
      </c>
      <c r="X26" s="1353"/>
      <c r="Y26" s="370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1">
        <f t="shared" si="11"/>
        <v>111</v>
      </c>
      <c r="R27" s="700" t="s">
        <v>14</v>
      </c>
      <c r="S27" s="701">
        <f>F27</f>
        <v>100</v>
      </c>
      <c r="T27" s="700" t="s">
        <v>14</v>
      </c>
      <c r="U27" s="701">
        <f>H27</f>
        <v>100</v>
      </c>
      <c r="V27" s="700" t="s">
        <v>14</v>
      </c>
      <c r="W27" s="701">
        <f>J27</f>
        <v>100</v>
      </c>
      <c r="X27" s="702"/>
      <c r="Y27" s="370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0">
        <f t="shared" si="11"/>
        <v>111</v>
      </c>
      <c r="R28" s="704" t="s">
        <v>14</v>
      </c>
      <c r="S28" s="705">
        <f t="shared" ref="S28:S40" si="12">F28</f>
        <v>100</v>
      </c>
      <c r="T28" s="704" t="s">
        <v>14</v>
      </c>
      <c r="U28" s="705">
        <f t="shared" ref="U28:U40" si="13">H28</f>
        <v>100</v>
      </c>
      <c r="V28" s="704" t="s">
        <v>14</v>
      </c>
      <c r="W28" s="705">
        <f t="shared" ref="W28:W40" si="14">J28</f>
        <v>100</v>
      </c>
      <c r="X28" s="1353"/>
      <c r="Y28" s="370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0" t="s">
        <v>1696</v>
      </c>
      <c r="Q29" s="1350" t="str">
        <f t="shared" si="11"/>
        <v>建筑类型</v>
      </c>
      <c r="R29" s="704" t="s">
        <v>14</v>
      </c>
      <c r="S29" s="705">
        <f t="shared" si="12"/>
        <v>100</v>
      </c>
      <c r="T29" s="704" t="s">
        <v>14</v>
      </c>
      <c r="U29" s="705">
        <f t="shared" si="13"/>
        <v>100</v>
      </c>
      <c r="V29" s="704" t="s">
        <v>14</v>
      </c>
      <c r="W29" s="705">
        <f t="shared" si="14"/>
        <v>100</v>
      </c>
      <c r="X29" s="1353"/>
      <c r="Y29" s="370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0" t="str">
        <f t="shared" si="11"/>
        <v>建筑结构</v>
      </c>
      <c r="R31" s="704" t="s">
        <v>14</v>
      </c>
      <c r="S31" s="705">
        <f t="shared" si="12"/>
        <v>100</v>
      </c>
      <c r="T31" s="704" t="s">
        <v>14</v>
      </c>
      <c r="U31" s="705">
        <f t="shared" si="13"/>
        <v>100</v>
      </c>
      <c r="V31" s="704" t="s">
        <v>14</v>
      </c>
      <c r="W31" s="705">
        <f t="shared" si="14"/>
        <v>100</v>
      </c>
      <c r="X31" s="1353"/>
      <c r="Y31" s="370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0" t="str">
        <f t="shared" si="11"/>
        <v>公共部分装修</v>
      </c>
      <c r="R32" s="704" t="s">
        <v>14</v>
      </c>
      <c r="S32" s="705">
        <f t="shared" si="12"/>
        <v>100</v>
      </c>
      <c r="T32" s="704" t="s">
        <v>14</v>
      </c>
      <c r="U32" s="705">
        <f t="shared" si="13"/>
        <v>100</v>
      </c>
      <c r="V32" s="704" t="s">
        <v>14</v>
      </c>
      <c r="W32" s="705">
        <f t="shared" si="14"/>
        <v>100</v>
      </c>
      <c r="X32" s="1353"/>
      <c r="Y32" s="370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0" t="str">
        <f t="shared" si="11"/>
        <v>成新度</v>
      </c>
      <c r="R33" s="704" t="s">
        <v>14</v>
      </c>
      <c r="S33" s="705" t="e">
        <f t="shared" si="12"/>
        <v>#N/A</v>
      </c>
      <c r="T33" s="704" t="s">
        <v>14</v>
      </c>
      <c r="U33" s="705" t="e">
        <f t="shared" si="13"/>
        <v>#N/A</v>
      </c>
      <c r="V33" s="704" t="s">
        <v>14</v>
      </c>
      <c r="W33" s="705" t="e">
        <f t="shared" si="14"/>
        <v>#N/A</v>
      </c>
      <c r="X33" s="1353"/>
      <c r="Y33" s="370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1"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1696</v>
      </c>
      <c r="Q35" s="1350" t="str">
        <f t="shared" si="11"/>
        <v>市政基础设施</v>
      </c>
      <c r="R35" s="704" t="s">
        <v>14</v>
      </c>
      <c r="S35" s="705">
        <f t="shared" si="12"/>
        <v>100</v>
      </c>
      <c r="T35" s="704" t="s">
        <v>14</v>
      </c>
      <c r="U35" s="705">
        <f t="shared" si="13"/>
        <v>100</v>
      </c>
      <c r="V35" s="704" t="s">
        <v>14</v>
      </c>
      <c r="W35" s="705">
        <f t="shared" si="14"/>
        <v>100</v>
      </c>
      <c r="X35" s="1353"/>
      <c r="Y35" s="370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0" t="str">
        <f t="shared" si="11"/>
        <v>内部装修</v>
      </c>
      <c r="R36" s="704" t="s">
        <v>14</v>
      </c>
      <c r="S36" s="705">
        <f t="shared" si="12"/>
        <v>100</v>
      </c>
      <c r="T36" s="704" t="s">
        <v>14</v>
      </c>
      <c r="U36" s="705">
        <f t="shared" si="13"/>
        <v>100</v>
      </c>
      <c r="V36" s="704" t="s">
        <v>14</v>
      </c>
      <c r="W36" s="705">
        <f t="shared" si="14"/>
        <v>100</v>
      </c>
      <c r="X36" s="1353"/>
      <c r="Y36" s="370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0" t="str">
        <f t="shared" si="11"/>
        <v>内部装修状况</v>
      </c>
      <c r="R37" s="704" t="s">
        <v>14</v>
      </c>
      <c r="S37" s="705">
        <f t="shared" si="12"/>
        <v>100</v>
      </c>
      <c r="T37" s="704" t="s">
        <v>14</v>
      </c>
      <c r="U37" s="705">
        <f t="shared" si="13"/>
        <v>100</v>
      </c>
      <c r="V37" s="704" t="s">
        <v>14</v>
      </c>
      <c r="W37" s="705">
        <f t="shared" si="14"/>
        <v>100</v>
      </c>
      <c r="X37" s="1353"/>
      <c r="Y37" s="370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0">
        <f t="shared" si="11"/>
        <v>111</v>
      </c>
      <c r="R39" s="704" t="s">
        <v>14</v>
      </c>
      <c r="S39" s="705">
        <f t="shared" si="12"/>
        <v>100</v>
      </c>
      <c r="T39" s="704" t="s">
        <v>14</v>
      </c>
      <c r="U39" s="705">
        <f t="shared" si="13"/>
        <v>100</v>
      </c>
      <c r="V39" s="704" t="s">
        <v>14</v>
      </c>
      <c r="W39" s="705">
        <f t="shared" si="14"/>
        <v>100</v>
      </c>
      <c r="X39" s="1353"/>
      <c r="Y39" s="370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0">
        <f t="shared" si="11"/>
        <v>111</v>
      </c>
      <c r="R40" s="704" t="s">
        <v>14</v>
      </c>
      <c r="S40" s="705">
        <f t="shared" si="12"/>
        <v>100</v>
      </c>
      <c r="T40" s="704" t="s">
        <v>14</v>
      </c>
      <c r="U40" s="705">
        <f t="shared" si="13"/>
        <v>100</v>
      </c>
      <c r="V40" s="704" t="s">
        <v>14</v>
      </c>
      <c r="W40" s="705">
        <f t="shared" si="14"/>
        <v>100</v>
      </c>
      <c r="X40" s="1353"/>
      <c r="Y40" s="370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74" t="s">
        <v>1771</v>
      </c>
      <c r="S4" s="3675"/>
      <c r="T4" s="3674" t="s">
        <v>1772</v>
      </c>
      <c r="U4" s="3675"/>
      <c r="V4" s="3671" t="s">
        <v>1773</v>
      </c>
      <c r="W4" s="3671"/>
      <c r="X4" s="1353"/>
      <c r="Y4" s="3674" t="s">
        <v>1775</v>
      </c>
      <c r="Z4" s="3675"/>
      <c r="AA4" s="3668" t="s">
        <v>1771</v>
      </c>
      <c r="AB4" s="3669" t="s">
        <v>1772</v>
      </c>
      <c r="AC4" s="3668" t="s">
        <v>1773</v>
      </c>
    </row>
    <row r="5" spans="1:29" ht="15">
      <c r="A5" s="358"/>
      <c r="B5" s="359"/>
      <c r="C5" s="3764" t="s">
        <v>1673</v>
      </c>
      <c r="D5" s="3681"/>
      <c r="E5" s="3763" t="s">
        <v>1674</v>
      </c>
      <c r="F5" s="3679"/>
      <c r="G5" s="3764" t="s">
        <v>1675</v>
      </c>
      <c r="H5" s="3681"/>
      <c r="I5" s="3764" t="s">
        <v>1676</v>
      </c>
      <c r="J5" s="3681"/>
      <c r="K5" s="559"/>
      <c r="L5" s="2712"/>
      <c r="M5" s="2713"/>
      <c r="N5" s="2713"/>
      <c r="O5" s="2713"/>
      <c r="P5" s="3694"/>
      <c r="Q5" s="3695"/>
      <c r="R5" s="3676"/>
      <c r="S5" s="3677"/>
      <c r="T5" s="3676"/>
      <c r="U5" s="3677"/>
      <c r="V5" s="3671"/>
      <c r="W5" s="3671"/>
      <c r="X5" s="1353"/>
      <c r="Y5" s="3676"/>
      <c r="Z5" s="3677"/>
      <c r="AA5" s="3669"/>
      <c r="AB5" s="3669"/>
      <c r="AC5" s="3669"/>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696"/>
      <c r="Q6" s="3697"/>
      <c r="R6" s="3676"/>
      <c r="S6" s="3677"/>
      <c r="T6" s="3698"/>
      <c r="U6" s="3699"/>
      <c r="V6" s="3671"/>
      <c r="W6" s="3671"/>
      <c r="X6" s="1353"/>
      <c r="Y6" s="3698"/>
      <c r="Z6" s="3699"/>
      <c r="AA6" s="3670"/>
      <c r="AB6" s="3670"/>
      <c r="AC6" s="3670"/>
    </row>
    <row r="7" spans="1:29" s="108" customFormat="1" ht="15.75" thickBot="1">
      <c r="A7" s="362" t="s">
        <v>1679</v>
      </c>
      <c r="B7" s="363"/>
      <c r="C7" s="364">
        <f>'数据-取费表'!B2</f>
        <v>45825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2" t="s">
        <v>1683</v>
      </c>
      <c r="Q8" s="3673"/>
      <c r="R8" s="700" t="s">
        <v>14</v>
      </c>
      <c r="S8" s="701">
        <f t="shared" si="0"/>
        <v>100</v>
      </c>
      <c r="T8" s="700" t="s">
        <v>14</v>
      </c>
      <c r="U8" s="701">
        <f t="shared" si="1"/>
        <v>100</v>
      </c>
      <c r="V8" s="700" t="s">
        <v>14</v>
      </c>
      <c r="W8" s="701">
        <f t="shared" si="2"/>
        <v>100</v>
      </c>
      <c r="X8" s="702"/>
      <c r="Y8" s="3672" t="s">
        <v>1683</v>
      </c>
      <c r="Z8" s="367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0" t="s">
        <v>1686</v>
      </c>
      <c r="Q9" s="1341"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0"/>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0"/>
      <c r="Q11" s="1341">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0"/>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0"/>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3" t="s">
        <v>1691</v>
      </c>
      <c r="Q14" s="1350" t="str">
        <f t="shared" si="6"/>
        <v>交通便捷度</v>
      </c>
      <c r="R14" s="704" t="s">
        <v>14</v>
      </c>
      <c r="S14" s="705">
        <f t="shared" si="0"/>
        <v>100</v>
      </c>
      <c r="T14" s="704" t="s">
        <v>14</v>
      </c>
      <c r="U14" s="705">
        <f t="shared" si="1"/>
        <v>100</v>
      </c>
      <c r="V14" s="704" t="s">
        <v>14</v>
      </c>
      <c r="W14" s="705">
        <f t="shared" si="2"/>
        <v>100</v>
      </c>
      <c r="X14" s="1353"/>
      <c r="Y14" s="3703"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04"/>
      <c r="Q15" s="1350"/>
      <c r="R15" s="704"/>
      <c r="S15" s="705"/>
      <c r="T15" s="704"/>
      <c r="U15" s="705"/>
      <c r="V15" s="704"/>
      <c r="W15" s="705"/>
      <c r="X15" s="1353"/>
      <c r="Y15" s="3704"/>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4"/>
      <c r="Q16" s="1350" t="str">
        <f>B16</f>
        <v>公共配套设施</v>
      </c>
      <c r="R16" s="704" t="s">
        <v>14</v>
      </c>
      <c r="S16" s="705">
        <f>F16</f>
        <v>100</v>
      </c>
      <c r="T16" s="704" t="s">
        <v>14</v>
      </c>
      <c r="U16" s="705">
        <f>H16</f>
        <v>100</v>
      </c>
      <c r="V16" s="704" t="s">
        <v>14</v>
      </c>
      <c r="W16" s="705">
        <f>J16</f>
        <v>100</v>
      </c>
      <c r="X16" s="1353"/>
      <c r="Y16" s="370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04"/>
      <c r="Q17" s="1350"/>
      <c r="R17" s="704"/>
      <c r="S17" s="705"/>
      <c r="T17" s="704"/>
      <c r="U17" s="705"/>
      <c r="V17" s="704"/>
      <c r="W17" s="705"/>
      <c r="X17" s="1353"/>
      <c r="Y17" s="3704"/>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4"/>
      <c r="Q18" s="1350" t="str">
        <f>B18</f>
        <v>基础设施水平</v>
      </c>
      <c r="R18" s="704" t="s">
        <v>14</v>
      </c>
      <c r="S18" s="705">
        <f>F18</f>
        <v>100</v>
      </c>
      <c r="T18" s="704" t="s">
        <v>14</v>
      </c>
      <c r="U18" s="705">
        <f>H18</f>
        <v>100</v>
      </c>
      <c r="V18" s="704" t="s">
        <v>14</v>
      </c>
      <c r="W18" s="705">
        <f>J18</f>
        <v>100</v>
      </c>
      <c r="X18" s="1353"/>
      <c r="Y18" s="370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9"/>
      <c r="M19" s="2713"/>
      <c r="N19" s="2713"/>
      <c r="O19" s="2713"/>
      <c r="P19" s="3704"/>
      <c r="Q19" s="1350"/>
      <c r="R19" s="704"/>
      <c r="S19" s="705"/>
      <c r="T19" s="704"/>
      <c r="U19" s="705"/>
      <c r="V19" s="704"/>
      <c r="W19" s="705"/>
      <c r="X19" s="1353"/>
      <c r="Y19" s="3704"/>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4"/>
      <c r="Q20" s="1350" t="str">
        <f>B20</f>
        <v>自然及人文环境</v>
      </c>
      <c r="R20" s="704" t="s">
        <v>14</v>
      </c>
      <c r="S20" s="705">
        <f>F20</f>
        <v>100</v>
      </c>
      <c r="T20" s="704" t="s">
        <v>14</v>
      </c>
      <c r="U20" s="705">
        <f>H20</f>
        <v>100</v>
      </c>
      <c r="V20" s="704" t="s">
        <v>14</v>
      </c>
      <c r="W20" s="705">
        <f>J20</f>
        <v>100</v>
      </c>
      <c r="X20" s="1353"/>
      <c r="Y20" s="370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04"/>
      <c r="Q21" s="1350"/>
      <c r="R21" s="704"/>
      <c r="S21" s="705"/>
      <c r="T21" s="704"/>
      <c r="U21" s="705"/>
      <c r="V21" s="704"/>
      <c r="W21" s="705"/>
      <c r="X21" s="1353"/>
      <c r="Y21" s="3704"/>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4"/>
      <c r="Q22" s="1350" t="str">
        <f>B22</f>
        <v>楼层</v>
      </c>
      <c r="R22" s="704" t="s">
        <v>14</v>
      </c>
      <c r="S22" s="705">
        <f>F22</f>
        <v>100</v>
      </c>
      <c r="T22" s="704" t="s">
        <v>14</v>
      </c>
      <c r="U22" s="705">
        <f>H22</f>
        <v>100</v>
      </c>
      <c r="V22" s="704" t="s">
        <v>14</v>
      </c>
      <c r="W22" s="705">
        <f>J22</f>
        <v>100</v>
      </c>
      <c r="X22" s="1353"/>
      <c r="Y22" s="370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4"/>
      <c r="Q23" s="1350">
        <f>B23</f>
        <v>111</v>
      </c>
      <c r="R23" s="704" t="s">
        <v>14</v>
      </c>
      <c r="S23" s="705">
        <f>F23</f>
        <v>100</v>
      </c>
      <c r="T23" s="704" t="s">
        <v>14</v>
      </c>
      <c r="U23" s="705">
        <f>H23</f>
        <v>100</v>
      </c>
      <c r="V23" s="704" t="s">
        <v>14</v>
      </c>
      <c r="W23" s="705">
        <f>J23</f>
        <v>100</v>
      </c>
      <c r="X23" s="1353"/>
      <c r="Y23" s="370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4"/>
      <c r="Q24" s="1350">
        <f t="shared" ref="Q24:Q36" si="11">B24</f>
        <v>111</v>
      </c>
      <c r="R24" s="704" t="s">
        <v>14</v>
      </c>
      <c r="S24" s="705">
        <f>F24</f>
        <v>100</v>
      </c>
      <c r="T24" s="704" t="s">
        <v>14</v>
      </c>
      <c r="U24" s="705">
        <f>H24</f>
        <v>100</v>
      </c>
      <c r="V24" s="704" t="s">
        <v>14</v>
      </c>
      <c r="W24" s="705">
        <f>J24</f>
        <v>100</v>
      </c>
      <c r="X24" s="1353"/>
      <c r="Y24" s="370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04"/>
      <c r="Q25" s="1341">
        <f t="shared" si="11"/>
        <v>111</v>
      </c>
      <c r="R25" s="700" t="s">
        <v>14</v>
      </c>
      <c r="S25" s="701">
        <f>F25</f>
        <v>100</v>
      </c>
      <c r="T25" s="700" t="s">
        <v>14</v>
      </c>
      <c r="U25" s="701">
        <f>H25</f>
        <v>100</v>
      </c>
      <c r="V25" s="700" t="s">
        <v>14</v>
      </c>
      <c r="W25" s="701">
        <f>J25</f>
        <v>100</v>
      </c>
      <c r="X25" s="702"/>
      <c r="Y25" s="3704"/>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8"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8"/>
      <c r="Q28" s="1350" t="str">
        <f t="shared" si="11"/>
        <v>公共部分装修</v>
      </c>
      <c r="R28" s="704" t="s">
        <v>14</v>
      </c>
      <c r="S28" s="705">
        <f t="shared" si="12"/>
        <v>100</v>
      </c>
      <c r="T28" s="704" t="s">
        <v>14</v>
      </c>
      <c r="U28" s="705">
        <f t="shared" si="13"/>
        <v>100</v>
      </c>
      <c r="V28" s="704" t="s">
        <v>14</v>
      </c>
      <c r="W28" s="705">
        <f t="shared" si="14"/>
        <v>100</v>
      </c>
      <c r="X28" s="1353"/>
      <c r="Y28" s="3708"/>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8"/>
      <c r="Q29" s="1350" t="str">
        <f t="shared" si="11"/>
        <v>成新率</v>
      </c>
      <c r="R29" s="704" t="s">
        <v>14</v>
      </c>
      <c r="S29" s="705" t="e">
        <f t="shared" si="12"/>
        <v>#N/A</v>
      </c>
      <c r="T29" s="704" t="s">
        <v>14</v>
      </c>
      <c r="U29" s="705" t="e">
        <f t="shared" si="13"/>
        <v>#N/A</v>
      </c>
      <c r="V29" s="704" t="s">
        <v>14</v>
      </c>
      <c r="W29" s="705" t="e">
        <f t="shared" si="14"/>
        <v>#N/A</v>
      </c>
      <c r="X29" s="1353"/>
      <c r="Y29" s="3708"/>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08"/>
      <c r="Q30" s="1350" t="str">
        <f t="shared" si="11"/>
        <v>物业等级</v>
      </c>
      <c r="R30" s="704" t="s">
        <v>14</v>
      </c>
      <c r="S30" s="705">
        <f t="shared" si="12"/>
        <v>100</v>
      </c>
      <c r="T30" s="704" t="s">
        <v>14</v>
      </c>
      <c r="U30" s="705">
        <f t="shared" si="13"/>
        <v>100</v>
      </c>
      <c r="V30" s="704" t="s">
        <v>14</v>
      </c>
      <c r="W30" s="705">
        <f t="shared" si="14"/>
        <v>100</v>
      </c>
      <c r="X30" s="1353"/>
      <c r="Y30" s="3708"/>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8"/>
      <c r="Q31" s="1341"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8" t="s">
        <v>1696</v>
      </c>
      <c r="Q32" s="1350" t="str">
        <f t="shared" si="11"/>
        <v>车位类型</v>
      </c>
      <c r="R32" s="704" t="s">
        <v>14</v>
      </c>
      <c r="S32" s="705">
        <f t="shared" si="12"/>
        <v>100</v>
      </c>
      <c r="T32" s="704" t="s">
        <v>14</v>
      </c>
      <c r="U32" s="705">
        <f t="shared" si="13"/>
        <v>100</v>
      </c>
      <c r="V32" s="704" t="s">
        <v>14</v>
      </c>
      <c r="W32" s="705">
        <f t="shared" si="14"/>
        <v>100</v>
      </c>
      <c r="X32" s="1353"/>
      <c r="Y32" s="3708"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8"/>
      <c r="Q33" s="1350" t="str">
        <f t="shared" si="11"/>
        <v>是否直接入户</v>
      </c>
      <c r="R33" s="704" t="s">
        <v>14</v>
      </c>
      <c r="S33" s="705">
        <f t="shared" si="12"/>
        <v>100</v>
      </c>
      <c r="T33" s="704" t="s">
        <v>14</v>
      </c>
      <c r="U33" s="705">
        <f t="shared" si="13"/>
        <v>100</v>
      </c>
      <c r="V33" s="704" t="s">
        <v>14</v>
      </c>
      <c r="W33" s="705">
        <f t="shared" si="14"/>
        <v>100</v>
      </c>
      <c r="X33" s="1353"/>
      <c r="Y33" s="370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8"/>
      <c r="Q34" s="1350">
        <f t="shared" si="11"/>
        <v>111</v>
      </c>
      <c r="R34" s="704" t="s">
        <v>14</v>
      </c>
      <c r="S34" s="705">
        <f t="shared" si="12"/>
        <v>100</v>
      </c>
      <c r="T34" s="704" t="s">
        <v>14</v>
      </c>
      <c r="U34" s="705">
        <f t="shared" si="13"/>
        <v>100</v>
      </c>
      <c r="V34" s="704" t="s">
        <v>14</v>
      </c>
      <c r="W34" s="705">
        <f t="shared" si="14"/>
        <v>100</v>
      </c>
      <c r="X34" s="1353"/>
      <c r="Y34" s="370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8"/>
      <c r="Q36" s="1350">
        <f t="shared" si="11"/>
        <v>111</v>
      </c>
      <c r="R36" s="704" t="s">
        <v>14</v>
      </c>
      <c r="S36" s="705">
        <f t="shared" si="12"/>
        <v>100</v>
      </c>
      <c r="T36" s="704" t="s">
        <v>14</v>
      </c>
      <c r="U36" s="705">
        <f t="shared" si="13"/>
        <v>100</v>
      </c>
      <c r="V36" s="704" t="s">
        <v>14</v>
      </c>
      <c r="W36" s="705">
        <f t="shared" si="14"/>
        <v>100</v>
      </c>
      <c r="X36" s="1353"/>
      <c r="Y36" s="3708"/>
      <c r="Z36" s="1354">
        <f t="shared" si="15"/>
        <v>111</v>
      </c>
      <c r="AA36" s="1351">
        <f t="shared" si="3"/>
        <v>1</v>
      </c>
      <c r="AB36" s="1351">
        <f t="shared" si="4"/>
        <v>1</v>
      </c>
      <c r="AC36" s="1351">
        <f t="shared" si="5"/>
        <v>1</v>
      </c>
    </row>
    <row r="37" spans="1:29" ht="15">
      <c r="A37" s="430" t="s">
        <v>1844</v>
      </c>
      <c r="B37" s="1971" t="s">
        <v>3350</v>
      </c>
      <c r="C37" s="1153" t="s">
        <v>0</v>
      </c>
      <c r="D37" s="1154"/>
      <c r="E37" s="1155"/>
      <c r="F37" s="1156"/>
      <c r="G37" s="1157"/>
      <c r="H37" s="1158"/>
      <c r="I37" s="1155"/>
      <c r="J37" s="1158"/>
      <c r="K37" s="567"/>
      <c r="L37" s="2721"/>
      <c r="M37" s="2722"/>
      <c r="N37" s="2713"/>
      <c r="O37" s="2722"/>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1"/>
      <c r="M38" s="2722"/>
      <c r="N38" s="2722"/>
      <c r="O38" s="2722"/>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1"/>
      <c r="M39" s="2722"/>
      <c r="N39" s="2722"/>
      <c r="O39" s="2722"/>
      <c r="P39" s="3712" t="str">
        <f>A39</f>
        <v>估价对象XX用房的比较价值（楼面单价，元/平方米）</v>
      </c>
      <c r="Q39" s="3713"/>
      <c r="R39" s="3781" t="e">
        <f>IF(F1="售价",ROUND(IF(D38="简单平均",AVERAGE(R38:W38),R38*F38+T38*H38+V38*J38),0),ROUND(IF(D38="简单平均",AVERAGE(R38:V38),R38*F38+T38*H38+V38*J38),1))</f>
        <v>#DIV/0!</v>
      </c>
      <c r="S39" s="3781"/>
      <c r="T39" s="3781"/>
      <c r="U39" s="3781"/>
      <c r="V39" s="3781"/>
      <c r="W39" s="3781"/>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3331</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74" t="s">
        <v>1771</v>
      </c>
      <c r="S4" s="3675"/>
      <c r="T4" s="3674" t="s">
        <v>1772</v>
      </c>
      <c r="U4" s="3675"/>
      <c r="V4" s="3671" t="s">
        <v>1773</v>
      </c>
      <c r="W4" s="3671"/>
      <c r="X4" s="1353"/>
      <c r="Y4" s="3674" t="s">
        <v>1775</v>
      </c>
      <c r="Z4" s="3675"/>
      <c r="AA4" s="3668" t="s">
        <v>1771</v>
      </c>
      <c r="AB4" s="3669" t="s">
        <v>1772</v>
      </c>
      <c r="AC4" s="3668" t="s">
        <v>1773</v>
      </c>
    </row>
    <row r="5" spans="1:29" ht="15">
      <c r="A5" s="358"/>
      <c r="B5" s="359"/>
      <c r="C5" s="3764" t="s">
        <v>1673</v>
      </c>
      <c r="D5" s="3681"/>
      <c r="E5" s="3763" t="s">
        <v>1674</v>
      </c>
      <c r="F5" s="3679"/>
      <c r="G5" s="3764" t="s">
        <v>1675</v>
      </c>
      <c r="H5" s="3681"/>
      <c r="I5" s="3764" t="s">
        <v>1676</v>
      </c>
      <c r="J5" s="3681"/>
      <c r="K5" s="559"/>
      <c r="L5" s="2712"/>
      <c r="M5" s="2713"/>
      <c r="N5" s="2713"/>
      <c r="O5" s="2713"/>
      <c r="P5" s="3694"/>
      <c r="Q5" s="3695"/>
      <c r="R5" s="3676"/>
      <c r="S5" s="3677"/>
      <c r="T5" s="3676"/>
      <c r="U5" s="3677"/>
      <c r="V5" s="3671"/>
      <c r="W5" s="3671"/>
      <c r="X5" s="1353"/>
      <c r="Y5" s="3676"/>
      <c r="Z5" s="3677"/>
      <c r="AA5" s="3669"/>
      <c r="AB5" s="3669"/>
      <c r="AC5" s="3669"/>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696"/>
      <c r="Q6" s="3697"/>
      <c r="R6" s="3676"/>
      <c r="S6" s="3677"/>
      <c r="T6" s="3698"/>
      <c r="U6" s="3699"/>
      <c r="V6" s="3671"/>
      <c r="W6" s="3671"/>
      <c r="X6" s="1353"/>
      <c r="Y6" s="3698"/>
      <c r="Z6" s="3699"/>
      <c r="AA6" s="3670"/>
      <c r="AB6" s="3670"/>
      <c r="AC6" s="3670"/>
    </row>
    <row r="7" spans="1:29" s="108" customFormat="1" ht="15.75" thickBot="1">
      <c r="A7" s="362" t="s">
        <v>1679</v>
      </c>
      <c r="B7" s="363"/>
      <c r="C7" s="364">
        <f>'数据-取费表'!B2</f>
        <v>45825</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2" t="s">
        <v>1683</v>
      </c>
      <c r="Q8" s="3673"/>
      <c r="R8" s="700" t="s">
        <v>14</v>
      </c>
      <c r="S8" s="701">
        <f t="shared" si="0"/>
        <v>100</v>
      </c>
      <c r="T8" s="700" t="s">
        <v>14</v>
      </c>
      <c r="U8" s="701">
        <f t="shared" si="1"/>
        <v>100</v>
      </c>
      <c r="V8" s="700" t="s">
        <v>14</v>
      </c>
      <c r="W8" s="701">
        <f t="shared" si="2"/>
        <v>100</v>
      </c>
      <c r="X8" s="702"/>
      <c r="Y8" s="3672" t="s">
        <v>1683</v>
      </c>
      <c r="Z8" s="367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0" t="s">
        <v>1686</v>
      </c>
      <c r="Q9" s="1341"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0"/>
      <c r="Q10" s="1341"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0"/>
      <c r="Q11" s="1341">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0"/>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10"/>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3" t="s">
        <v>1691</v>
      </c>
      <c r="Q14" s="1350" t="str">
        <f t="shared" si="6"/>
        <v>交通便捷度</v>
      </c>
      <c r="R14" s="704" t="s">
        <v>14</v>
      </c>
      <c r="S14" s="705">
        <f t="shared" si="0"/>
        <v>100</v>
      </c>
      <c r="T14" s="704" t="s">
        <v>14</v>
      </c>
      <c r="U14" s="705">
        <f t="shared" si="1"/>
        <v>100</v>
      </c>
      <c r="V14" s="704" t="s">
        <v>14</v>
      </c>
      <c r="W14" s="705">
        <f t="shared" si="2"/>
        <v>100</v>
      </c>
      <c r="X14" s="1353"/>
      <c r="Y14" s="370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4"/>
      <c r="Q15" s="1350"/>
      <c r="R15" s="704"/>
      <c r="S15" s="705"/>
      <c r="T15" s="704"/>
      <c r="U15" s="705"/>
      <c r="V15" s="704"/>
      <c r="W15" s="705"/>
      <c r="X15" s="1353"/>
      <c r="Y15" s="370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4"/>
      <c r="Q16" s="1350" t="str">
        <f>B16</f>
        <v>公共配套设施</v>
      </c>
      <c r="R16" s="704" t="s">
        <v>14</v>
      </c>
      <c r="S16" s="705">
        <f>F16</f>
        <v>100</v>
      </c>
      <c r="T16" s="704" t="s">
        <v>14</v>
      </c>
      <c r="U16" s="705">
        <f>H16</f>
        <v>100</v>
      </c>
      <c r="V16" s="704" t="s">
        <v>14</v>
      </c>
      <c r="W16" s="705">
        <f>J16</f>
        <v>100</v>
      </c>
      <c r="X16" s="1353"/>
      <c r="Y16" s="370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4"/>
      <c r="Q17" s="1350"/>
      <c r="R17" s="704"/>
      <c r="S17" s="705"/>
      <c r="T17" s="704"/>
      <c r="U17" s="705"/>
      <c r="V17" s="704"/>
      <c r="W17" s="705"/>
      <c r="X17" s="1353"/>
      <c r="Y17" s="3704"/>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4"/>
      <c r="Q18" s="1350" t="str">
        <f>B18</f>
        <v>基础设施水平</v>
      </c>
      <c r="R18" s="704" t="s">
        <v>14</v>
      </c>
      <c r="S18" s="705">
        <f>F18</f>
        <v>100</v>
      </c>
      <c r="T18" s="704" t="s">
        <v>14</v>
      </c>
      <c r="U18" s="705">
        <f>H18</f>
        <v>100</v>
      </c>
      <c r="V18" s="704" t="s">
        <v>14</v>
      </c>
      <c r="W18" s="705">
        <f>J18</f>
        <v>100</v>
      </c>
      <c r="X18" s="1353"/>
      <c r="Y18" s="370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704"/>
      <c r="Q19" s="1350"/>
      <c r="R19" s="704"/>
      <c r="S19" s="705"/>
      <c r="T19" s="704"/>
      <c r="U19" s="705"/>
      <c r="V19" s="704"/>
      <c r="W19" s="705"/>
      <c r="X19" s="1353"/>
      <c r="Y19" s="370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4"/>
      <c r="Q20" s="1350" t="str">
        <f>B20</f>
        <v>自然及人文环境</v>
      </c>
      <c r="R20" s="704" t="s">
        <v>14</v>
      </c>
      <c r="S20" s="705">
        <f>F20</f>
        <v>100</v>
      </c>
      <c r="T20" s="704" t="s">
        <v>14</v>
      </c>
      <c r="U20" s="705">
        <f>H20</f>
        <v>100</v>
      </c>
      <c r="V20" s="704" t="s">
        <v>14</v>
      </c>
      <c r="W20" s="705">
        <f>J20</f>
        <v>100</v>
      </c>
      <c r="X20" s="1353"/>
      <c r="Y20" s="370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4"/>
      <c r="Q21" s="1350"/>
      <c r="R21" s="704"/>
      <c r="S21" s="705"/>
      <c r="T21" s="704"/>
      <c r="U21" s="705"/>
      <c r="V21" s="704"/>
      <c r="W21" s="705"/>
      <c r="X21" s="1353"/>
      <c r="Y21" s="370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4"/>
      <c r="Q22" s="1350" t="str">
        <f>B22</f>
        <v>楼层</v>
      </c>
      <c r="R22" s="704" t="s">
        <v>14</v>
      </c>
      <c r="S22" s="705">
        <f>F22</f>
        <v>100</v>
      </c>
      <c r="T22" s="704" t="s">
        <v>14</v>
      </c>
      <c r="U22" s="705">
        <f>H22</f>
        <v>100</v>
      </c>
      <c r="V22" s="704" t="s">
        <v>14</v>
      </c>
      <c r="W22" s="705">
        <f>J22</f>
        <v>100</v>
      </c>
      <c r="X22" s="1353"/>
      <c r="Y22" s="370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4"/>
      <c r="Q23" s="1350">
        <f>B23</f>
        <v>111</v>
      </c>
      <c r="R23" s="704" t="s">
        <v>14</v>
      </c>
      <c r="S23" s="705">
        <f>F23</f>
        <v>100</v>
      </c>
      <c r="T23" s="704" t="s">
        <v>14</v>
      </c>
      <c r="U23" s="705">
        <f>H23</f>
        <v>100</v>
      </c>
      <c r="V23" s="704" t="s">
        <v>14</v>
      </c>
      <c r="W23" s="705">
        <f>J23</f>
        <v>100</v>
      </c>
      <c r="X23" s="1353"/>
      <c r="Y23" s="370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4"/>
      <c r="Q24" s="1350">
        <f t="shared" ref="Q24:Q34" si="11">B24</f>
        <v>111</v>
      </c>
      <c r="R24" s="704" t="s">
        <v>14</v>
      </c>
      <c r="S24" s="705">
        <f>F24</f>
        <v>100</v>
      </c>
      <c r="T24" s="704" t="s">
        <v>14</v>
      </c>
      <c r="U24" s="705">
        <f>H24</f>
        <v>100</v>
      </c>
      <c r="V24" s="704" t="s">
        <v>14</v>
      </c>
      <c r="W24" s="705">
        <f>J24</f>
        <v>100</v>
      </c>
      <c r="X24" s="1353"/>
      <c r="Y24" s="370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04"/>
      <c r="Q25" s="1341">
        <f t="shared" si="11"/>
        <v>111</v>
      </c>
      <c r="R25" s="700" t="s">
        <v>14</v>
      </c>
      <c r="S25" s="701">
        <f>F25</f>
        <v>100</v>
      </c>
      <c r="T25" s="700" t="s">
        <v>14</v>
      </c>
      <c r="U25" s="701">
        <f>H25</f>
        <v>100</v>
      </c>
      <c r="V25" s="700" t="s">
        <v>14</v>
      </c>
      <c r="W25" s="701">
        <f>J25</f>
        <v>100</v>
      </c>
      <c r="X25" s="702"/>
      <c r="Y25" s="3704"/>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80"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8"/>
      <c r="Q28" s="1350" t="str">
        <f t="shared" si="11"/>
        <v>物业等级</v>
      </c>
      <c r="R28" s="704" t="s">
        <v>14</v>
      </c>
      <c r="S28" s="705">
        <f t="shared" si="12"/>
        <v>100</v>
      </c>
      <c r="T28" s="704" t="s">
        <v>14</v>
      </c>
      <c r="U28" s="705">
        <f t="shared" si="13"/>
        <v>100</v>
      </c>
      <c r="V28" s="704" t="s">
        <v>14</v>
      </c>
      <c r="W28" s="705">
        <f t="shared" si="14"/>
        <v>100</v>
      </c>
      <c r="X28" s="1353"/>
      <c r="Y28" s="3708"/>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08"/>
      <c r="Q29" s="1350" t="str">
        <f t="shared" si="11"/>
        <v>有无电梯</v>
      </c>
      <c r="R29" s="704" t="s">
        <v>14</v>
      </c>
      <c r="S29" s="705">
        <f t="shared" si="12"/>
        <v>100</v>
      </c>
      <c r="T29" s="704" t="s">
        <v>14</v>
      </c>
      <c r="U29" s="705">
        <f t="shared" si="13"/>
        <v>100</v>
      </c>
      <c r="V29" s="704" t="s">
        <v>14</v>
      </c>
      <c r="W29" s="705">
        <f t="shared" si="14"/>
        <v>100</v>
      </c>
      <c r="X29" s="1353"/>
      <c r="Y29" s="370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8"/>
      <c r="Q30" s="1350" t="str">
        <f t="shared" si="11"/>
        <v>建筑面积</v>
      </c>
      <c r="R30" s="704" t="s">
        <v>14</v>
      </c>
      <c r="S30" s="705" t="e">
        <f t="shared" si="12"/>
        <v>#N/A</v>
      </c>
      <c r="T30" s="704" t="s">
        <v>14</v>
      </c>
      <c r="U30" s="705" t="e">
        <f t="shared" si="13"/>
        <v>#N/A</v>
      </c>
      <c r="V30" s="704" t="s">
        <v>14</v>
      </c>
      <c r="W30" s="705" t="e">
        <f t="shared" si="14"/>
        <v>#N/A</v>
      </c>
      <c r="X30" s="1353"/>
      <c r="Y30" s="3708"/>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08"/>
      <c r="Q31" s="1341"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8" t="s">
        <v>1696</v>
      </c>
      <c r="Q32" s="1350">
        <f t="shared" si="11"/>
        <v>111</v>
      </c>
      <c r="R32" s="704" t="s">
        <v>14</v>
      </c>
      <c r="S32" s="705">
        <f t="shared" si="12"/>
        <v>100</v>
      </c>
      <c r="T32" s="704" t="s">
        <v>14</v>
      </c>
      <c r="U32" s="705">
        <f t="shared" si="13"/>
        <v>100</v>
      </c>
      <c r="V32" s="704" t="s">
        <v>14</v>
      </c>
      <c r="W32" s="705">
        <f t="shared" si="14"/>
        <v>100</v>
      </c>
      <c r="X32" s="1353"/>
      <c r="Y32" s="370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8"/>
      <c r="Q33" s="1350">
        <f t="shared" si="11"/>
        <v>111</v>
      </c>
      <c r="R33" s="704" t="s">
        <v>14</v>
      </c>
      <c r="S33" s="705">
        <f t="shared" si="12"/>
        <v>100</v>
      </c>
      <c r="T33" s="704" t="s">
        <v>14</v>
      </c>
      <c r="U33" s="705">
        <f t="shared" si="13"/>
        <v>100</v>
      </c>
      <c r="V33" s="704" t="s">
        <v>14</v>
      </c>
      <c r="W33" s="705">
        <f t="shared" si="14"/>
        <v>100</v>
      </c>
      <c r="X33" s="1353"/>
      <c r="Y33" s="370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08"/>
      <c r="Q34" s="1350">
        <f t="shared" si="11"/>
        <v>111</v>
      </c>
      <c r="R34" s="704" t="s">
        <v>14</v>
      </c>
      <c r="S34" s="705">
        <f t="shared" si="12"/>
        <v>100</v>
      </c>
      <c r="T34" s="704" t="s">
        <v>14</v>
      </c>
      <c r="U34" s="705">
        <f t="shared" si="13"/>
        <v>100</v>
      </c>
      <c r="V34" s="704" t="s">
        <v>14</v>
      </c>
      <c r="W34" s="705">
        <f t="shared" si="14"/>
        <v>100</v>
      </c>
      <c r="X34" s="1353"/>
      <c r="Y34" s="370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1"/>
      <c r="M36" s="2722"/>
      <c r="N36" s="2713"/>
      <c r="O36" s="2722"/>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12" t="str">
        <f>A37</f>
        <v>估价对象XX用房的比较价值（楼面单价，元/平方米）</v>
      </c>
      <c r="Q37" s="3713"/>
      <c r="R37" s="3781" t="e">
        <f>IF(F1="售价",ROUND(IF(D36="简单平均",AVERAGE(R36:W36),R36*F36+T36*H36+V36*J36),0),ROUND(IF(D36="简单平均",AVERAGE(R36:V36),R36*F36+T36*H36+V36*J36),1))</f>
        <v>#DIV/0!</v>
      </c>
      <c r="S37" s="3781"/>
      <c r="T37" s="3781"/>
      <c r="U37" s="3781"/>
      <c r="V37" s="3781"/>
      <c r="W37" s="3781"/>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74" t="s">
        <v>1771</v>
      </c>
      <c r="S4" s="3675"/>
      <c r="T4" s="3674" t="s">
        <v>1772</v>
      </c>
      <c r="U4" s="3675"/>
      <c r="V4" s="3671" t="s">
        <v>1773</v>
      </c>
      <c r="W4" s="3671"/>
      <c r="X4" s="1353"/>
      <c r="Y4" s="3674" t="s">
        <v>1775</v>
      </c>
      <c r="Z4" s="3675"/>
      <c r="AA4" s="3668" t="s">
        <v>1771</v>
      </c>
      <c r="AB4" s="3669" t="s">
        <v>1772</v>
      </c>
      <c r="AC4" s="3668" t="s">
        <v>1773</v>
      </c>
    </row>
    <row r="5" spans="1:29" ht="15">
      <c r="A5" s="358"/>
      <c r="B5" s="359"/>
      <c r="C5" s="3764" t="s">
        <v>1673</v>
      </c>
      <c r="D5" s="3681"/>
      <c r="E5" s="3763" t="s">
        <v>1674</v>
      </c>
      <c r="F5" s="3679"/>
      <c r="G5" s="3764" t="s">
        <v>1675</v>
      </c>
      <c r="H5" s="3681"/>
      <c r="I5" s="3764" t="s">
        <v>1676</v>
      </c>
      <c r="J5" s="3681"/>
      <c r="K5" s="559"/>
      <c r="L5" s="2712"/>
      <c r="M5" s="2713"/>
      <c r="N5" s="2713"/>
      <c r="O5" s="2713"/>
      <c r="P5" s="3694"/>
      <c r="Q5" s="3695"/>
      <c r="R5" s="3676"/>
      <c r="S5" s="3677"/>
      <c r="T5" s="3676"/>
      <c r="U5" s="3677"/>
      <c r="V5" s="3671"/>
      <c r="W5" s="3671"/>
      <c r="X5" s="1353"/>
      <c r="Y5" s="3676"/>
      <c r="Z5" s="3677"/>
      <c r="AA5" s="3669"/>
      <c r="AB5" s="3669"/>
      <c r="AC5" s="3669"/>
    </row>
    <row r="6" spans="1:29" ht="15.75" thickBot="1">
      <c r="A6" s="360"/>
      <c r="B6" s="361"/>
      <c r="C6" s="3785" t="s">
        <v>1918</v>
      </c>
      <c r="D6" s="3786"/>
      <c r="E6" s="3787" t="s">
        <v>1918</v>
      </c>
      <c r="F6" s="3788"/>
      <c r="G6" s="3785" t="s">
        <v>1918</v>
      </c>
      <c r="H6" s="3786"/>
      <c r="I6" s="3785" t="s">
        <v>1918</v>
      </c>
      <c r="J6" s="3786"/>
      <c r="K6" s="559" t="s">
        <v>1678</v>
      </c>
      <c r="L6" s="2712"/>
      <c r="M6" s="2713"/>
      <c r="N6" s="2713"/>
      <c r="O6" s="2713"/>
      <c r="P6" s="3696"/>
      <c r="Q6" s="3697"/>
      <c r="R6" s="3676"/>
      <c r="S6" s="3677"/>
      <c r="T6" s="3698"/>
      <c r="U6" s="3699"/>
      <c r="V6" s="3671"/>
      <c r="W6" s="3671"/>
      <c r="X6" s="1353"/>
      <c r="Y6" s="3698"/>
      <c r="Z6" s="3699"/>
      <c r="AA6" s="3670"/>
      <c r="AB6" s="3670"/>
      <c r="AC6" s="3670"/>
    </row>
    <row r="7" spans="1:29" s="108" customFormat="1" ht="15.75" thickBot="1">
      <c r="A7" s="362" t="s">
        <v>1679</v>
      </c>
      <c r="B7" s="363"/>
      <c r="C7" s="364">
        <f>'数据-取费表'!B2</f>
        <v>45825</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2" t="s">
        <v>1683</v>
      </c>
      <c r="Q8" s="3673"/>
      <c r="R8" s="700" t="s">
        <v>14</v>
      </c>
      <c r="S8" s="701">
        <f t="shared" si="0"/>
        <v>0</v>
      </c>
      <c r="T8" s="700" t="s">
        <v>14</v>
      </c>
      <c r="U8" s="701">
        <f t="shared" si="1"/>
        <v>0</v>
      </c>
      <c r="V8" s="700" t="s">
        <v>14</v>
      </c>
      <c r="W8" s="701">
        <f t="shared" si="2"/>
        <v>0</v>
      </c>
      <c r="X8" s="702"/>
      <c r="Y8" s="3672" t="s">
        <v>1683</v>
      </c>
      <c r="Z8" s="3673"/>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10" t="s">
        <v>1686</v>
      </c>
      <c r="Q9" s="1341"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19"/>
      <c r="L10" s="2716"/>
      <c r="M10" s="2717"/>
      <c r="N10" s="2717"/>
      <c r="O10" s="2770"/>
      <c r="P10" s="3710"/>
      <c r="Q10" s="1341" t="str">
        <f t="shared" si="6"/>
        <v>土地使用年限（年）</v>
      </c>
      <c r="R10" s="700" t="s">
        <v>14</v>
      </c>
      <c r="S10" s="701">
        <f t="shared" si="0"/>
        <v>132</v>
      </c>
      <c r="T10" s="700" t="s">
        <v>14</v>
      </c>
      <c r="U10" s="701">
        <f t="shared" si="1"/>
        <v>132</v>
      </c>
      <c r="V10" s="700" t="s">
        <v>14</v>
      </c>
      <c r="W10" s="701">
        <f t="shared" si="2"/>
        <v>132</v>
      </c>
      <c r="X10" s="702"/>
      <c r="Y10" s="3644"/>
      <c r="Z10" s="52" t="str">
        <f t="shared" si="7"/>
        <v>土地使用年限（年）</v>
      </c>
      <c r="AA10" s="703">
        <f t="shared" si="3"/>
        <v>0.75757575757575757</v>
      </c>
      <c r="AB10" s="703">
        <f t="shared" si="4"/>
        <v>0.75757575757575757</v>
      </c>
      <c r="AC10" s="703">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10"/>
      <c r="Q11" s="1341"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10"/>
      <c r="Q12" s="1341">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10"/>
      <c r="Q13" s="1341">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10"/>
      <c r="Q14" s="1341">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03" t="s">
        <v>1691</v>
      </c>
      <c r="Q15" s="1350" t="str">
        <f t="shared" si="6"/>
        <v>产业集聚程度</v>
      </c>
      <c r="R15" s="704" t="s">
        <v>14</v>
      </c>
      <c r="S15" s="705">
        <f t="shared" si="0"/>
        <v>100</v>
      </c>
      <c r="T15" s="704" t="s">
        <v>14</v>
      </c>
      <c r="U15" s="705">
        <f t="shared" si="1"/>
        <v>100</v>
      </c>
      <c r="V15" s="704" t="s">
        <v>14</v>
      </c>
      <c r="W15" s="705">
        <f t="shared" si="2"/>
        <v>100</v>
      </c>
      <c r="X15" s="1353"/>
      <c r="Y15" s="3703"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04"/>
      <c r="Q16" s="1350"/>
      <c r="R16" s="704"/>
      <c r="S16" s="705"/>
      <c r="T16" s="704"/>
      <c r="U16" s="705"/>
      <c r="V16" s="704"/>
      <c r="W16" s="705"/>
      <c r="X16" s="1353"/>
      <c r="Y16" s="3704"/>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04"/>
      <c r="Q17" s="1350" t="str">
        <f>B17</f>
        <v>交通便捷度</v>
      </c>
      <c r="R17" s="704" t="s">
        <v>14</v>
      </c>
      <c r="S17" s="705">
        <f>F17</f>
        <v>100</v>
      </c>
      <c r="T17" s="704" t="s">
        <v>14</v>
      </c>
      <c r="U17" s="705">
        <f>H17</f>
        <v>100</v>
      </c>
      <c r="V17" s="704" t="s">
        <v>14</v>
      </c>
      <c r="W17" s="705">
        <f>J17</f>
        <v>100</v>
      </c>
      <c r="X17" s="1353"/>
      <c r="Y17" s="370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04"/>
      <c r="Q18" s="1350"/>
      <c r="R18" s="704"/>
      <c r="S18" s="705"/>
      <c r="T18" s="704"/>
      <c r="U18" s="705"/>
      <c r="V18" s="704"/>
      <c r="W18" s="705"/>
      <c r="X18" s="1353"/>
      <c r="Y18" s="3704"/>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04"/>
      <c r="Q19" s="1350" t="str">
        <f t="shared" ref="Q19:Q33" si="8">B19</f>
        <v>区域土地利用方向</v>
      </c>
      <c r="R19" s="704" t="s">
        <v>14</v>
      </c>
      <c r="S19" s="705">
        <f>F19</f>
        <v>100</v>
      </c>
      <c r="T19" s="704" t="s">
        <v>14</v>
      </c>
      <c r="U19" s="705">
        <f>H19</f>
        <v>100</v>
      </c>
      <c r="V19" s="704" t="s">
        <v>14</v>
      </c>
      <c r="W19" s="705">
        <f>J19</f>
        <v>100</v>
      </c>
      <c r="X19" s="1353"/>
      <c r="Y19" s="370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704"/>
      <c r="Q20" s="1350"/>
      <c r="R20" s="704"/>
      <c r="S20" s="705"/>
      <c r="T20" s="704"/>
      <c r="U20" s="705"/>
      <c r="V20" s="704"/>
      <c r="W20" s="705"/>
      <c r="X20" s="1353"/>
      <c r="Y20" s="3704"/>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04"/>
      <c r="Q21" s="1350" t="str">
        <f t="shared" si="8"/>
        <v>环境状况</v>
      </c>
      <c r="R21" s="704" t="s">
        <v>14</v>
      </c>
      <c r="S21" s="705">
        <f>F21</f>
        <v>100</v>
      </c>
      <c r="T21" s="704" t="s">
        <v>14</v>
      </c>
      <c r="U21" s="705">
        <f>H21</f>
        <v>100</v>
      </c>
      <c r="V21" s="704" t="s">
        <v>14</v>
      </c>
      <c r="W21" s="705">
        <f>J21</f>
        <v>100</v>
      </c>
      <c r="X21" s="1353"/>
      <c r="Y21" s="370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04"/>
      <c r="Q22" s="1350"/>
      <c r="R22" s="704"/>
      <c r="S22" s="705"/>
      <c r="T22" s="704"/>
      <c r="U22" s="705"/>
      <c r="V22" s="704"/>
      <c r="W22" s="705"/>
      <c r="X22" s="1353"/>
      <c r="Y22" s="3704"/>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04"/>
      <c r="Q23" s="1341" t="str">
        <f t="shared" si="8"/>
        <v>公共配套设施</v>
      </c>
      <c r="R23" s="700" t="s">
        <v>14</v>
      </c>
      <c r="S23" s="701">
        <f>F23</f>
        <v>100</v>
      </c>
      <c r="T23" s="700" t="s">
        <v>14</v>
      </c>
      <c r="U23" s="701">
        <f>H23</f>
        <v>100</v>
      </c>
      <c r="V23" s="700" t="s">
        <v>14</v>
      </c>
      <c r="W23" s="701">
        <f>J23</f>
        <v>100</v>
      </c>
      <c r="X23" s="702"/>
      <c r="Y23" s="370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04"/>
      <c r="Q24" s="1341"/>
      <c r="R24" s="700"/>
      <c r="S24" s="701"/>
      <c r="T24" s="700"/>
      <c r="U24" s="701"/>
      <c r="V24" s="700"/>
      <c r="W24" s="701"/>
      <c r="X24" s="702"/>
      <c r="Y24" s="3704"/>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04"/>
      <c r="Q25" s="1341"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04"/>
      <c r="Q26" s="1341"/>
      <c r="R26" s="700"/>
      <c r="S26" s="701"/>
      <c r="T26" s="700"/>
      <c r="U26" s="701"/>
      <c r="V26" s="700"/>
      <c r="W26" s="701"/>
      <c r="X26" s="702"/>
      <c r="Y26" s="370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0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04"/>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04"/>
      <c r="Q28" s="1350" t="str">
        <f t="shared" si="8"/>
        <v>毗邻道路的类型与等级</v>
      </c>
      <c r="R28" s="704" t="s">
        <v>14</v>
      </c>
      <c r="S28" s="705">
        <f t="shared" si="10"/>
        <v>100</v>
      </c>
      <c r="T28" s="704" t="s">
        <v>14</v>
      </c>
      <c r="U28" s="705">
        <f t="shared" si="11"/>
        <v>100</v>
      </c>
      <c r="V28" s="704" t="s">
        <v>14</v>
      </c>
      <c r="W28" s="705">
        <f t="shared" si="12"/>
        <v>100</v>
      </c>
      <c r="X28" s="1353"/>
      <c r="Y28" s="370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04"/>
      <c r="Q29" s="1350"/>
      <c r="R29" s="704"/>
      <c r="S29" s="705"/>
      <c r="T29" s="704"/>
      <c r="U29" s="705"/>
      <c r="V29" s="704"/>
      <c r="W29" s="705"/>
      <c r="X29" s="1353"/>
      <c r="Y29" s="3704"/>
      <c r="Z29" s="1354"/>
      <c r="AA29" s="1351">
        <v>1</v>
      </c>
      <c r="AB29" s="1351">
        <v>1</v>
      </c>
      <c r="AC29" s="1351">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04"/>
      <c r="Q30" s="1350" t="str">
        <f t="shared" si="8"/>
        <v>土地级别</v>
      </c>
      <c r="R30" s="704" t="s">
        <v>14</v>
      </c>
      <c r="S30" s="705">
        <f t="shared" si="10"/>
        <v>100</v>
      </c>
      <c r="T30" s="704" t="s">
        <v>14</v>
      </c>
      <c r="U30" s="705">
        <f t="shared" si="11"/>
        <v>100</v>
      </c>
      <c r="V30" s="704" t="s">
        <v>14</v>
      </c>
      <c r="W30" s="705">
        <f t="shared" si="12"/>
        <v>100</v>
      </c>
      <c r="X30" s="1353"/>
      <c r="Y30" s="370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4"/>
      <c r="Q31" s="1350">
        <f t="shared" si="8"/>
        <v>111</v>
      </c>
      <c r="R31" s="704" t="s">
        <v>14</v>
      </c>
      <c r="S31" s="705">
        <f t="shared" si="10"/>
        <v>100</v>
      </c>
      <c r="T31" s="704" t="s">
        <v>14</v>
      </c>
      <c r="U31" s="705">
        <f t="shared" si="11"/>
        <v>100</v>
      </c>
      <c r="V31" s="704" t="s">
        <v>14</v>
      </c>
      <c r="W31" s="705">
        <f t="shared" si="12"/>
        <v>100</v>
      </c>
      <c r="X31" s="1353"/>
      <c r="Y31" s="370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80" t="s">
        <v>1696</v>
      </c>
      <c r="Q32" s="1350">
        <f t="shared" si="8"/>
        <v>111</v>
      </c>
      <c r="R32" s="704" t="s">
        <v>14</v>
      </c>
      <c r="S32" s="705">
        <f t="shared" si="10"/>
        <v>100</v>
      </c>
      <c r="T32" s="704" t="s">
        <v>14</v>
      </c>
      <c r="U32" s="705">
        <f t="shared" si="11"/>
        <v>100</v>
      </c>
      <c r="V32" s="704" t="s">
        <v>14</v>
      </c>
      <c r="W32" s="705">
        <f t="shared" si="12"/>
        <v>100</v>
      </c>
      <c r="X32" s="1353"/>
      <c r="Y32" s="3708"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08"/>
      <c r="Q33" s="1350">
        <f t="shared" si="8"/>
        <v>111</v>
      </c>
      <c r="R33" s="707" t="s">
        <v>14</v>
      </c>
      <c r="S33" s="708">
        <f t="shared" si="10"/>
        <v>100</v>
      </c>
      <c r="T33" s="707" t="s">
        <v>14</v>
      </c>
      <c r="U33" s="708">
        <f t="shared" si="11"/>
        <v>100</v>
      </c>
      <c r="V33" s="707" t="s">
        <v>14</v>
      </c>
      <c r="W33" s="708">
        <f t="shared" si="12"/>
        <v>100</v>
      </c>
      <c r="X33" s="709"/>
      <c r="Y33" s="3708"/>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08"/>
      <c r="Q34" s="1350" t="str">
        <f>B34</f>
        <v>宗地面积</v>
      </c>
      <c r="R34" s="704" t="s">
        <v>14</v>
      </c>
      <c r="S34" s="705" t="e">
        <f t="shared" si="10"/>
        <v>#N/A</v>
      </c>
      <c r="T34" s="704" t="s">
        <v>14</v>
      </c>
      <c r="U34" s="705" t="e">
        <f t="shared" si="11"/>
        <v>#N/A</v>
      </c>
      <c r="V34" s="704" t="s">
        <v>14</v>
      </c>
      <c r="W34" s="705" t="e">
        <f t="shared" si="12"/>
        <v>#N/A</v>
      </c>
      <c r="X34" s="1353"/>
      <c r="Y34" s="370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08"/>
      <c r="Q35" s="1350" t="str">
        <f t="shared" ref="Q35:Q40" si="14">B35</f>
        <v>宗地形状</v>
      </c>
      <c r="R35" s="704" t="s">
        <v>14</v>
      </c>
      <c r="S35" s="705">
        <f t="shared" si="10"/>
        <v>100</v>
      </c>
      <c r="T35" s="704" t="s">
        <v>14</v>
      </c>
      <c r="U35" s="705">
        <f t="shared" si="11"/>
        <v>100</v>
      </c>
      <c r="V35" s="704" t="s">
        <v>14</v>
      </c>
      <c r="W35" s="705">
        <f t="shared" si="12"/>
        <v>100</v>
      </c>
      <c r="X35" s="1353"/>
      <c r="Y35" s="370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08"/>
      <c r="Q36" s="1350"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08" t="s">
        <v>1696</v>
      </c>
      <c r="Q37" s="1350" t="str">
        <f t="shared" si="14"/>
        <v>工程地质条件</v>
      </c>
      <c r="R37" s="704" t="s">
        <v>14</v>
      </c>
      <c r="S37" s="705">
        <f t="shared" si="10"/>
        <v>100</v>
      </c>
      <c r="T37" s="704" t="s">
        <v>14</v>
      </c>
      <c r="U37" s="705">
        <f t="shared" si="11"/>
        <v>100</v>
      </c>
      <c r="V37" s="704" t="s">
        <v>14</v>
      </c>
      <c r="W37" s="705">
        <f t="shared" si="12"/>
        <v>100</v>
      </c>
      <c r="X37" s="1353"/>
      <c r="Y37" s="3708" t="s">
        <v>1696</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08"/>
      <c r="Q38" s="1350">
        <f t="shared" si="14"/>
        <v>111</v>
      </c>
      <c r="R38" s="704" t="s">
        <v>14</v>
      </c>
      <c r="S38" s="705">
        <f t="shared" si="10"/>
        <v>100</v>
      </c>
      <c r="T38" s="704" t="s">
        <v>14</v>
      </c>
      <c r="U38" s="705">
        <f t="shared" si="11"/>
        <v>100</v>
      </c>
      <c r="V38" s="704" t="s">
        <v>14</v>
      </c>
      <c r="W38" s="705">
        <f t="shared" si="12"/>
        <v>100</v>
      </c>
      <c r="X38" s="1353"/>
      <c r="Y38" s="3708"/>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08"/>
      <c r="Q39" s="1350">
        <f t="shared" si="14"/>
        <v>111</v>
      </c>
      <c r="R39" s="704" t="s">
        <v>14</v>
      </c>
      <c r="S39" s="705">
        <f t="shared" si="10"/>
        <v>100</v>
      </c>
      <c r="T39" s="704" t="s">
        <v>14</v>
      </c>
      <c r="U39" s="705">
        <f t="shared" si="11"/>
        <v>100</v>
      </c>
      <c r="V39" s="704" t="s">
        <v>14</v>
      </c>
      <c r="W39" s="705">
        <f t="shared" si="12"/>
        <v>100</v>
      </c>
      <c r="X39" s="1353"/>
      <c r="Y39" s="3708"/>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08"/>
      <c r="Q40" s="1350">
        <f t="shared" si="14"/>
        <v>111</v>
      </c>
      <c r="R40" s="707" t="s">
        <v>14</v>
      </c>
      <c r="S40" s="708">
        <f t="shared" si="10"/>
        <v>100</v>
      </c>
      <c r="T40" s="707" t="s">
        <v>14</v>
      </c>
      <c r="U40" s="708">
        <f t="shared" si="11"/>
        <v>100</v>
      </c>
      <c r="V40" s="707" t="s">
        <v>14</v>
      </c>
      <c r="W40" s="708">
        <f t="shared" si="12"/>
        <v>100</v>
      </c>
      <c r="X40" s="709"/>
      <c r="Y40" s="3708"/>
      <c r="Z40" s="710">
        <f t="shared" si="13"/>
        <v>111</v>
      </c>
      <c r="AA40" s="1351">
        <f t="shared" si="3"/>
        <v>1</v>
      </c>
      <c r="AB40" s="1351">
        <f t="shared" si="4"/>
        <v>1</v>
      </c>
      <c r="AC40" s="1351">
        <f t="shared" si="5"/>
        <v>1</v>
      </c>
    </row>
    <row r="41" spans="1:31" ht="15">
      <c r="A41" s="430" t="s">
        <v>1844</v>
      </c>
      <c r="B41" s="1980" t="s">
        <v>1921</v>
      </c>
      <c r="C41" s="629" t="s">
        <v>0</v>
      </c>
      <c r="D41" s="432"/>
      <c r="E41" s="433"/>
      <c r="F41" s="434"/>
      <c r="G41" s="435"/>
      <c r="H41" s="436"/>
      <c r="I41" s="433"/>
      <c r="J41" s="436"/>
      <c r="K41" s="713"/>
      <c r="L41" s="2721"/>
      <c r="M41" s="2713"/>
      <c r="N41" s="2713"/>
      <c r="O41" s="2722"/>
      <c r="P41" s="3710" t="str">
        <f>A41</f>
        <v>成交单价</v>
      </c>
      <c r="Q41" s="3710"/>
      <c r="R41" s="3671">
        <f>E41</f>
        <v>0</v>
      </c>
      <c r="S41" s="3671"/>
      <c r="T41" s="3671">
        <f>G41</f>
        <v>0</v>
      </c>
      <c r="U41" s="3671"/>
      <c r="V41" s="3671">
        <f>I41</f>
        <v>0</v>
      </c>
      <c r="W41" s="3671"/>
      <c r="X41" s="689"/>
      <c r="Y41" s="711"/>
      <c r="Z41" s="689"/>
      <c r="AA41" s="689"/>
      <c r="AB41" s="689"/>
      <c r="AC41" s="689"/>
    </row>
    <row r="42" spans="1:31" ht="15.75" thickBot="1">
      <c r="A42" s="437" t="s">
        <v>1793</v>
      </c>
      <c r="B42" s="630"/>
      <c r="C42" s="440" t="e">
        <f>R43</f>
        <v>#DIV/0!</v>
      </c>
      <c r="D42" s="2315" t="s">
        <v>2137</v>
      </c>
      <c r="E42" s="440" t="e">
        <f>R42</f>
        <v>#DIV/0!</v>
      </c>
      <c r="F42" s="2316"/>
      <c r="G42" s="439" t="e">
        <f>T42</f>
        <v>#DIV/0!</v>
      </c>
      <c r="H42" s="2316"/>
      <c r="I42" s="440" t="e">
        <f>V42</f>
        <v>#DIV/0!</v>
      </c>
      <c r="J42" s="2316"/>
      <c r="K42" s="2318">
        <f>F42+H42+J42</f>
        <v>0</v>
      </c>
      <c r="L42" s="2721"/>
      <c r="M42" s="2713"/>
      <c r="N42" s="2713"/>
      <c r="O42" s="2722"/>
      <c r="P42" s="3710" t="str">
        <f>A42</f>
        <v>比较价值（元/平方米）</v>
      </c>
      <c r="Q42" s="3710"/>
      <c r="R42" s="3782" t="e">
        <f>ROUND(PRODUCT(R41,AA7:AA40),0)</f>
        <v>#DIV/0!</v>
      </c>
      <c r="S42" s="3782"/>
      <c r="T42" s="3782" t="e">
        <f>ROUND(PRODUCT(T41,AB7:AB40),0)</f>
        <v>#DIV/0!</v>
      </c>
      <c r="U42" s="3782"/>
      <c r="V42" s="3782" t="e">
        <f>ROUND(PRODUCT(V41,AC7:AC40),0)</f>
        <v>#DIV/0!</v>
      </c>
      <c r="W42" s="378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12" t="str">
        <f>A43</f>
        <v>估价对象XX用房的比较价值（楼面单价，元/平方米）</v>
      </c>
      <c r="Q43" s="3713"/>
      <c r="R43" s="3783" t="e">
        <f>ROUND(IF(D42="简单平均",AVERAGE(R42:W42),R42*F42+T42*H42+V42*J42),0)</f>
        <v>#DIV/0!</v>
      </c>
      <c r="S43" s="3783"/>
      <c r="T43" s="3783"/>
      <c r="U43" s="3783"/>
      <c r="V43" s="3783"/>
      <c r="W43" s="378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688" t="s">
        <v>1887</v>
      </c>
      <c r="H50" s="3784"/>
      <c r="I50" s="1354" t="s">
        <v>1922</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909.8</v>
      </c>
      <c r="F51" s="638" t="e">
        <f t="shared" ref="F51:F60" si="15">ROUND(B51*E51/10000,0)</f>
        <v>#DIV/0!</v>
      </c>
      <c r="G51" s="3687"/>
      <c r="H51" s="3710"/>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0.5</v>
      </c>
      <c r="D52" s="944">
        <v>0.25</v>
      </c>
      <c r="E52" s="641"/>
      <c r="F52" s="638" t="e">
        <f t="shared" si="15"/>
        <v>#DIV/0!</v>
      </c>
      <c r="G52" s="3003" t="s">
        <v>1892</v>
      </c>
      <c r="H52" s="886" t="str">
        <f>项目基本情况!B37</f>
        <v>九级</v>
      </c>
      <c r="I52" s="772">
        <f>SUMIF(修正!A57:A68,H52,修正!B57:B68)</f>
        <v>0.5</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0.2</v>
      </c>
      <c r="D53" s="944">
        <v>0.25</v>
      </c>
      <c r="E53" s="641"/>
      <c r="F53" s="638" t="e">
        <f t="shared" si="15"/>
        <v>#DIV/0!</v>
      </c>
      <c r="G53" s="3004"/>
      <c r="H53" s="886" t="str">
        <f>项目基本情况!B37</f>
        <v>九级</v>
      </c>
      <c r="I53" s="772">
        <f>SUMIF(修正!A57:A68,H53,修正!C57:C68)</f>
        <v>0.2</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0.2</v>
      </c>
      <c r="D54" s="944">
        <v>0.25</v>
      </c>
      <c r="E54" s="641"/>
      <c r="F54" s="638" t="e">
        <f t="shared" si="15"/>
        <v>#DIV/0!</v>
      </c>
      <c r="G54" s="3004"/>
      <c r="H54" s="886" t="str">
        <f>项目基本情况!B37</f>
        <v>九级</v>
      </c>
      <c r="I54" s="772">
        <f>SUMIF(修正!A57:A68,H54,修正!D57:D68)</f>
        <v>0.2</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0.2</v>
      </c>
      <c r="D56" s="944">
        <v>0.25</v>
      </c>
      <c r="E56" s="217">
        <f>'数据-汇总表'!E11</f>
        <v>0</v>
      </c>
      <c r="F56" s="638" t="e">
        <f t="shared" si="15"/>
        <v>#DIV/0!</v>
      </c>
      <c r="G56" s="1985" t="s">
        <v>1896</v>
      </c>
      <c r="H56" s="886" t="str">
        <f>项目基本情况!C37</f>
        <v>九级</v>
      </c>
      <c r="I56" s="772">
        <f>SUMIF(修正!A57:A68,H56,修正!E57:E68)</f>
        <v>0.2</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0.2</v>
      </c>
      <c r="D57" s="944">
        <v>0.25</v>
      </c>
      <c r="E57" s="217">
        <f>'数据-汇总表'!E12</f>
        <v>0</v>
      </c>
      <c r="F57" s="638" t="e">
        <f t="shared" si="15"/>
        <v>#DIV/0!</v>
      </c>
      <c r="G57" s="891" t="s">
        <v>1898</v>
      </c>
      <c r="H57" s="886" t="str">
        <f>IF(G57="商业",项目基本情况!B37,IF(G57="办公",项目基本情况!C37,IF(G57="住宅",项目基本情况!D37,项目基本情况!E37)))</f>
        <v>九级</v>
      </c>
      <c r="I57" s="772">
        <f>SUMIF(修正!A57:A68,H57,修正!F57:F68)</f>
        <v>0.2</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0.1</v>
      </c>
      <c r="D59" s="944">
        <v>0.25</v>
      </c>
      <c r="E59" s="217">
        <f>'数据-汇总表'!E14</f>
        <v>0</v>
      </c>
      <c r="F59" s="638" t="e">
        <f t="shared" si="15"/>
        <v>#DIV/0!</v>
      </c>
      <c r="G59" s="1985" t="s">
        <v>1892</v>
      </c>
      <c r="H59" s="886" t="str">
        <f>项目基本情况!B37</f>
        <v>九级</v>
      </c>
      <c r="I59" s="772">
        <f>SUMIF(修正!A57:A68,H59,修正!G57:G68)</f>
        <v>0.1</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0.1</v>
      </c>
      <c r="D60" s="944">
        <v>0.25</v>
      </c>
      <c r="E60" s="217">
        <f>'数据-汇总表'!E15</f>
        <v>0</v>
      </c>
      <c r="F60" s="638" t="e">
        <f t="shared" si="15"/>
        <v>#DIV/0!</v>
      </c>
      <c r="G60" s="1986" t="s">
        <v>1896</v>
      </c>
      <c r="H60" s="896" t="str">
        <f>项目基本情况!C37</f>
        <v>九级</v>
      </c>
      <c r="I60" s="772">
        <f>SUMIF(修正!A57:A68,H60,修正!G57:G68)</f>
        <v>0.1</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2025-6-1</v>
      </c>
      <c r="D63" s="691">
        <f>EDATE(C63,-3)</f>
        <v>45717</v>
      </c>
      <c r="E63" s="691">
        <f>EDATE(D63,-3)</f>
        <v>45627</v>
      </c>
      <c r="F63" s="691">
        <f t="shared" ref="F63:O63" si="18">EDATE(E63,-3)</f>
        <v>45536</v>
      </c>
      <c r="G63" s="691">
        <f t="shared" si="18"/>
        <v>45444</v>
      </c>
      <c r="H63" s="691">
        <f t="shared" si="18"/>
        <v>45352</v>
      </c>
      <c r="I63" s="691">
        <f t="shared" si="18"/>
        <v>45261</v>
      </c>
      <c r="J63" s="691">
        <f t="shared" si="18"/>
        <v>45170</v>
      </c>
      <c r="K63" s="691">
        <f t="shared" si="18"/>
        <v>45078</v>
      </c>
      <c r="L63" s="691">
        <f t="shared" si="18"/>
        <v>44986</v>
      </c>
      <c r="M63" s="691">
        <f t="shared" si="18"/>
        <v>44896</v>
      </c>
      <c r="N63" s="691">
        <f t="shared" si="18"/>
        <v>44805</v>
      </c>
      <c r="O63" s="691">
        <f t="shared" si="18"/>
        <v>44713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8"/>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92" t="s">
        <v>2083</v>
      </c>
      <c r="D1" s="3793"/>
      <c r="E1" s="3793"/>
      <c r="F1" s="3793"/>
      <c r="G1" s="3793"/>
      <c r="H1" s="3793"/>
      <c r="I1" s="3793"/>
      <c r="J1" s="3793"/>
      <c r="K1" s="3793"/>
      <c r="L1" s="3793"/>
      <c r="M1" s="3793"/>
      <c r="N1" s="3793"/>
      <c r="O1" s="3793"/>
      <c r="P1" s="3793"/>
      <c r="Q1" s="3793"/>
      <c r="R1" s="3793"/>
      <c r="S1" s="3794"/>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39"/>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f ca="1">SUMIF(B6:B13,"&lt;&gt;#ref!",B6:B13)</f>
        <v>413</v>
      </c>
      <c r="C2" s="2143" t="s">
        <v>2073</v>
      </c>
      <c r="D2" s="2143" t="s">
        <v>2074</v>
      </c>
      <c r="E2" s="2610">
        <f ca="1">SUMIF(E6:E13,"&lt;&gt;#ref!",E6:E13)</f>
        <v>909.8</v>
      </c>
      <c r="F2" s="2790"/>
      <c r="G2" s="2790"/>
      <c r="H2" s="2790"/>
      <c r="I2" s="2790"/>
      <c r="J2" s="2790"/>
      <c r="K2" s="2790"/>
      <c r="L2" s="2790"/>
      <c r="M2" s="2790"/>
      <c r="N2" s="2790"/>
      <c r="O2" s="2790"/>
      <c r="P2" s="2790"/>
    </row>
    <row r="3" spans="1:16" ht="15.75">
      <c r="A3" s="2143" t="s">
        <v>2075</v>
      </c>
      <c r="B3" s="2600">
        <f ca="1">ROUND(B2*10000/E2,0)</f>
        <v>4539</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413</v>
      </c>
      <c r="C6" s="2143" t="s">
        <v>2073</v>
      </c>
      <c r="D6" s="2790"/>
      <c r="E6" s="2610">
        <f ca="1">SUMIF(INDIRECT("'"&amp;A6&amp;"'"&amp;"!C:C"),"建筑面积",INDIRECT("'"&amp;A6&amp;"'"&amp;"!D:D"))</f>
        <v>909.8</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4" zoomScaleNormal="100" workbookViewId="0">
      <selection activeCell="F25" sqref="F25"/>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2796</v>
      </c>
      <c r="B1" s="3124"/>
      <c r="C1" s="3124"/>
      <c r="D1" s="3124"/>
      <c r="E1" s="3124"/>
      <c r="F1" s="3124"/>
      <c r="G1" s="3124"/>
      <c r="H1" s="3124"/>
      <c r="I1" s="3124"/>
      <c r="J1" s="3124"/>
      <c r="K1" s="3124"/>
      <c r="L1" s="3124"/>
      <c r="M1" s="3124"/>
      <c r="N1" s="748"/>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9">
        <f>SUMPRODUCT((A95:A184=ROUNDDOWN(基准地价修正!G3,1))*(B94:M94=基准地价修正!G2)*(B95:M184))</f>
        <v>1.2302</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9">
        <f>SUMPRODUCT((A371:A460=ROUNDDOWN(基准地价修正!G3,1))*(B370:M370=基准地价修正!G2)*(B371:M460))</f>
        <v>1.1198999999999999</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25774</v>
      </c>
      <c r="C2" s="2" t="s">
        <v>106</v>
      </c>
      <c r="D2" s="199"/>
      <c r="E2" s="199"/>
      <c r="F2" s="199"/>
      <c r="G2" s="199"/>
    </row>
    <row r="3" spans="1:7" s="200" customFormat="1" ht="18" customHeight="1" thickBot="1">
      <c r="A3" s="203" t="s">
        <v>58</v>
      </c>
      <c r="B3" s="204">
        <f ca="1">ROUND(B2*10000/'数据-汇总表'!E3,0)</f>
        <v>283293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150</v>
      </c>
      <c r="F9" s="221"/>
      <c r="G9" s="226"/>
    </row>
    <row r="10" spans="1:7" s="214" customFormat="1" ht="13.5" customHeight="1">
      <c r="A10" s="778" t="s">
        <v>356</v>
      </c>
      <c r="B10" s="224" t="s">
        <v>67</v>
      </c>
      <c r="C10" s="225">
        <f>ROUND(D10*E10/10000,0)</f>
        <v>17</v>
      </c>
      <c r="D10" s="844">
        <f>'数据-汇总表'!E6</f>
        <v>909.8</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18</v>
      </c>
      <c r="D19" s="848">
        <f>'数据-汇总表'!E3</f>
        <v>909.8</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628</v>
      </c>
      <c r="D22" s="235">
        <f ca="1">C26</f>
        <v>2.9999999999999997E-4</v>
      </c>
      <c r="E22" s="236" t="s">
        <v>99</v>
      </c>
      <c r="F22" s="237">
        <f ca="1">'数据-取费表'!B40</f>
        <v>0.03</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618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9</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1700</v>
      </c>
      <c r="D27" s="235">
        <f>C29</f>
        <v>1.6000000000000001E-3</v>
      </c>
      <c r="E27" s="236" t="s">
        <v>99</v>
      </c>
      <c r="F27" s="246">
        <f>'数据-取费表'!Q16</f>
        <v>0.08</v>
      </c>
      <c r="G27" s="247" t="s">
        <v>431</v>
      </c>
    </row>
    <row r="28" spans="1:7" s="214" customFormat="1" ht="13.5" customHeight="1">
      <c r="A28" s="779" t="s">
        <v>349</v>
      </c>
      <c r="B28" s="248" t="s">
        <v>424</v>
      </c>
      <c r="C28" s="249">
        <f>ROUND((C5+C19+C20)*F27*'数据-取费表'!B21/'数据-取费表'!B20,0)</f>
        <v>1700</v>
      </c>
      <c r="D28" s="235"/>
      <c r="E28" s="236"/>
      <c r="F28" s="246"/>
      <c r="G28" s="247"/>
    </row>
    <row r="29" spans="1:7" s="214" customFormat="1" ht="13.5" customHeight="1">
      <c r="A29" s="779" t="s">
        <v>347</v>
      </c>
      <c r="B29" s="248" t="s">
        <v>425</v>
      </c>
      <c r="C29" s="238">
        <f>ROUND(C21*F27*'数据-取费表'!B21/'数据-取费表'!B20,4)</f>
        <v>1.6000000000000001E-3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318</v>
      </c>
      <c r="D34" s="217"/>
      <c r="E34" s="220"/>
      <c r="F34" s="257">
        <f>IF('数据-取费表'!B24=0,1,'数据-取费表'!N16)</f>
        <v>1</v>
      </c>
      <c r="G34" s="219" t="s">
        <v>89</v>
      </c>
    </row>
    <row r="35" spans="1:7" ht="13.5" customHeight="1">
      <c r="A35" s="779" t="s">
        <v>351</v>
      </c>
      <c r="B35" s="215" t="s">
        <v>33</v>
      </c>
      <c r="C35" s="220">
        <f>ROUND(C34*F35,0)</f>
        <v>16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18</v>
      </c>
      <c r="D37" s="217">
        <f>'数据-汇总表'!E3</f>
        <v>909.8</v>
      </c>
      <c r="E37" s="249">
        <f>'数据-取费表'!B35</f>
        <v>200</v>
      </c>
      <c r="F37" s="259"/>
      <c r="G37" s="261" t="s">
        <v>92</v>
      </c>
    </row>
    <row r="38" spans="1:7" ht="13.5" customHeight="1">
      <c r="A38" s="779" t="s">
        <v>354</v>
      </c>
      <c r="B38" s="215" t="s">
        <v>36</v>
      </c>
      <c r="C38" s="220">
        <f>ROUND(C34*F38,0)</f>
        <v>8</v>
      </c>
      <c r="D38" s="220"/>
      <c r="E38" s="220"/>
      <c r="F38" s="259">
        <f>'数据-取费表'!B36</f>
        <v>2.5000000000000001E-2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5</v>
      </c>
      <c r="D42" s="238"/>
      <c r="E42" s="238"/>
      <c r="F42" s="239"/>
      <c r="G42" s="3720" t="s">
        <v>94</v>
      </c>
    </row>
    <row r="43" spans="1:7" ht="13.5" customHeight="1">
      <c r="A43" s="779" t="s">
        <v>347</v>
      </c>
      <c r="B43" s="215" t="s">
        <v>426</v>
      </c>
      <c r="C43" s="238">
        <f ca="1">ROUND(IF('数据-取费表'!B22&lt;=1,C39*F22*'数据-取费表'!B21/2,C39*(POWER((1+F22),'数据-取费表'!B21/2)-1)),0)</f>
        <v>0</v>
      </c>
      <c r="D43" s="238"/>
      <c r="E43" s="238"/>
      <c r="F43" s="239"/>
      <c r="G43" s="3721"/>
    </row>
    <row r="44" spans="1:7" ht="13.5" customHeight="1">
      <c r="A44" s="779" t="s">
        <v>348</v>
      </c>
      <c r="B44" s="215" t="s">
        <v>428</v>
      </c>
      <c r="C44" s="238">
        <f ca="1">ROUND(IF('数据-取费表'!B22&lt;=1,C40*F22*'数据-取费表'!B21/2,C40*(POWER((1+F22),'数据-取费表'!B21/2)-1)),4)</f>
        <v>2.9999999999999997E-4</v>
      </c>
      <c r="D44" s="238"/>
      <c r="E44" s="238"/>
      <c r="F44" s="239"/>
      <c r="G44" s="3722"/>
    </row>
    <row r="45" spans="1:7" s="214" customFormat="1" ht="13.5" customHeight="1">
      <c r="A45" s="776" t="s">
        <v>341</v>
      </c>
      <c r="B45" s="244" t="s">
        <v>85</v>
      </c>
      <c r="C45" s="245">
        <f>C46</f>
        <v>30</v>
      </c>
      <c r="D45" s="235">
        <f>C47</f>
        <v>1.6000000000000001E-3</v>
      </c>
      <c r="E45" s="236" t="s">
        <v>102</v>
      </c>
      <c r="F45" s="246"/>
      <c r="G45" s="247" t="s">
        <v>434</v>
      </c>
    </row>
    <row r="46" spans="1:7" s="214" customFormat="1" ht="13.5" customHeight="1">
      <c r="A46" s="779" t="s">
        <v>349</v>
      </c>
      <c r="B46" s="248" t="s">
        <v>427</v>
      </c>
      <c r="C46" s="249">
        <f>ROUND((C33+C39)*F27,0)</f>
        <v>30</v>
      </c>
      <c r="D46" s="263"/>
      <c r="E46" s="236"/>
      <c r="F46" s="246"/>
      <c r="G46" s="247"/>
    </row>
    <row r="47" spans="1:7" s="214" customFormat="1" ht="13.5" customHeight="1">
      <c r="A47" s="779" t="s">
        <v>347</v>
      </c>
      <c r="B47" s="248" t="s">
        <v>429</v>
      </c>
      <c r="C47" s="238">
        <f>ROUND(C40*F27,4)</f>
        <v>1.6000000000000001E-3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439</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307</v>
      </c>
      <c r="D51" s="232"/>
      <c r="E51" s="232"/>
      <c r="F51" s="264"/>
      <c r="G51" s="234" t="s">
        <v>37</v>
      </c>
    </row>
    <row r="52" spans="1:7" s="208" customFormat="1" ht="16.5" thickBot="1">
      <c r="A52" s="265" t="s">
        <v>38</v>
      </c>
      <c r="B52" s="266"/>
      <c r="C52" s="267">
        <f ca="1">C31+C51</f>
        <v>25774</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1"/>
      <c r="B4" s="3489" t="s">
        <v>917</v>
      </c>
      <c r="C4" s="3489"/>
      <c r="D4" s="3489"/>
      <c r="E4" s="1491"/>
    </row>
    <row r="5" spans="1:5" ht="16.5" thickTop="1">
      <c r="A5" s="1489"/>
      <c r="B5" s="3487" t="s">
        <v>909</v>
      </c>
      <c r="C5" s="1492" t="s">
        <v>910</v>
      </c>
      <c r="D5" s="849">
        <f ca="1">结果表!H101</f>
        <v>724</v>
      </c>
      <c r="E5" s="1489"/>
    </row>
    <row r="6" spans="1:5" ht="15.75">
      <c r="A6" s="1489"/>
      <c r="B6" s="3487"/>
      <c r="C6" s="1492" t="s">
        <v>911</v>
      </c>
      <c r="D6" s="849" t="str">
        <f ca="1">NUMBERSTRING(INT(D5*10000),2)&amp;"元整"</f>
        <v>柒佰贰拾肆万元整</v>
      </c>
      <c r="E6" s="1489"/>
    </row>
    <row r="7" spans="1:5" ht="15.75">
      <c r="A7" s="1489"/>
      <c r="B7" s="3492"/>
      <c r="C7" s="1493" t="s">
        <v>912</v>
      </c>
      <c r="D7" s="850">
        <f ca="1">结果表!H102</f>
        <v>7958</v>
      </c>
      <c r="E7" s="1489"/>
    </row>
    <row r="8" spans="1:5" ht="15.75">
      <c r="A8" s="1489"/>
      <c r="B8" s="3493" t="str">
        <f>结果表!E103</f>
        <v>2.估价师知悉的法定优先受偿款</v>
      </c>
      <c r="C8" s="1494" t="s">
        <v>913</v>
      </c>
      <c r="D8" s="850">
        <f>结果表!H103</f>
        <v>0</v>
      </c>
      <c r="E8" s="1489"/>
    </row>
    <row r="9" spans="1:5" ht="15.75">
      <c r="A9" s="1489"/>
      <c r="B9" s="349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6" t="str">
        <f>结果表!E107</f>
        <v>3.房地产抵押价值</v>
      </c>
      <c r="C13" s="1497" t="s">
        <v>910</v>
      </c>
      <c r="D13" s="852">
        <f ca="1">结果表!H107</f>
        <v>724</v>
      </c>
      <c r="E13" s="1489"/>
    </row>
    <row r="14" spans="1:5" ht="15.75">
      <c r="A14" s="1489"/>
      <c r="B14" s="3487"/>
      <c r="C14" s="1492" t="s">
        <v>911</v>
      </c>
      <c r="D14" s="849" t="str">
        <f ca="1">NUMBERSTRING(INT(D13*10000),2)&amp;"元整"</f>
        <v>柒佰贰拾肆万元整</v>
      </c>
      <c r="E14" s="1489"/>
    </row>
    <row r="15" spans="1:5" ht="15">
      <c r="A15" s="1489"/>
      <c r="B15" s="3492"/>
      <c r="C15" s="1493" t="s">
        <v>921</v>
      </c>
      <c r="D15" s="858">
        <f ca="1">结果表!H108</f>
        <v>7958</v>
      </c>
      <c r="E15" s="1489"/>
    </row>
    <row r="16" spans="1:5" ht="15">
      <c r="A16" s="1489"/>
      <c r="B16" s="3493" t="str">
        <f>结果表!E109</f>
        <v>——</v>
      </c>
      <c r="C16" s="1497" t="s">
        <v>922</v>
      </c>
      <c r="D16" s="1498" t="str">
        <f>结果表!H109</f>
        <v>——</v>
      </c>
      <c r="E16" s="1489"/>
    </row>
    <row r="17" spans="1:5" ht="15.75">
      <c r="A17" s="1489"/>
      <c r="B17" s="3494"/>
      <c r="C17" s="1492" t="s">
        <v>923</v>
      </c>
      <c r="D17" s="849" t="e">
        <f>NUMBERSTRING(INT(D16*10000),2)&amp;"元整"</f>
        <v>#VALUE!</v>
      </c>
      <c r="E17" s="1489"/>
    </row>
    <row r="18" spans="1:5" ht="15">
      <c r="A18" s="1489"/>
      <c r="B18" s="3495"/>
      <c r="C18" s="1493" t="s">
        <v>912</v>
      </c>
      <c r="D18" s="858" t="str">
        <f>结果表!H110</f>
        <v>——</v>
      </c>
      <c r="E18" s="1489"/>
    </row>
    <row r="19" spans="1:5" ht="15.75">
      <c r="A19" s="1489"/>
      <c r="B19" s="3486" t="str">
        <f>结果表!E111</f>
        <v>——</v>
      </c>
      <c r="C19" s="1497" t="s">
        <v>910</v>
      </c>
      <c r="D19" s="850" t="str">
        <f>结果表!H111</f>
        <v>——</v>
      </c>
      <c r="E19" s="1489"/>
    </row>
    <row r="20" spans="1:5" ht="15.75">
      <c r="A20" s="1489"/>
      <c r="B20" s="3487"/>
      <c r="C20" s="1492" t="s">
        <v>923</v>
      </c>
      <c r="D20" s="849" t="e">
        <f>NUMBERSTRING(INT(D19*10000),2)&amp;"元整"</f>
        <v>#VALUE!</v>
      </c>
      <c r="E20" s="1489"/>
    </row>
    <row r="21" spans="1:5" ht="15.75" thickBot="1">
      <c r="A21" s="1489"/>
      <c r="B21" s="348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7" t="s">
        <v>3179</v>
      </c>
      <c r="B1" s="3807"/>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8" t="s">
        <v>3230</v>
      </c>
      <c r="B1" s="3808"/>
      <c r="C1" s="3808"/>
      <c r="D1" s="3808"/>
      <c r="E1" s="3808"/>
      <c r="F1" s="3809"/>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E8" sqref="E8:E12"/>
    </sheetView>
  </sheetViews>
  <sheetFormatPr defaultRowHeight="13.5"/>
  <cols>
    <col min="1" max="1" width="13.875" customWidth="1"/>
    <col min="11" max="17" width="0" hidden="1" customWidth="1"/>
    <col min="25" max="30" width="0" hidden="1" customWidth="1"/>
  </cols>
  <sheetData>
    <row r="1" spans="1:44">
      <c r="A1" s="3218">
        <f>基准地价修正!G23</f>
        <v>45825</v>
      </c>
      <c r="B1" s="3207" t="s">
        <v>3374</v>
      </c>
      <c r="C1" s="3208"/>
      <c r="D1" s="3208"/>
      <c r="E1" s="3208"/>
      <c r="F1" s="3208"/>
      <c r="G1" s="3208"/>
      <c r="H1" s="3208"/>
      <c r="I1" s="3208"/>
      <c r="J1" s="3162"/>
      <c r="K1" s="3208" t="s">
        <v>454</v>
      </c>
      <c r="L1" s="3208"/>
      <c r="M1" s="3208"/>
      <c r="N1" s="3208"/>
      <c r="O1" s="3208"/>
      <c r="P1" s="3208"/>
      <c r="Q1" s="3162"/>
      <c r="R1" s="3810" t="s">
        <v>456</v>
      </c>
      <c r="S1" s="3811"/>
      <c r="T1" s="3811"/>
      <c r="U1" s="3811"/>
      <c r="V1" s="3811"/>
      <c r="W1" s="3811"/>
      <c r="X1" s="3162"/>
      <c r="Y1" s="3810" t="s">
        <v>457</v>
      </c>
      <c r="Z1" s="3811"/>
      <c r="AA1" s="3811"/>
      <c r="AB1" s="3811"/>
      <c r="AC1" s="3811"/>
      <c r="AD1" s="3811"/>
    </row>
    <row r="2" spans="1:44"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c r="AF2" t="s">
        <v>3401</v>
      </c>
      <c r="AG2" t="s">
        <v>673</v>
      </c>
      <c r="AH2" t="s">
        <v>21</v>
      </c>
      <c r="AI2" t="s">
        <v>3402</v>
      </c>
      <c r="AJ2" t="s">
        <v>3</v>
      </c>
      <c r="AK2" t="s">
        <v>3403</v>
      </c>
      <c r="AM2" t="s">
        <v>3401</v>
      </c>
      <c r="AN2" t="s">
        <v>673</v>
      </c>
      <c r="AO2" t="s">
        <v>21</v>
      </c>
      <c r="AP2" t="s">
        <v>3402</v>
      </c>
      <c r="AQ2" t="s">
        <v>3</v>
      </c>
      <c r="AR2" t="s">
        <v>3403</v>
      </c>
    </row>
    <row r="3" spans="1:44" s="3158" customFormat="1" ht="12.75">
      <c r="A3" s="3146" t="s">
        <v>2817</v>
      </c>
      <c r="B3" s="3147"/>
      <c r="C3" s="3148"/>
      <c r="D3" s="3148">
        <f>ROUND(AVERAGEIF(D4:D24,"&lt;&gt;0"),2)</f>
        <v>0.39</v>
      </c>
      <c r="E3" s="3148">
        <f t="shared" ref="E3:H3" si="0">ROUND(AVERAGEIF(E4:E24,"&lt;&gt;0"),2)</f>
        <v>0.21</v>
      </c>
      <c r="F3" s="3148">
        <f t="shared" si="0"/>
        <v>-0.06</v>
      </c>
      <c r="G3" s="3148">
        <f t="shared" si="0"/>
        <v>0.46</v>
      </c>
      <c r="H3" s="3148">
        <f t="shared" si="0"/>
        <v>0.51</v>
      </c>
      <c r="I3" s="3148">
        <f>F3</f>
        <v>-0.06</v>
      </c>
      <c r="J3" s="3149"/>
      <c r="K3" s="3150">
        <f>ROUND(AVERAGEIF(K4:K24,"&lt;&gt;0"),4)</f>
        <v>3.8999999999999998E-3</v>
      </c>
      <c r="L3" s="3151">
        <f t="shared" ref="L3:O3" si="1">ROUND(AVERAGEIF(L4:L24,"&lt;&gt;0"),4)</f>
        <v>2.0999999999999999E-3</v>
      </c>
      <c r="M3" s="3151">
        <f t="shared" si="1"/>
        <v>-5.9999999999999995E-4</v>
      </c>
      <c r="N3" s="3151">
        <f t="shared" si="1"/>
        <v>4.5999999999999999E-3</v>
      </c>
      <c r="O3" s="3151">
        <f t="shared" si="1"/>
        <v>5.1000000000000004E-3</v>
      </c>
      <c r="P3" s="3151">
        <f>M3</f>
        <v>-5.9999999999999995E-4</v>
      </c>
      <c r="Q3" s="3149"/>
      <c r="R3" s="3152">
        <f>ROUND(SUMPRODUCT(PRODUCT(1+K4:K24)),4)</f>
        <v>1.0674999999999999</v>
      </c>
      <c r="S3" s="3153">
        <f t="shared" ref="S3:V3" si="2">ROUND(SUMPRODUCT(PRODUCT(1+L4:L24)),4)</f>
        <v>1.0355000000000001</v>
      </c>
      <c r="T3" s="3153">
        <f t="shared" si="2"/>
        <v>0.98880000000000001</v>
      </c>
      <c r="U3" s="3153">
        <f t="shared" si="2"/>
        <v>1.0798000000000001</v>
      </c>
      <c r="V3" s="3153">
        <f t="shared" si="2"/>
        <v>1.0911</v>
      </c>
      <c r="W3" s="3152">
        <f>T3</f>
        <v>0.98880000000000001</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3" t="s">
        <v>3400</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1.0571999999999999</v>
      </c>
      <c r="S5" s="3180">
        <f>ROUND(IF(项目基本情况!$B$8="出让",SUMPRODUCT(PRODUCT(1+L5:$L$24)),SUMPRODUCT(PRODUCT(1+L5:$L$23))),4)</f>
        <v>1.0339</v>
      </c>
      <c r="T5" s="3180">
        <f>ROUND(IF(项目基本情况!$B$8="出让",SUMPRODUCT(PRODUCT(1+M5:$M$24)),SUMPRODUCT(PRODUCT(1+M5:$M$23))),4)</f>
        <v>0.99129999999999996</v>
      </c>
      <c r="U5" s="3180">
        <f>ROUND(IF(项目基本情况!$B$8="出让",SUMPRODUCT(PRODUCT(1+N5:$N$24)),SUMPRODUCT(PRODUCT(1+N5:$N$23))),4)</f>
        <v>1.0679000000000001</v>
      </c>
      <c r="V5" s="3180">
        <f>ROUND(IF(项目基本情况!$B$8="出让",SUMPRODUCT(PRODUCT(1+O5:$O$24)),SUMPRODUCT(PRODUCT(1+O5:$O$23))),4)</f>
        <v>1.0871999999999999</v>
      </c>
      <c r="W5" s="3180">
        <f t="shared" ref="W5:W11" si="11">T5</f>
        <v>0.99129999999999996</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55">
        <f>$AF$24*R5</f>
        <v>105.72</v>
      </c>
      <c r="AG5" s="3455">
        <f t="shared" ref="AG5:AK5" si="18">$AF$24*S5</f>
        <v>103.39</v>
      </c>
      <c r="AH5" s="3455">
        <f t="shared" si="18"/>
        <v>99.13</v>
      </c>
      <c r="AI5" s="3455">
        <f t="shared" si="18"/>
        <v>106.79</v>
      </c>
      <c r="AJ5" s="3455">
        <f t="shared" si="18"/>
        <v>108.72</v>
      </c>
      <c r="AK5" s="3455">
        <f t="shared" si="18"/>
        <v>99.13</v>
      </c>
      <c r="AM5" s="3461">
        <v>100</v>
      </c>
      <c r="AN5" s="3461">
        <v>100</v>
      </c>
      <c r="AO5" s="3461">
        <v>100</v>
      </c>
      <c r="AP5" s="3461">
        <v>100</v>
      </c>
      <c r="AQ5" s="3461">
        <v>100</v>
      </c>
      <c r="AR5" s="3461">
        <v>100</v>
      </c>
    </row>
    <row r="6" spans="1:44" s="3182" customFormat="1" ht="12.75">
      <c r="A6" s="2203" t="s">
        <v>3399</v>
      </c>
      <c r="B6" s="3174">
        <v>2025</v>
      </c>
      <c r="C6" s="3175">
        <v>3</v>
      </c>
      <c r="D6" s="3176">
        <v>0</v>
      </c>
      <c r="E6" s="3176">
        <v>0</v>
      </c>
      <c r="F6" s="3176">
        <v>0</v>
      </c>
      <c r="G6" s="3176">
        <v>0</v>
      </c>
      <c r="H6" s="3176">
        <v>0</v>
      </c>
      <c r="I6" s="3177">
        <f t="shared" ref="I6" si="19">F6</f>
        <v>0</v>
      </c>
      <c r="J6" s="3178"/>
      <c r="K6" s="3179">
        <f t="shared" ref="K6" si="20">D6/100</f>
        <v>0</v>
      </c>
      <c r="L6" s="3169">
        <f t="shared" ref="L6" si="21">E6/100</f>
        <v>0</v>
      </c>
      <c r="M6" s="3169">
        <f t="shared" ref="M6" si="22">F6/100</f>
        <v>0</v>
      </c>
      <c r="N6" s="3169">
        <f t="shared" ref="N6" si="23">G6/100</f>
        <v>0</v>
      </c>
      <c r="O6" s="3169">
        <f t="shared" ref="O6" si="24">H6/100</f>
        <v>0</v>
      </c>
      <c r="P6" s="3169">
        <f t="shared" si="10"/>
        <v>0</v>
      </c>
      <c r="Q6" s="3178"/>
      <c r="R6" s="3180">
        <f>ROUND(IF(项目基本情况!$B$8="出让",SUMPRODUCT(PRODUCT(1+K6:$K$24)),SUMPRODUCT(PRODUCT(1+K6:$K$23))),4)</f>
        <v>1.0571999999999999</v>
      </c>
      <c r="S6" s="3180">
        <f>ROUND(IF(项目基本情况!$B$8="出让",SUMPRODUCT(PRODUCT(1+L6:$L$24)),SUMPRODUCT(PRODUCT(1+L6:$L$23))),4)</f>
        <v>1.0339</v>
      </c>
      <c r="T6" s="3180">
        <f>ROUND(IF(项目基本情况!$B$8="出让",SUMPRODUCT(PRODUCT(1+M6:$M$24)),SUMPRODUCT(PRODUCT(1+M6:$M$23))),4)</f>
        <v>0.99129999999999996</v>
      </c>
      <c r="U6" s="3180">
        <f>ROUND(IF(项目基本情况!$B$8="出让",SUMPRODUCT(PRODUCT(1+N6:$N$24)),SUMPRODUCT(PRODUCT(1+N6:$N$23))),4)</f>
        <v>1.0679000000000001</v>
      </c>
      <c r="V6" s="3180">
        <f>ROUND(IF(项目基本情况!$B$8="出让",SUMPRODUCT(PRODUCT(1+O6:$O$24)),SUMPRODUCT(PRODUCT(1+O6:$O$23))),4)</f>
        <v>1.0871999999999999</v>
      </c>
      <c r="W6" s="3180">
        <f t="shared" si="11"/>
        <v>0.99129999999999996</v>
      </c>
      <c r="X6" s="3178"/>
      <c r="Y6" s="3181">
        <f t="shared" si="12"/>
        <v>0</v>
      </c>
      <c r="Z6" s="3181">
        <f t="shared" ref="Z6" si="25">IF(E6=0,0,ROUND(AVERAGE(E6:E19)/100,4))</f>
        <v>0</v>
      </c>
      <c r="AA6" s="3181">
        <f t="shared" ref="AA6" si="26">IF(F6=0,0,ROUND(AVERAGE(F6:F19)/100,4))</f>
        <v>0</v>
      </c>
      <c r="AB6" s="3181">
        <f t="shared" ref="AB6" si="27">IF(G6=0,0,ROUND(AVERAGE(G6:G19)/100,4))</f>
        <v>0</v>
      </c>
      <c r="AC6" s="3181">
        <f t="shared" ref="AC6" si="28">IF(H6=0,0,ROUND(AVERAGE(H6:H19)/100,4))</f>
        <v>0</v>
      </c>
      <c r="AD6" s="3181">
        <f t="shared" ref="AD6" si="29">AA6</f>
        <v>0</v>
      </c>
      <c r="AF6" s="3455">
        <f t="shared" ref="AF6:AF23" si="30">$AF$24*R6</f>
        <v>105.72</v>
      </c>
      <c r="AG6" s="3455">
        <f t="shared" ref="AG6:AG23" si="31">$AF$24*S6</f>
        <v>103.39</v>
      </c>
      <c r="AH6" s="3455">
        <f t="shared" ref="AH6:AH23" si="32">$AF$24*T6</f>
        <v>99.13</v>
      </c>
      <c r="AI6" s="3455">
        <f t="shared" ref="AI6:AI23" si="33">$AF$24*U6</f>
        <v>106.79</v>
      </c>
      <c r="AJ6" s="3455">
        <f t="shared" ref="AJ6:AJ23" si="34">$AF$24*V6</f>
        <v>108.72</v>
      </c>
      <c r="AK6" s="3455">
        <f t="shared" ref="AK6:AK23" si="35">$AF$24*W6</f>
        <v>99.13</v>
      </c>
      <c r="AM6" s="3455">
        <f>AM5/(1+D5/100)</f>
        <v>100</v>
      </c>
      <c r="AN6" s="3455">
        <f t="shared" ref="AN6:AR6" si="36">AN5/(1+E5/100)</f>
        <v>100</v>
      </c>
      <c r="AO6" s="3455">
        <f t="shared" si="36"/>
        <v>100</v>
      </c>
      <c r="AP6" s="3455">
        <f t="shared" si="36"/>
        <v>100</v>
      </c>
      <c r="AQ6" s="3455">
        <f t="shared" si="36"/>
        <v>100</v>
      </c>
      <c r="AR6" s="3455">
        <f t="shared" si="36"/>
        <v>100</v>
      </c>
    </row>
    <row r="7" spans="1:44" s="3192" customFormat="1" ht="12.75">
      <c r="A7" s="3183" t="s">
        <v>3398</v>
      </c>
      <c r="B7" s="3184">
        <v>2025</v>
      </c>
      <c r="C7" s="3185">
        <v>2</v>
      </c>
      <c r="D7" s="3186">
        <v>0</v>
      </c>
      <c r="E7" s="3186">
        <v>0</v>
      </c>
      <c r="F7" s="3186">
        <v>0</v>
      </c>
      <c r="G7" s="3186">
        <v>0</v>
      </c>
      <c r="H7" s="3187">
        <v>0</v>
      </c>
      <c r="I7" s="3188">
        <f t="shared" ref="I7" si="37">F7</f>
        <v>0</v>
      </c>
      <c r="J7" s="3189"/>
      <c r="K7" s="3190">
        <f t="shared" ref="K7" si="38">D7/100</f>
        <v>0</v>
      </c>
      <c r="L7" s="3191">
        <f t="shared" ref="L7" si="39">E7/100</f>
        <v>0</v>
      </c>
      <c r="M7" s="3191">
        <f t="shared" ref="M7" si="40">F7/100</f>
        <v>0</v>
      </c>
      <c r="N7" s="3191">
        <f t="shared" ref="N7" si="41">G7/100</f>
        <v>0</v>
      </c>
      <c r="O7" s="3191">
        <f t="shared" ref="O7" si="42">H7/100</f>
        <v>0</v>
      </c>
      <c r="P7" s="3191">
        <f t="shared" si="10"/>
        <v>0</v>
      </c>
      <c r="Q7" s="3189"/>
      <c r="R7" s="3189">
        <f>ROUND(IF(项目基本情况!$B$8="出让",SUMPRODUCT(PRODUCT(1+K7:$K$24)),SUMPRODUCT(PRODUCT(1+K7:$K$23))),4)</f>
        <v>1.0571999999999999</v>
      </c>
      <c r="S7" s="3189">
        <f>ROUND(IF(项目基本情况!$B$8="出让",SUMPRODUCT(PRODUCT(1+L7:$L$24)),SUMPRODUCT(PRODUCT(1+L7:$L$23))),4)</f>
        <v>1.0339</v>
      </c>
      <c r="T7" s="3189">
        <f>ROUND(IF(项目基本情况!$B$8="出让",SUMPRODUCT(PRODUCT(1+M7:$M$24)),SUMPRODUCT(PRODUCT(1+M7:$M$23))),4)</f>
        <v>0.99129999999999996</v>
      </c>
      <c r="U7" s="3189">
        <f>ROUND(IF(项目基本情况!$B$8="出让",SUMPRODUCT(PRODUCT(1+N7:$N$24)),SUMPRODUCT(PRODUCT(1+N7:$N$23))),4)</f>
        <v>1.0679000000000001</v>
      </c>
      <c r="V7" s="3189">
        <f>ROUND(IF(项目基本情况!$B$8="出让",SUMPRODUCT(PRODUCT(1+O7:$O$24)),SUMPRODUCT(PRODUCT(1+O7:$O$23))),4)</f>
        <v>1.0871999999999999</v>
      </c>
      <c r="W7" s="3189">
        <f t="shared" si="11"/>
        <v>0.99129999999999996</v>
      </c>
      <c r="X7" s="3189"/>
      <c r="Y7" s="3191">
        <f t="shared" si="12"/>
        <v>0</v>
      </c>
      <c r="Z7" s="3191">
        <f t="shared" ref="Z7" si="43">IF(E7=0,0,ROUND(AVERAGE(E7:E20)/100,4))</f>
        <v>0</v>
      </c>
      <c r="AA7" s="3191">
        <f t="shared" ref="AA7" si="44">IF(F7=0,0,ROUND(AVERAGE(F7:F20)/100,4))</f>
        <v>0</v>
      </c>
      <c r="AB7" s="3191">
        <f t="shared" ref="AB7" si="45">IF(G7=0,0,ROUND(AVERAGE(G7:G20)/100,4))</f>
        <v>0</v>
      </c>
      <c r="AC7" s="3191">
        <f t="shared" ref="AC7" si="46">IF(H7=0,0,ROUND(AVERAGE(H7:H20)/100,4))</f>
        <v>0</v>
      </c>
      <c r="AD7" s="3191">
        <f t="shared" ref="AD7" si="47">AA7</f>
        <v>0</v>
      </c>
      <c r="AF7" s="3456">
        <f t="shared" si="30"/>
        <v>105.72</v>
      </c>
      <c r="AG7" s="3456">
        <f t="shared" si="31"/>
        <v>103.39</v>
      </c>
      <c r="AH7" s="3456">
        <f t="shared" si="32"/>
        <v>99.13</v>
      </c>
      <c r="AI7" s="3456">
        <f t="shared" si="33"/>
        <v>106.79</v>
      </c>
      <c r="AJ7" s="3456">
        <f t="shared" si="34"/>
        <v>108.72</v>
      </c>
      <c r="AK7" s="3456">
        <f t="shared" si="35"/>
        <v>99.13</v>
      </c>
      <c r="AM7" s="3456">
        <f t="shared" ref="AM7:AM24" si="48">AM6/(1+D6/100)</f>
        <v>100</v>
      </c>
      <c r="AN7" s="3456">
        <f t="shared" ref="AN7:AN24" si="49">AN6/(1+E6/100)</f>
        <v>100</v>
      </c>
      <c r="AO7" s="3456">
        <f t="shared" ref="AO7:AO24" si="50">AO6/(1+F6/100)</f>
        <v>100</v>
      </c>
      <c r="AP7" s="3456">
        <f t="shared" ref="AP7:AP24" si="51">AP6/(1+G6/100)</f>
        <v>100</v>
      </c>
      <c r="AQ7" s="3456">
        <f t="shared" ref="AQ7:AQ24" si="52">AQ6/(1+H6/100)</f>
        <v>100</v>
      </c>
      <c r="AR7" s="3456">
        <f t="shared" ref="AR7:AR24" si="53">AR6/(1+I6/100)</f>
        <v>100</v>
      </c>
    </row>
    <row r="8" spans="1:44" s="3182" customFormat="1" ht="12.75">
      <c r="A8" s="2203" t="s">
        <v>3406</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55">
        <f t="shared" si="30"/>
        <v>105.72</v>
      </c>
      <c r="AG8" s="3455">
        <f t="shared" si="31"/>
        <v>103.39</v>
      </c>
      <c r="AH8" s="3455">
        <f t="shared" si="32"/>
        <v>99.13</v>
      </c>
      <c r="AI8" s="3455">
        <f t="shared" si="33"/>
        <v>106.79</v>
      </c>
      <c r="AJ8" s="3455">
        <f t="shared" si="34"/>
        <v>108.72</v>
      </c>
      <c r="AK8" s="3455">
        <f t="shared" si="35"/>
        <v>99.13</v>
      </c>
      <c r="AM8" s="3455">
        <f t="shared" si="48"/>
        <v>100</v>
      </c>
      <c r="AN8" s="3455">
        <f t="shared" si="49"/>
        <v>100</v>
      </c>
      <c r="AO8" s="3455">
        <f t="shared" si="50"/>
        <v>100</v>
      </c>
      <c r="AP8" s="3455">
        <f t="shared" si="51"/>
        <v>100</v>
      </c>
      <c r="AQ8" s="3455">
        <f t="shared" si="52"/>
        <v>100</v>
      </c>
      <c r="AR8" s="3455">
        <f t="shared" si="53"/>
        <v>100</v>
      </c>
    </row>
    <row r="9" spans="1:44" s="3182" customFormat="1" ht="12.75">
      <c r="A9" s="2203" t="s">
        <v>3405</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55">
        <f t="shared" si="30"/>
        <v>105.11999999999999</v>
      </c>
      <c r="AG9" s="3455">
        <f t="shared" si="31"/>
        <v>103.98</v>
      </c>
      <c r="AH9" s="3455">
        <f t="shared" si="32"/>
        <v>100.03</v>
      </c>
      <c r="AI9" s="3455">
        <f t="shared" si="33"/>
        <v>105.61</v>
      </c>
      <c r="AJ9" s="3455">
        <f t="shared" si="34"/>
        <v>108.27</v>
      </c>
      <c r="AK9" s="3455">
        <f t="shared" si="35"/>
        <v>100.03</v>
      </c>
      <c r="AM9" s="3455">
        <f t="shared" si="48"/>
        <v>99.433230585661718</v>
      </c>
      <c r="AN9" s="3455">
        <f t="shared" si="49"/>
        <v>100.57326762546515</v>
      </c>
      <c r="AO9" s="3455">
        <f t="shared" si="50"/>
        <v>100.90817356205852</v>
      </c>
      <c r="AP9" s="3455">
        <f t="shared" si="51"/>
        <v>98.892405063291136</v>
      </c>
      <c r="AQ9" s="3455">
        <f t="shared" si="52"/>
        <v>99.581756622186816</v>
      </c>
      <c r="AR9" s="3455">
        <f t="shared" si="53"/>
        <v>100.90817356205852</v>
      </c>
    </row>
    <row r="10" spans="1:44" s="3182" customFormat="1" ht="12.75">
      <c r="A10" s="2203" t="s">
        <v>3378</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55">
        <f t="shared" si="30"/>
        <v>106.2</v>
      </c>
      <c r="AG10" s="3455">
        <f t="shared" si="31"/>
        <v>104.47999999999999</v>
      </c>
      <c r="AH10" s="3455">
        <f t="shared" si="32"/>
        <v>100.79</v>
      </c>
      <c r="AI10" s="3455">
        <f t="shared" si="33"/>
        <v>106.72999999999999</v>
      </c>
      <c r="AJ10" s="3455">
        <f t="shared" si="34"/>
        <v>108.18</v>
      </c>
      <c r="AK10" s="3455">
        <f t="shared" si="35"/>
        <v>100.79</v>
      </c>
      <c r="AM10" s="3455">
        <f t="shared" si="48"/>
        <v>100.45790117767399</v>
      </c>
      <c r="AN10" s="3455">
        <f t="shared" si="49"/>
        <v>101.05834769439826</v>
      </c>
      <c r="AO10" s="3455">
        <f t="shared" si="50"/>
        <v>101.670703840865</v>
      </c>
      <c r="AP10" s="3455">
        <f t="shared" si="51"/>
        <v>99.941793899233076</v>
      </c>
      <c r="AQ10" s="3455">
        <f t="shared" si="52"/>
        <v>99.502154898268216</v>
      </c>
      <c r="AR10" s="3455">
        <f t="shared" si="53"/>
        <v>101.670703840865</v>
      </c>
    </row>
    <row r="11" spans="1:44" s="3182" customFormat="1" ht="12.75">
      <c r="A11" s="3173" t="s">
        <v>3372</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55">
        <f t="shared" si="30"/>
        <v>107.48</v>
      </c>
      <c r="AG11" s="3455">
        <f t="shared" si="31"/>
        <v>104.98</v>
      </c>
      <c r="AH11" s="3455">
        <f t="shared" si="32"/>
        <v>101.08</v>
      </c>
      <c r="AI11" s="3455">
        <f t="shared" si="33"/>
        <v>107.52999999999999</v>
      </c>
      <c r="AJ11" s="3455">
        <f t="shared" si="34"/>
        <v>108.41000000000001</v>
      </c>
      <c r="AK11" s="3455">
        <f t="shared" si="35"/>
        <v>101.08</v>
      </c>
      <c r="AM11" s="3455">
        <f t="shared" si="48"/>
        <v>101.66774737139357</v>
      </c>
      <c r="AN11" s="3455">
        <f t="shared" si="49"/>
        <v>101.53556484918946</v>
      </c>
      <c r="AO11" s="3455">
        <f t="shared" si="50"/>
        <v>101.9664064194815</v>
      </c>
      <c r="AP11" s="3455">
        <f t="shared" si="51"/>
        <v>100.68687678746028</v>
      </c>
      <c r="AQ11" s="3455">
        <f t="shared" si="52"/>
        <v>99.711549151486338</v>
      </c>
      <c r="AR11" s="3455">
        <f t="shared" si="53"/>
        <v>101.9664064194815</v>
      </c>
    </row>
    <row r="12" spans="1:44" s="3182" customFormat="1" ht="12.75">
      <c r="A12" s="3173" t="s">
        <v>3371</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55">
        <f t="shared" si="30"/>
        <v>108.11999999999999</v>
      </c>
      <c r="AG12" s="3455">
        <f t="shared" si="31"/>
        <v>105.2</v>
      </c>
      <c r="AH12" s="3455">
        <f t="shared" si="32"/>
        <v>102.49999999999999</v>
      </c>
      <c r="AI12" s="3455">
        <f t="shared" si="33"/>
        <v>108.88</v>
      </c>
      <c r="AJ12" s="3455">
        <f t="shared" si="34"/>
        <v>108.04</v>
      </c>
      <c r="AK12" s="3455">
        <f t="shared" si="35"/>
        <v>102.49999999999999</v>
      </c>
      <c r="AM12" s="3455">
        <f t="shared" si="48"/>
        <v>102.27114713951673</v>
      </c>
      <c r="AN12" s="3455">
        <f t="shared" si="49"/>
        <v>101.74923824951344</v>
      </c>
      <c r="AO12" s="3455">
        <f t="shared" si="50"/>
        <v>103.3932330353696</v>
      </c>
      <c r="AP12" s="3455">
        <f t="shared" si="51"/>
        <v>101.95107005615662</v>
      </c>
      <c r="AQ12" s="3455">
        <f t="shared" si="52"/>
        <v>99.373678644096401</v>
      </c>
      <c r="AR12" s="3455">
        <f t="shared" si="53"/>
        <v>103.3932330353696</v>
      </c>
    </row>
    <row r="13" spans="1:44" s="3182" customFormat="1" ht="12.75">
      <c r="A13" s="3173" t="s">
        <v>3367</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55">
        <f t="shared" si="30"/>
        <v>108.04</v>
      </c>
      <c r="AG13" s="3455">
        <f t="shared" si="31"/>
        <v>104.71999999999998</v>
      </c>
      <c r="AH13" s="3455">
        <f t="shared" si="32"/>
        <v>102.66</v>
      </c>
      <c r="AI13" s="3455">
        <f t="shared" si="33"/>
        <v>108.59</v>
      </c>
      <c r="AJ13" s="3455">
        <f t="shared" si="34"/>
        <v>107.41000000000001</v>
      </c>
      <c r="AK13" s="3455">
        <f t="shared" si="35"/>
        <v>102.66</v>
      </c>
      <c r="AM13" s="3455">
        <f t="shared" si="48"/>
        <v>102.18939562301833</v>
      </c>
      <c r="AN13" s="3455">
        <f t="shared" si="49"/>
        <v>101.28333490893236</v>
      </c>
      <c r="AO13" s="3455">
        <f t="shared" si="50"/>
        <v>103.55892731908014</v>
      </c>
      <c r="AP13" s="3455">
        <f t="shared" si="51"/>
        <v>101.68668467599903</v>
      </c>
      <c r="AQ13" s="3455">
        <f t="shared" si="52"/>
        <v>98.79081284829148</v>
      </c>
      <c r="AR13" s="3455">
        <f t="shared" si="53"/>
        <v>103.55892731908014</v>
      </c>
    </row>
    <row r="14" spans="1:44" s="3182" customFormat="1" ht="12.75">
      <c r="A14" s="3173" t="s">
        <v>3366</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55">
        <f t="shared" si="30"/>
        <v>107.83</v>
      </c>
      <c r="AG14" s="3455">
        <f t="shared" si="31"/>
        <v>104.47</v>
      </c>
      <c r="AH14" s="3455">
        <f t="shared" si="32"/>
        <v>102.82</v>
      </c>
      <c r="AI14" s="3455">
        <f t="shared" si="33"/>
        <v>108.41000000000001</v>
      </c>
      <c r="AJ14" s="3455">
        <f t="shared" si="34"/>
        <v>106.74999999999999</v>
      </c>
      <c r="AK14" s="3455">
        <f t="shared" si="35"/>
        <v>102.82</v>
      </c>
      <c r="AM14" s="3455">
        <f t="shared" si="48"/>
        <v>101.99560397546495</v>
      </c>
      <c r="AN14" s="3455">
        <f t="shared" si="49"/>
        <v>101.04083690037147</v>
      </c>
      <c r="AO14" s="3455">
        <f t="shared" si="50"/>
        <v>103.72488713850174</v>
      </c>
      <c r="AP14" s="3455">
        <f t="shared" si="51"/>
        <v>101.51411068782971</v>
      </c>
      <c r="AQ14" s="3455">
        <f t="shared" si="52"/>
        <v>98.191842608380355</v>
      </c>
      <c r="AR14" s="3455">
        <f t="shared" si="53"/>
        <v>103.72488713850174</v>
      </c>
    </row>
    <row r="15" spans="1:44" s="3182" customFormat="1" ht="12.75">
      <c r="A15" s="3173" t="s">
        <v>3364</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55">
        <f t="shared" si="30"/>
        <v>107.55999999999999</v>
      </c>
      <c r="AG15" s="3455">
        <f t="shared" si="31"/>
        <v>103.95</v>
      </c>
      <c r="AH15" s="3455">
        <f t="shared" si="32"/>
        <v>102.50999999999999</v>
      </c>
      <c r="AI15" s="3455">
        <f t="shared" si="33"/>
        <v>108.18</v>
      </c>
      <c r="AJ15" s="3455">
        <f t="shared" si="34"/>
        <v>106.3</v>
      </c>
      <c r="AK15" s="3455">
        <f t="shared" si="35"/>
        <v>102.50999999999999</v>
      </c>
      <c r="AM15" s="3455">
        <f t="shared" si="48"/>
        <v>101.74125084834409</v>
      </c>
      <c r="AN15" s="3455">
        <f t="shared" si="49"/>
        <v>100.53814616952387</v>
      </c>
      <c r="AO15" s="3455">
        <f t="shared" si="50"/>
        <v>103.40433370401927</v>
      </c>
      <c r="AP15" s="3455">
        <f t="shared" si="51"/>
        <v>101.30137779446135</v>
      </c>
      <c r="AQ15" s="3455">
        <f t="shared" si="52"/>
        <v>97.771425478821428</v>
      </c>
      <c r="AR15" s="3455">
        <f t="shared" si="53"/>
        <v>103.40433370401927</v>
      </c>
    </row>
    <row r="16" spans="1:44" s="3182" customFormat="1" ht="12.75">
      <c r="A16" s="3173" t="s">
        <v>3363</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55">
        <f t="shared" si="30"/>
        <v>106.59</v>
      </c>
      <c r="AG16" s="3455">
        <f t="shared" si="31"/>
        <v>103.25999999999999</v>
      </c>
      <c r="AH16" s="3455">
        <f t="shared" si="32"/>
        <v>102.03</v>
      </c>
      <c r="AI16" s="3455">
        <f t="shared" si="33"/>
        <v>107.14999999999999</v>
      </c>
      <c r="AJ16" s="3455">
        <f t="shared" si="34"/>
        <v>105.55000000000001</v>
      </c>
      <c r="AK16" s="3455">
        <f t="shared" si="35"/>
        <v>102.03</v>
      </c>
      <c r="AM16" s="3455">
        <f t="shared" si="48"/>
        <v>100.82375468074926</v>
      </c>
      <c r="AN16" s="3455">
        <f t="shared" si="49"/>
        <v>99.878945131654959</v>
      </c>
      <c r="AO16" s="3455">
        <f t="shared" si="50"/>
        <v>102.92060685181573</v>
      </c>
      <c r="AP16" s="3455">
        <f t="shared" si="51"/>
        <v>100.33813172985474</v>
      </c>
      <c r="AQ16" s="3455">
        <f t="shared" si="52"/>
        <v>97.082142268713554</v>
      </c>
      <c r="AR16" s="3455">
        <f t="shared" si="53"/>
        <v>102.92060685181573</v>
      </c>
    </row>
    <row r="17" spans="1:44" s="3182" customFormat="1" ht="12.75">
      <c r="A17" s="3173" t="s">
        <v>3362</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55">
        <f t="shared" si="30"/>
        <v>105.65</v>
      </c>
      <c r="AG17" s="3455">
        <f t="shared" si="31"/>
        <v>102.50999999999999</v>
      </c>
      <c r="AH17" s="3455">
        <f t="shared" si="32"/>
        <v>101.44999999999999</v>
      </c>
      <c r="AI17" s="3455">
        <f t="shared" si="33"/>
        <v>106.18</v>
      </c>
      <c r="AJ17" s="3455">
        <f t="shared" si="34"/>
        <v>105.02</v>
      </c>
      <c r="AK17" s="3455">
        <f t="shared" si="35"/>
        <v>101.44999999999999</v>
      </c>
      <c r="AM17" s="3455">
        <f t="shared" si="48"/>
        <v>99.934339063087791</v>
      </c>
      <c r="AN17" s="3455">
        <f t="shared" si="49"/>
        <v>99.145270132673176</v>
      </c>
      <c r="AO17" s="3455">
        <f t="shared" si="50"/>
        <v>102.3372843311283</v>
      </c>
      <c r="AP17" s="3455">
        <f t="shared" si="51"/>
        <v>99.423436117573061</v>
      </c>
      <c r="AQ17" s="3455">
        <f t="shared" si="52"/>
        <v>96.599146536033402</v>
      </c>
      <c r="AR17" s="3455">
        <f t="shared" si="53"/>
        <v>102.3372843311283</v>
      </c>
    </row>
    <row r="18" spans="1:44" s="3182" customFormat="1" ht="12.75">
      <c r="A18" s="3173" t="s">
        <v>3360</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55">
        <f t="shared" si="30"/>
        <v>105</v>
      </c>
      <c r="AG18" s="3455">
        <f t="shared" si="31"/>
        <v>102.3</v>
      </c>
      <c r="AH18" s="3455">
        <f t="shared" si="32"/>
        <v>101.34</v>
      </c>
      <c r="AI18" s="3455">
        <f t="shared" si="33"/>
        <v>105.45</v>
      </c>
      <c r="AJ18" s="3455">
        <f t="shared" si="34"/>
        <v>104.47</v>
      </c>
      <c r="AK18" s="3455">
        <f t="shared" si="35"/>
        <v>101.34</v>
      </c>
      <c r="AM18" s="3455">
        <f t="shared" si="48"/>
        <v>99.318563966495518</v>
      </c>
      <c r="AN18" s="3455">
        <f t="shared" si="49"/>
        <v>98.947375381909353</v>
      </c>
      <c r="AO18" s="3455">
        <f t="shared" si="50"/>
        <v>102.22483701041683</v>
      </c>
      <c r="AP18" s="3455">
        <f t="shared" si="51"/>
        <v>98.742115520481747</v>
      </c>
      <c r="AQ18" s="3455">
        <f t="shared" si="52"/>
        <v>96.089870223847001</v>
      </c>
      <c r="AR18" s="3455">
        <f t="shared" si="53"/>
        <v>102.22483701041683</v>
      </c>
    </row>
    <row r="19" spans="1:44" s="3182" customFormat="1" ht="12.75">
      <c r="A19" s="3173" t="s">
        <v>3351</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55">
        <f t="shared" si="30"/>
        <v>104.30999999999999</v>
      </c>
      <c r="AG19" s="3455">
        <f t="shared" si="31"/>
        <v>101.97</v>
      </c>
      <c r="AH19" s="3455">
        <f t="shared" si="32"/>
        <v>101.1</v>
      </c>
      <c r="AI19" s="3455">
        <f t="shared" si="33"/>
        <v>104.69</v>
      </c>
      <c r="AJ19" s="3455">
        <f t="shared" si="34"/>
        <v>103.82000000000001</v>
      </c>
      <c r="AK19" s="3455">
        <f t="shared" si="35"/>
        <v>101.1</v>
      </c>
      <c r="AM19" s="3455">
        <f t="shared" si="48"/>
        <v>98.667359394491882</v>
      </c>
      <c r="AN19" s="3455">
        <f t="shared" si="49"/>
        <v>98.631753769845844</v>
      </c>
      <c r="AO19" s="3455">
        <f t="shared" si="50"/>
        <v>101.99025941376517</v>
      </c>
      <c r="AP19" s="3455">
        <f t="shared" si="51"/>
        <v>98.036254488166932</v>
      </c>
      <c r="AQ19" s="3455">
        <f t="shared" si="52"/>
        <v>95.488293971824504</v>
      </c>
      <c r="AR19" s="3455">
        <f t="shared" si="53"/>
        <v>101.99025941376517</v>
      </c>
    </row>
    <row r="20" spans="1:44" s="3182" customFormat="1" ht="12.75">
      <c r="A20" s="3173" t="s">
        <v>2818</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55">
        <f t="shared" si="30"/>
        <v>103.35000000000001</v>
      </c>
      <c r="AG20" s="3455">
        <f t="shared" si="31"/>
        <v>101.82</v>
      </c>
      <c r="AH20" s="3455">
        <f t="shared" si="32"/>
        <v>101.08999999999999</v>
      </c>
      <c r="AI20" s="3455">
        <f t="shared" si="33"/>
        <v>103.61</v>
      </c>
      <c r="AJ20" s="3455">
        <f t="shared" si="34"/>
        <v>102.71</v>
      </c>
      <c r="AK20" s="3455">
        <f t="shared" si="35"/>
        <v>101.08999999999999</v>
      </c>
      <c r="AM20" s="3455">
        <f t="shared" si="48"/>
        <v>97.758208059538163</v>
      </c>
      <c r="AN20" s="3455">
        <f t="shared" si="49"/>
        <v>98.484027728253452</v>
      </c>
      <c r="AO20" s="3455">
        <f t="shared" si="50"/>
        <v>101.98006140762442</v>
      </c>
      <c r="AP20" s="3455">
        <f t="shared" si="51"/>
        <v>97.017570003134026</v>
      </c>
      <c r="AQ20" s="3455">
        <f t="shared" si="52"/>
        <v>94.468039149015155</v>
      </c>
      <c r="AR20" s="3455">
        <f t="shared" si="53"/>
        <v>101.98006140762442</v>
      </c>
    </row>
    <row r="21" spans="1:44" s="3182" customFormat="1" ht="12.75">
      <c r="A21" s="3173" t="s">
        <v>2819</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55">
        <f t="shared" si="30"/>
        <v>102.44</v>
      </c>
      <c r="AG21" s="3455">
        <f t="shared" si="31"/>
        <v>101.38000000000001</v>
      </c>
      <c r="AH21" s="3455">
        <f t="shared" si="32"/>
        <v>100.72000000000001</v>
      </c>
      <c r="AI21" s="3455">
        <f t="shared" si="33"/>
        <v>102.62</v>
      </c>
      <c r="AJ21" s="3455">
        <f t="shared" si="34"/>
        <v>102.05</v>
      </c>
      <c r="AK21" s="3455">
        <f t="shared" si="35"/>
        <v>100.72000000000001</v>
      </c>
      <c r="AM21" s="3455">
        <f t="shared" si="48"/>
        <v>96.895835126908679</v>
      </c>
      <c r="AN21" s="3455">
        <f t="shared" si="49"/>
        <v>98.0525963045136</v>
      </c>
      <c r="AO21" s="3455">
        <f t="shared" si="50"/>
        <v>101.60412614090308</v>
      </c>
      <c r="AP21" s="3455">
        <f t="shared" si="51"/>
        <v>96.095057451598677</v>
      </c>
      <c r="AQ21" s="3455">
        <f t="shared" si="52"/>
        <v>93.867288502598527</v>
      </c>
      <c r="AR21" s="3455">
        <f t="shared" si="53"/>
        <v>101.60412614090308</v>
      </c>
    </row>
    <row r="22" spans="1:44" s="3182" customFormat="1" ht="12.75">
      <c r="A22" s="3173" t="s">
        <v>2820</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55">
        <f t="shared" si="30"/>
        <v>101.39</v>
      </c>
      <c r="AG22" s="3455">
        <f t="shared" si="31"/>
        <v>101.13000000000001</v>
      </c>
      <c r="AH22" s="3455">
        <f t="shared" si="32"/>
        <v>100.64999999999999</v>
      </c>
      <c r="AI22" s="3455">
        <f t="shared" si="33"/>
        <v>101.42999999999999</v>
      </c>
      <c r="AJ22" s="3455">
        <f t="shared" si="34"/>
        <v>101.49</v>
      </c>
      <c r="AK22" s="3455">
        <f t="shared" si="35"/>
        <v>100.64999999999999</v>
      </c>
      <c r="AM22" s="3455">
        <f t="shared" si="48"/>
        <v>95.907982903007706</v>
      </c>
      <c r="AN22" s="3455">
        <f t="shared" si="49"/>
        <v>97.81783350410376</v>
      </c>
      <c r="AO22" s="3455">
        <f t="shared" si="50"/>
        <v>101.53305300380042</v>
      </c>
      <c r="AP22" s="3455">
        <f t="shared" si="51"/>
        <v>94.983747604624568</v>
      </c>
      <c r="AQ22" s="3455">
        <f t="shared" si="52"/>
        <v>93.353842369565911</v>
      </c>
      <c r="AR22" s="3455">
        <f t="shared" si="53"/>
        <v>101.53305300380042</v>
      </c>
    </row>
    <row r="23" spans="1:44" s="3182" customFormat="1" ht="12.75">
      <c r="A23" s="3173" t="s">
        <v>2821</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55">
        <f t="shared" si="30"/>
        <v>100.92000000000002</v>
      </c>
      <c r="AG23" s="3455">
        <f t="shared" si="31"/>
        <v>100.72000000000001</v>
      </c>
      <c r="AH23" s="3455">
        <f t="shared" si="32"/>
        <v>100.41</v>
      </c>
      <c r="AI23" s="3455">
        <f t="shared" si="33"/>
        <v>100.95</v>
      </c>
      <c r="AJ23" s="3455">
        <f t="shared" si="34"/>
        <v>101.01</v>
      </c>
      <c r="AK23" s="3455">
        <f t="shared" si="35"/>
        <v>100.41</v>
      </c>
      <c r="AM23" s="3455">
        <f t="shared" si="48"/>
        <v>95.459324079832498</v>
      </c>
      <c r="AN23" s="3455">
        <f t="shared" si="49"/>
        <v>97.418417990343357</v>
      </c>
      <c r="AO23" s="3455">
        <f t="shared" si="50"/>
        <v>101.28995710674424</v>
      </c>
      <c r="AP23" s="3455">
        <f t="shared" si="51"/>
        <v>94.530003587405034</v>
      </c>
      <c r="AQ23" s="3455">
        <f t="shared" si="52"/>
        <v>92.907884523851436</v>
      </c>
      <c r="AR23" s="3455">
        <f t="shared" si="53"/>
        <v>101.28995710674424</v>
      </c>
    </row>
    <row r="24" spans="1:44" s="3204" customFormat="1" ht="14.25" thickBot="1">
      <c r="A24" s="3194" t="s">
        <v>2822</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63">
        <v>100</v>
      </c>
      <c r="AG24" s="3463">
        <v>100</v>
      </c>
      <c r="AH24" s="3463">
        <v>100</v>
      </c>
      <c r="AI24" s="3463">
        <v>100</v>
      </c>
      <c r="AJ24" s="3463">
        <v>100</v>
      </c>
      <c r="AK24" s="3463">
        <v>100</v>
      </c>
      <c r="AM24" s="3462">
        <f t="shared" si="48"/>
        <v>94.589104320087685</v>
      </c>
      <c r="AN24" s="3462">
        <f t="shared" si="49"/>
        <v>96.722019450301175</v>
      </c>
      <c r="AO24" s="3462">
        <f t="shared" si="50"/>
        <v>100.87636401428567</v>
      </c>
      <c r="AP24" s="3462">
        <f t="shared" si="51"/>
        <v>93.640419601193685</v>
      </c>
      <c r="AQ24" s="3462">
        <f t="shared" si="52"/>
        <v>91.978897657510586</v>
      </c>
      <c r="AR24" s="3462">
        <f t="shared" si="53"/>
        <v>100.87636401428567</v>
      </c>
    </row>
    <row r="25" spans="1:44" s="3006" customFormat="1" ht="14.25" thickTop="1"/>
    <row r="26" spans="1:44" s="3006" customFormat="1">
      <c r="A26" s="3445" t="s">
        <v>3377</v>
      </c>
    </row>
    <row r="27" spans="1:44" s="3006" customFormat="1">
      <c r="I27" s="3205" t="s">
        <v>2823</v>
      </c>
    </row>
    <row r="28" spans="1:44" s="3006" customFormat="1"/>
    <row r="29" spans="1:44" s="3206" customFormat="1" ht="12.75">
      <c r="B29" s="3207" t="s">
        <v>3375</v>
      </c>
      <c r="C29" s="3208"/>
      <c r="D29" s="3208"/>
      <c r="E29" s="3208"/>
      <c r="F29" s="3208"/>
      <c r="G29" s="3208"/>
      <c r="H29" s="3208"/>
      <c r="I29" s="3208"/>
      <c r="J29" s="3162"/>
      <c r="K29" s="3208" t="s">
        <v>2824</v>
      </c>
      <c r="L29" s="3208"/>
      <c r="M29" s="3208"/>
      <c r="N29" s="3208"/>
      <c r="O29" s="3208"/>
      <c r="P29" s="3208"/>
      <c r="Q29" s="3162"/>
      <c r="R29" s="3810" t="s">
        <v>2825</v>
      </c>
      <c r="S29" s="3811"/>
      <c r="T29" s="3811"/>
      <c r="U29" s="3811"/>
      <c r="V29" s="3811"/>
      <c r="W29" s="3811"/>
      <c r="X29" s="3162"/>
      <c r="Y29" s="3810" t="s">
        <v>2826</v>
      </c>
      <c r="Z29" s="3811"/>
      <c r="AA29" s="3811"/>
      <c r="AB29" s="3811"/>
      <c r="AC29" s="3811"/>
      <c r="AD29" s="3811"/>
    </row>
    <row r="30" spans="1:44" s="3140" customFormat="1" ht="14.25" thickBot="1">
      <c r="B30" s="3141"/>
      <c r="C30" s="3142"/>
      <c r="D30" s="3143" t="s">
        <v>2827</v>
      </c>
      <c r="E30" s="3144" t="s">
        <v>2828</v>
      </c>
      <c r="F30" s="3144" t="s">
        <v>2829</v>
      </c>
      <c r="G30" s="3144" t="s">
        <v>2830</v>
      </c>
      <c r="H30" s="3144"/>
      <c r="I30" s="3144" t="s">
        <v>2831</v>
      </c>
      <c r="J30" s="3145"/>
      <c r="K30" s="3143" t="s">
        <v>2827</v>
      </c>
      <c r="L30" s="3144" t="s">
        <v>2828</v>
      </c>
      <c r="M30" s="3144" t="s">
        <v>2829</v>
      </c>
      <c r="N30" s="3144" t="s">
        <v>2830</v>
      </c>
      <c r="O30" s="3144"/>
      <c r="P30" s="3144" t="s">
        <v>2831</v>
      </c>
      <c r="Q30" s="3145"/>
      <c r="R30" s="3143" t="s">
        <v>2827</v>
      </c>
      <c r="S30" s="3144" t="s">
        <v>2828</v>
      </c>
      <c r="T30" s="3144" t="s">
        <v>2829</v>
      </c>
      <c r="U30" s="3144" t="s">
        <v>2830</v>
      </c>
      <c r="V30" s="3144"/>
      <c r="W30" s="3144" t="s">
        <v>2831</v>
      </c>
      <c r="X30" s="3145"/>
      <c r="Y30" s="3143" t="s">
        <v>2827</v>
      </c>
      <c r="Z30" s="3144" t="s">
        <v>2828</v>
      </c>
      <c r="AA30" s="3144" t="s">
        <v>2829</v>
      </c>
      <c r="AB30" s="3144" t="s">
        <v>2830</v>
      </c>
      <c r="AC30" s="3144"/>
      <c r="AD30" s="3144" t="s">
        <v>2831</v>
      </c>
      <c r="AG30" t="s">
        <v>673</v>
      </c>
      <c r="AH30" t="s">
        <v>21</v>
      </c>
      <c r="AI30" t="s">
        <v>3402</v>
      </c>
      <c r="AJ30"/>
      <c r="AK30" t="s">
        <v>3403</v>
      </c>
      <c r="AN30" t="s">
        <v>673</v>
      </c>
      <c r="AO30" t="s">
        <v>21</v>
      </c>
      <c r="AP30" t="s">
        <v>3402</v>
      </c>
      <c r="AQ30"/>
      <c r="AR30" t="s">
        <v>3403</v>
      </c>
    </row>
    <row r="31" spans="1:44" s="3158" customFormat="1" ht="12.75">
      <c r="A31" s="3146" t="s">
        <v>2832</v>
      </c>
      <c r="B31" s="3147"/>
      <c r="C31" s="3148"/>
      <c r="D31" s="3148"/>
      <c r="E31" s="3148">
        <f t="shared" ref="E31:G31" si="115">ROUND(AVERAGEIF(E32:E52,"&lt;&gt;0"),2)</f>
        <v>0.11</v>
      </c>
      <c r="F31" s="3148">
        <f t="shared" si="115"/>
        <v>7.0000000000000007E-2</v>
      </c>
      <c r="G31" s="3148">
        <f t="shared" si="115"/>
        <v>0.26</v>
      </c>
      <c r="H31" s="3148"/>
      <c r="I31" s="3148">
        <f>F31</f>
        <v>7.0000000000000007E-2</v>
      </c>
      <c r="J31" s="3149"/>
      <c r="K31" s="3150"/>
      <c r="L31" s="3151">
        <f t="shared" ref="L31:N31" si="116">ROUND(AVERAGEIF(L32:L52,"&lt;&gt;0"),4)</f>
        <v>1.1000000000000001E-3</v>
      </c>
      <c r="M31" s="3151">
        <f t="shared" si="116"/>
        <v>6.9999999999999999E-4</v>
      </c>
      <c r="N31" s="3151">
        <f t="shared" si="116"/>
        <v>2.5999999999999999E-3</v>
      </c>
      <c r="O31" s="3151"/>
      <c r="P31" s="3151">
        <f>M31</f>
        <v>6.9999999999999999E-4</v>
      </c>
      <c r="Q31" s="3149"/>
      <c r="R31" s="3152"/>
      <c r="S31" s="3153">
        <f>ROUND(SUMPRODUCT(PRODUCT(1+L32:L52)),4)</f>
        <v>1.0185</v>
      </c>
      <c r="T31" s="3153">
        <f t="shared" ref="T31:U31" si="117">ROUND(SUMPRODUCT(PRODUCT(1+M32:M52)),4)</f>
        <v>1.012</v>
      </c>
      <c r="U31" s="3153">
        <f t="shared" si="117"/>
        <v>1.0436000000000001</v>
      </c>
      <c r="V31" s="3153"/>
      <c r="W31" s="3152">
        <f>T31</f>
        <v>1.012</v>
      </c>
      <c r="X31" s="3149"/>
      <c r="Y31" s="3154"/>
      <c r="Z31" s="3155">
        <f t="shared" ref="Z31:AB31" si="118">ROUND(AVERAGEIF(Z32:Z52,"&lt;&gt;0"),4)</f>
        <v>3.5999999999999999E-3</v>
      </c>
      <c r="AA31" s="3156">
        <f t="shared" si="118"/>
        <v>3.0000000000000001E-3</v>
      </c>
      <c r="AB31" s="3154">
        <f t="shared" si="118"/>
        <v>7.0000000000000001E-3</v>
      </c>
      <c r="AC31" s="3157"/>
      <c r="AD31" s="3154">
        <f>AA31</f>
        <v>3.0000000000000001E-3</v>
      </c>
    </row>
    <row r="32" spans="1:44" s="3159" customFormat="1" ht="12.75">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3" t="s">
        <v>3400</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1.0148999999999999</v>
      </c>
      <c r="T33" s="3180">
        <f>ROUND(IF(项目基本情况!$B$8="出让",SUMPRODUCT(PRODUCT(1+M33:M$52)),SUMPRODUCT(PRODUCT(1+M33:M$51))),4)</f>
        <v>1.0072000000000001</v>
      </c>
      <c r="U33" s="3180">
        <f>ROUND(IF(项目基本情况!$B$8="出让",SUMPRODUCT(PRODUCT(1+N33:N$52)),SUMPRODUCT(PRODUCT(1+N33:N$51))),4)</f>
        <v>1.0335000000000001</v>
      </c>
      <c r="V33" s="3180"/>
      <c r="W33" s="3180">
        <f t="shared" ref="W33:W39" si="124">T33</f>
        <v>1.0072000000000001</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55">
        <f t="shared" ref="AG33:AG50" si="129">$AG$52*S33</f>
        <v>101.49</v>
      </c>
      <c r="AH33" s="3455">
        <f t="shared" ref="AH33:AH50" si="130">$AG$52*T33</f>
        <v>100.72000000000001</v>
      </c>
      <c r="AI33" s="3455">
        <f t="shared" ref="AI33:AI50" si="131">$AG$52*U33</f>
        <v>103.35000000000001</v>
      </c>
      <c r="AJ33" s="3457"/>
      <c r="AK33" s="3455">
        <f t="shared" ref="AK33:AK50" si="132">$AG$52*W33</f>
        <v>100.72000000000001</v>
      </c>
      <c r="AN33" s="3460">
        <v>100</v>
      </c>
      <c r="AO33" s="3460">
        <v>100</v>
      </c>
      <c r="AP33" s="3460">
        <v>100</v>
      </c>
      <c r="AQ33" s="3460"/>
      <c r="AR33" s="3460">
        <v>100</v>
      </c>
    </row>
    <row r="34" spans="1:44" s="3182" customFormat="1" ht="12.75">
      <c r="A34" s="2203" t="s">
        <v>3399</v>
      </c>
      <c r="B34" s="3174">
        <v>2025</v>
      </c>
      <c r="C34" s="3175">
        <v>3</v>
      </c>
      <c r="D34" s="3176"/>
      <c r="E34" s="3176">
        <v>0</v>
      </c>
      <c r="F34" s="3176">
        <v>0</v>
      </c>
      <c r="G34" s="3176">
        <v>0</v>
      </c>
      <c r="H34" s="3176"/>
      <c r="I34" s="3177">
        <f t="shared" ref="I34" si="133">F34</f>
        <v>0</v>
      </c>
      <c r="J34" s="3178"/>
      <c r="K34" s="3179"/>
      <c r="L34" s="3169">
        <f t="shared" ref="L34" si="134">E34/100</f>
        <v>0</v>
      </c>
      <c r="M34" s="3169">
        <f t="shared" ref="M34" si="135">F34/100</f>
        <v>0</v>
      </c>
      <c r="N34" s="3169">
        <f t="shared" ref="N34" si="136">G34/100</f>
        <v>0</v>
      </c>
      <c r="O34" s="3169"/>
      <c r="P34" s="3169">
        <f t="shared" si="123"/>
        <v>0</v>
      </c>
      <c r="Q34" s="3178"/>
      <c r="R34" s="3180"/>
      <c r="S34" s="3180">
        <f>ROUND(IF(项目基本情况!$B$8="出让",SUMPRODUCT(PRODUCT(1+L34:L$52)),SUMPRODUCT(PRODUCT(1+L34:L$51))),4)</f>
        <v>1.0148999999999999</v>
      </c>
      <c r="T34" s="3180">
        <f>ROUND(IF(项目基本情况!$B$8="出让",SUMPRODUCT(PRODUCT(1+M34:M$52)),SUMPRODUCT(PRODUCT(1+M34:M$51))),4)</f>
        <v>1.0072000000000001</v>
      </c>
      <c r="U34" s="3180">
        <f>ROUND(IF(项目基本情况!$B$8="出让",SUMPRODUCT(PRODUCT(1+N34:N$52)),SUMPRODUCT(PRODUCT(1+N34:N$51))),4)</f>
        <v>1.0335000000000001</v>
      </c>
      <c r="V34" s="3180"/>
      <c r="W34" s="3180">
        <f t="shared" si="124"/>
        <v>1.0072000000000001</v>
      </c>
      <c r="X34" s="3178"/>
      <c r="Y34" s="3181"/>
      <c r="Z34" s="3209">
        <f t="shared" ref="Z34" si="137">IF(E34=0,0,ROUND(AVERAGE(E34:E47)/100,4))</f>
        <v>0</v>
      </c>
      <c r="AA34" s="3209">
        <f t="shared" ref="AA34" si="138">IF(F34=0,0,ROUND(AVERAGE(F34:F47)/100,4))</f>
        <v>0</v>
      </c>
      <c r="AB34" s="3209">
        <f t="shared" ref="AB34" si="139">IF(G34=0,0,ROUND(AVERAGE(G34:G47)/100,4))</f>
        <v>0</v>
      </c>
      <c r="AC34" s="3210"/>
      <c r="AD34" s="3181">
        <f t="shared" si="128"/>
        <v>0</v>
      </c>
      <c r="AG34" s="3455">
        <f t="shared" si="129"/>
        <v>101.49</v>
      </c>
      <c r="AH34" s="3455">
        <f t="shared" si="130"/>
        <v>100.72000000000001</v>
      </c>
      <c r="AI34" s="3455">
        <f t="shared" si="131"/>
        <v>103.35000000000001</v>
      </c>
      <c r="AJ34" s="3457"/>
      <c r="AK34" s="3455">
        <f t="shared" si="132"/>
        <v>100.72000000000001</v>
      </c>
      <c r="AN34" s="3455">
        <f>AN33/(1+E33/100)</f>
        <v>100</v>
      </c>
      <c r="AO34" s="3455">
        <f t="shared" ref="AO34:AR34" si="140">AO33/(1+F33/100)</f>
        <v>100</v>
      </c>
      <c r="AP34" s="3455">
        <f t="shared" si="140"/>
        <v>100</v>
      </c>
      <c r="AQ34" s="3455"/>
      <c r="AR34" s="3455">
        <f t="shared" si="140"/>
        <v>100</v>
      </c>
    </row>
    <row r="35" spans="1:44" s="3192" customFormat="1" ht="12.75">
      <c r="A35" s="3183" t="s">
        <v>3407</v>
      </c>
      <c r="B35" s="3184">
        <v>2025</v>
      </c>
      <c r="C35" s="3185">
        <v>2</v>
      </c>
      <c r="D35" s="3186"/>
      <c r="E35" s="3186">
        <v>0</v>
      </c>
      <c r="F35" s="3186">
        <v>0</v>
      </c>
      <c r="G35" s="3186">
        <v>0</v>
      </c>
      <c r="H35" s="3187"/>
      <c r="I35" s="3188">
        <f t="shared" ref="I35" si="141">F35</f>
        <v>0</v>
      </c>
      <c r="J35" s="3189"/>
      <c r="K35" s="3190"/>
      <c r="L35" s="3191">
        <f t="shared" ref="L35" si="142">E35/100</f>
        <v>0</v>
      </c>
      <c r="M35" s="3191">
        <f t="shared" ref="M35" si="143">F35/100</f>
        <v>0</v>
      </c>
      <c r="N35" s="3191">
        <f t="shared" ref="N35" si="144">G35/100</f>
        <v>0</v>
      </c>
      <c r="O35" s="3191"/>
      <c r="P35" s="3191">
        <f t="shared" si="123"/>
        <v>0</v>
      </c>
      <c r="Q35" s="3189"/>
      <c r="R35" s="3189"/>
      <c r="S35" s="3189">
        <f>ROUND(IF(项目基本情况!$B$8="出让",SUMPRODUCT(PRODUCT(1+L35:L$52)),SUMPRODUCT(PRODUCT(1+L35:L$51))),4)</f>
        <v>1.0148999999999999</v>
      </c>
      <c r="T35" s="3189">
        <f>ROUND(IF(项目基本情况!$B$8="出让",SUMPRODUCT(PRODUCT(1+M35:M$52)),SUMPRODUCT(PRODUCT(1+M35:M$51))),4)</f>
        <v>1.0072000000000001</v>
      </c>
      <c r="U35" s="3189">
        <f>ROUND(IF(项目基本情况!$B$8="出让",SUMPRODUCT(PRODUCT(1+N35:N$52)),SUMPRODUCT(PRODUCT(1+N35:N$51))),4)</f>
        <v>1.0335000000000001</v>
      </c>
      <c r="V35" s="3189"/>
      <c r="W35" s="3189">
        <f t="shared" si="124"/>
        <v>1.0072000000000001</v>
      </c>
      <c r="X35" s="3189"/>
      <c r="Y35" s="3191"/>
      <c r="Z35" s="3212">
        <f t="shared" ref="Z35" si="145">IF(E35=0,0,ROUND(AVERAGE(E35:E48)/100,4))</f>
        <v>0</v>
      </c>
      <c r="AA35" s="3213">
        <f t="shared" ref="AA35" si="146">IF(F35=0,0,ROUND(AVERAGE(F35:F48)/100,4))</f>
        <v>0</v>
      </c>
      <c r="AB35" s="3191">
        <f t="shared" ref="AB35" si="147">IF(G35=0,0,ROUND(AVERAGE(G35:G48)/100,4))</f>
        <v>0</v>
      </c>
      <c r="AC35" s="3214"/>
      <c r="AD35" s="3191">
        <f t="shared" si="128"/>
        <v>0</v>
      </c>
      <c r="AG35" s="3456">
        <f t="shared" si="129"/>
        <v>101.49</v>
      </c>
      <c r="AH35" s="3456">
        <f t="shared" si="130"/>
        <v>100.72000000000001</v>
      </c>
      <c r="AI35" s="3456">
        <f t="shared" si="131"/>
        <v>103.35000000000001</v>
      </c>
      <c r="AJ35" s="3458"/>
      <c r="AK35" s="3456">
        <f t="shared" si="132"/>
        <v>100.72000000000001</v>
      </c>
      <c r="AN35" s="3456">
        <f t="shared" ref="AN35:AN52" si="148">AN34/(1+E34/100)</f>
        <v>100</v>
      </c>
      <c r="AO35" s="3456">
        <f t="shared" ref="AO35" si="149">AO34/(1+F34/100)</f>
        <v>100</v>
      </c>
      <c r="AP35" s="3456">
        <f t="shared" ref="AP35" si="150">AP34/(1+G34/100)</f>
        <v>100</v>
      </c>
      <c r="AQ35" s="3456"/>
      <c r="AR35" s="3456">
        <f t="shared" ref="AR35" si="151">AR34/(1+I34/100)</f>
        <v>100</v>
      </c>
    </row>
    <row r="36" spans="1:44" s="3182" customFormat="1" ht="12.75">
      <c r="A36" s="2203" t="s">
        <v>3404</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55">
        <f t="shared" si="129"/>
        <v>101.49</v>
      </c>
      <c r="AH36" s="3455">
        <f t="shared" si="130"/>
        <v>100.72000000000001</v>
      </c>
      <c r="AI36" s="3455">
        <f t="shared" si="131"/>
        <v>103.35000000000001</v>
      </c>
      <c r="AJ36" s="3457"/>
      <c r="AK36" s="3455">
        <f t="shared" si="132"/>
        <v>100.72000000000001</v>
      </c>
      <c r="AN36" s="3455">
        <f t="shared" si="148"/>
        <v>100</v>
      </c>
      <c r="AO36" s="3455">
        <f t="shared" ref="AO36:AO52" si="159">AO35/(1+F35/100)</f>
        <v>100</v>
      </c>
      <c r="AP36" s="3455">
        <f t="shared" ref="AP36:AP52" si="160">AP35/(1+G35/100)</f>
        <v>100</v>
      </c>
      <c r="AQ36" s="3455"/>
      <c r="AR36" s="3455">
        <f t="shared" ref="AR36:AR52" si="161">AR35/(1+I35/100)</f>
        <v>100</v>
      </c>
    </row>
    <row r="37" spans="1:44" s="3182" customFormat="1" ht="12.75">
      <c r="A37" s="2203" t="s">
        <v>3405</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55">
        <f t="shared" si="129"/>
        <v>103.01</v>
      </c>
      <c r="AH37" s="3455">
        <f t="shared" si="130"/>
        <v>101.71</v>
      </c>
      <c r="AI37" s="3455">
        <f t="shared" si="131"/>
        <v>103.88</v>
      </c>
      <c r="AJ37" s="3457"/>
      <c r="AK37" s="3455">
        <f t="shared" si="132"/>
        <v>101.71</v>
      </c>
      <c r="AN37" s="3455">
        <f t="shared" si="148"/>
        <v>101.49193139145439</v>
      </c>
      <c r="AO37" s="3455">
        <f t="shared" si="159"/>
        <v>100.98969905069683</v>
      </c>
      <c r="AP37" s="3455">
        <f t="shared" si="160"/>
        <v>100.51261433309881</v>
      </c>
      <c r="AQ37" s="3455"/>
      <c r="AR37" s="3455">
        <f t="shared" si="161"/>
        <v>100.98969905069683</v>
      </c>
    </row>
    <row r="38" spans="1:44" s="3182" customFormat="1" ht="12.75">
      <c r="A38" s="2203" t="s">
        <v>3369</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55">
        <f t="shared" si="129"/>
        <v>103.64</v>
      </c>
      <c r="AH38" s="3455">
        <f t="shared" si="130"/>
        <v>102.44</v>
      </c>
      <c r="AI38" s="3455">
        <f t="shared" si="131"/>
        <v>104.80000000000001</v>
      </c>
      <c r="AJ38" s="3457"/>
      <c r="AK38" s="3455">
        <f t="shared" si="132"/>
        <v>102.44</v>
      </c>
      <c r="AN38" s="3455">
        <f t="shared" si="148"/>
        <v>102.11483186583598</v>
      </c>
      <c r="AO38" s="3455">
        <f t="shared" si="159"/>
        <v>101.71185320847701</v>
      </c>
      <c r="AP38" s="3455">
        <f t="shared" si="160"/>
        <v>101.4049781407373</v>
      </c>
      <c r="AQ38" s="3455"/>
      <c r="AR38" s="3455">
        <f t="shared" si="161"/>
        <v>101.71185320847701</v>
      </c>
    </row>
    <row r="39" spans="1:44" s="3182" customFormat="1" ht="12.75">
      <c r="A39" s="3173" t="s">
        <v>3373</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55">
        <f t="shared" si="129"/>
        <v>104.32999999999998</v>
      </c>
      <c r="AH39" s="3455">
        <f t="shared" si="130"/>
        <v>102.98</v>
      </c>
      <c r="AI39" s="3455">
        <f t="shared" si="131"/>
        <v>107.89999999999999</v>
      </c>
      <c r="AJ39" s="3457"/>
      <c r="AK39" s="3455">
        <f t="shared" si="132"/>
        <v>102.98</v>
      </c>
      <c r="AN39" s="3455">
        <f t="shared" si="148"/>
        <v>102.79326743087979</v>
      </c>
      <c r="AO39" s="3455">
        <f t="shared" si="159"/>
        <v>102.24351950992863</v>
      </c>
      <c r="AP39" s="3455">
        <f t="shared" si="160"/>
        <v>104.40129531631555</v>
      </c>
      <c r="AQ39" s="3455"/>
      <c r="AR39" s="3455">
        <f t="shared" si="161"/>
        <v>102.24351950992863</v>
      </c>
    </row>
    <row r="40" spans="1:44" s="3182" customFormat="1" ht="12.75">
      <c r="A40" s="3173" t="s">
        <v>3370</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55">
        <f t="shared" si="129"/>
        <v>104.65</v>
      </c>
      <c r="AH40" s="3455">
        <f t="shared" si="130"/>
        <v>103.38000000000001</v>
      </c>
      <c r="AI40" s="3455">
        <f t="shared" si="131"/>
        <v>106.59</v>
      </c>
      <c r="AJ40" s="3457"/>
      <c r="AK40" s="3455">
        <f t="shared" si="132"/>
        <v>103.38000000000001</v>
      </c>
      <c r="AN40" s="3455">
        <f t="shared" si="148"/>
        <v>103.11291747505246</v>
      </c>
      <c r="AO40" s="3455">
        <f t="shared" si="159"/>
        <v>102.64383044867849</v>
      </c>
      <c r="AP40" s="3455">
        <f t="shared" si="160"/>
        <v>103.13276233953923</v>
      </c>
      <c r="AQ40" s="3455"/>
      <c r="AR40" s="3455">
        <f t="shared" si="161"/>
        <v>102.64383044867849</v>
      </c>
    </row>
    <row r="41" spans="1:44" s="3182" customFormat="1" ht="12.75">
      <c r="A41" s="3173" t="s">
        <v>3368</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55">
        <f t="shared" si="129"/>
        <v>104.39</v>
      </c>
      <c r="AH41" s="3455">
        <f t="shared" si="130"/>
        <v>102.97</v>
      </c>
      <c r="AI41" s="3455">
        <f t="shared" si="131"/>
        <v>107.27</v>
      </c>
      <c r="AJ41" s="3457"/>
      <c r="AK41" s="3455">
        <f t="shared" si="132"/>
        <v>102.97</v>
      </c>
      <c r="AN41" s="3455">
        <f t="shared" si="148"/>
        <v>102.85577802997751</v>
      </c>
      <c r="AO41" s="3455">
        <f t="shared" si="159"/>
        <v>102.23489088513793</v>
      </c>
      <c r="AP41" s="3455">
        <f t="shared" si="160"/>
        <v>103.78661803314806</v>
      </c>
      <c r="AQ41" s="3455"/>
      <c r="AR41" s="3455">
        <f t="shared" si="161"/>
        <v>102.23489088513793</v>
      </c>
    </row>
    <row r="42" spans="1:44" s="3182" customFormat="1" ht="12.75">
      <c r="A42" s="3173" t="s">
        <v>3366</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55">
        <f t="shared" si="129"/>
        <v>104.32</v>
      </c>
      <c r="AH42" s="3455">
        <f t="shared" si="130"/>
        <v>102.86999999999999</v>
      </c>
      <c r="AI42" s="3455">
        <f t="shared" si="131"/>
        <v>107.23</v>
      </c>
      <c r="AJ42" s="3457"/>
      <c r="AK42" s="3455">
        <f t="shared" si="132"/>
        <v>102.86999999999999</v>
      </c>
      <c r="AN42" s="3455">
        <f t="shared" si="148"/>
        <v>102.78382934943292</v>
      </c>
      <c r="AO42" s="3455">
        <f t="shared" si="159"/>
        <v>102.14296221914071</v>
      </c>
      <c r="AP42" s="3455">
        <f t="shared" si="160"/>
        <v>103.75549138573234</v>
      </c>
      <c r="AQ42" s="3455"/>
      <c r="AR42" s="3455">
        <f t="shared" si="161"/>
        <v>102.14296221914071</v>
      </c>
    </row>
    <row r="43" spans="1:44" s="3182" customFormat="1" ht="12.75">
      <c r="A43" s="3173" t="s">
        <v>3365</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55">
        <f t="shared" si="129"/>
        <v>103.96000000000001</v>
      </c>
      <c r="AH43" s="3455">
        <f t="shared" si="130"/>
        <v>102.69999999999999</v>
      </c>
      <c r="AI43" s="3455">
        <f t="shared" si="131"/>
        <v>106.67999999999999</v>
      </c>
      <c r="AJ43" s="3457"/>
      <c r="AK43" s="3455">
        <f t="shared" si="132"/>
        <v>102.69999999999999</v>
      </c>
      <c r="AN43" s="3455">
        <f t="shared" si="148"/>
        <v>102.42534065713295</v>
      </c>
      <c r="AO43" s="3455">
        <f t="shared" si="159"/>
        <v>101.96961387555227</v>
      </c>
      <c r="AP43" s="3455">
        <f t="shared" si="160"/>
        <v>103.21875386563104</v>
      </c>
      <c r="AQ43" s="3455"/>
      <c r="AR43" s="3455">
        <f t="shared" si="161"/>
        <v>101.96961387555227</v>
      </c>
    </row>
    <row r="44" spans="1:44" s="3182" customFormat="1" ht="12.75">
      <c r="A44" s="3173" t="s">
        <v>3363</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55">
        <f t="shared" si="129"/>
        <v>103.44</v>
      </c>
      <c r="AH44" s="3455">
        <f t="shared" si="130"/>
        <v>102.24</v>
      </c>
      <c r="AI44" s="3455">
        <f t="shared" si="131"/>
        <v>105.74</v>
      </c>
      <c r="AJ44" s="3457"/>
      <c r="AK44" s="3455">
        <f t="shared" si="132"/>
        <v>102.24</v>
      </c>
      <c r="AN44" s="3455">
        <f t="shared" si="148"/>
        <v>101.91576184789349</v>
      </c>
      <c r="AO44" s="3455">
        <f t="shared" si="159"/>
        <v>101.5128062474388</v>
      </c>
      <c r="AP44" s="3455">
        <f t="shared" si="160"/>
        <v>102.30821078960358</v>
      </c>
      <c r="AQ44" s="3455"/>
      <c r="AR44" s="3455">
        <f t="shared" si="161"/>
        <v>101.5128062474388</v>
      </c>
    </row>
    <row r="45" spans="1:44" s="3182" customFormat="1" ht="12.75">
      <c r="A45" s="3173" t="s">
        <v>3362</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55">
        <f t="shared" si="129"/>
        <v>102.86999999999999</v>
      </c>
      <c r="AH45" s="3455">
        <f t="shared" si="130"/>
        <v>101.64</v>
      </c>
      <c r="AI45" s="3455">
        <f t="shared" si="131"/>
        <v>105.06</v>
      </c>
      <c r="AJ45" s="3457"/>
      <c r="AK45" s="3455">
        <f t="shared" si="132"/>
        <v>101.64</v>
      </c>
      <c r="AN45" s="3455">
        <f t="shared" si="148"/>
        <v>101.35829124604027</v>
      </c>
      <c r="AO45" s="3455">
        <f t="shared" si="159"/>
        <v>100.91739362505101</v>
      </c>
      <c r="AP45" s="3455">
        <f t="shared" si="160"/>
        <v>101.6576021359336</v>
      </c>
      <c r="AQ45" s="3455"/>
      <c r="AR45" s="3455">
        <f t="shared" si="161"/>
        <v>100.91739362505101</v>
      </c>
    </row>
    <row r="46" spans="1:44" s="3182" customFormat="1" ht="12.75">
      <c r="A46" s="3173" t="s">
        <v>3361</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55">
        <f t="shared" si="129"/>
        <v>102.41</v>
      </c>
      <c r="AH46" s="3455">
        <f t="shared" si="130"/>
        <v>101.44</v>
      </c>
      <c r="AI46" s="3455">
        <f t="shared" si="131"/>
        <v>104.67</v>
      </c>
      <c r="AJ46" s="3457"/>
      <c r="AK46" s="3455">
        <f t="shared" si="132"/>
        <v>101.44</v>
      </c>
      <c r="AN46" s="3455">
        <f t="shared" si="148"/>
        <v>100.90422224593357</v>
      </c>
      <c r="AO46" s="3455">
        <f t="shared" si="159"/>
        <v>100.71596170164771</v>
      </c>
      <c r="AP46" s="3455">
        <f t="shared" si="160"/>
        <v>101.2727656265527</v>
      </c>
      <c r="AQ46" s="3455"/>
      <c r="AR46" s="3455">
        <f t="shared" si="161"/>
        <v>100.71596170164771</v>
      </c>
    </row>
    <row r="47" spans="1:44" s="3182" customFormat="1" ht="12.75">
      <c r="A47" s="3173" t="s">
        <v>3351</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55">
        <f t="shared" si="129"/>
        <v>102.10999999999999</v>
      </c>
      <c r="AH47" s="3455">
        <f t="shared" si="130"/>
        <v>101.14000000000001</v>
      </c>
      <c r="AI47" s="3455">
        <f t="shared" si="131"/>
        <v>103.81</v>
      </c>
      <c r="AJ47" s="3457"/>
      <c r="AK47" s="3455">
        <f t="shared" si="132"/>
        <v>101.14000000000001</v>
      </c>
      <c r="AN47" s="3455">
        <f t="shared" si="148"/>
        <v>100.60241500093079</v>
      </c>
      <c r="AO47" s="3455">
        <f t="shared" si="159"/>
        <v>100.42472998469212</v>
      </c>
      <c r="AP47" s="3455">
        <f t="shared" si="160"/>
        <v>100.43912092289268</v>
      </c>
      <c r="AQ47" s="3455"/>
      <c r="AR47" s="3455">
        <f t="shared" si="161"/>
        <v>100.42472998469212</v>
      </c>
    </row>
    <row r="48" spans="1:44" s="3182" customFormat="1" ht="12.75">
      <c r="A48" s="3173" t="s">
        <v>2833</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55">
        <f t="shared" si="129"/>
        <v>102.22</v>
      </c>
      <c r="AH48" s="3455">
        <f t="shared" si="130"/>
        <v>101.27999999999999</v>
      </c>
      <c r="AI48" s="3455">
        <f t="shared" si="131"/>
        <v>103.25999999999999</v>
      </c>
      <c r="AJ48" s="3457"/>
      <c r="AK48" s="3455">
        <f t="shared" si="132"/>
        <v>101.27999999999999</v>
      </c>
      <c r="AN48" s="3455">
        <f t="shared" si="148"/>
        <v>100.71319952040324</v>
      </c>
      <c r="AO48" s="3455">
        <f t="shared" si="159"/>
        <v>100.55545207238622</v>
      </c>
      <c r="AP48" s="3455">
        <f t="shared" si="160"/>
        <v>99.90960004266654</v>
      </c>
      <c r="AQ48" s="3455"/>
      <c r="AR48" s="3455">
        <f t="shared" si="161"/>
        <v>100.55545207238622</v>
      </c>
    </row>
    <row r="49" spans="1:44" s="3182" customFormat="1" ht="12.75">
      <c r="A49" s="3173" t="s">
        <v>2834</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55">
        <f t="shared" si="129"/>
        <v>101.61</v>
      </c>
      <c r="AH49" s="3455">
        <f t="shared" si="130"/>
        <v>100.82</v>
      </c>
      <c r="AI49" s="3455">
        <f t="shared" si="131"/>
        <v>102.71</v>
      </c>
      <c r="AJ49" s="3457"/>
      <c r="AK49" s="3455">
        <f t="shared" si="132"/>
        <v>100.82</v>
      </c>
      <c r="AN49" s="3455">
        <f t="shared" si="148"/>
        <v>100.11252437415828</v>
      </c>
      <c r="AO49" s="3455">
        <f t="shared" si="159"/>
        <v>100.10497966389867</v>
      </c>
      <c r="AP49" s="3455">
        <f t="shared" si="160"/>
        <v>99.382870827281934</v>
      </c>
      <c r="AQ49" s="3455"/>
      <c r="AR49" s="3455">
        <f t="shared" si="161"/>
        <v>100.10497966389867</v>
      </c>
    </row>
    <row r="50" spans="1:44" s="3182" customFormat="1" ht="12.75">
      <c r="A50" s="3173" t="s">
        <v>2835</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55">
        <f t="shared" si="129"/>
        <v>101.02</v>
      </c>
      <c r="AH50" s="3455">
        <f t="shared" si="130"/>
        <v>100.74000000000001</v>
      </c>
      <c r="AI50" s="3455">
        <f t="shared" si="131"/>
        <v>102.02</v>
      </c>
      <c r="AJ50" s="3457"/>
      <c r="AK50" s="3455">
        <f t="shared" si="132"/>
        <v>100.74000000000001</v>
      </c>
      <c r="AN50" s="3455">
        <f t="shared" si="148"/>
        <v>99.535220097592244</v>
      </c>
      <c r="AO50" s="3455">
        <f t="shared" si="159"/>
        <v>100.02495969614176</v>
      </c>
      <c r="AP50" s="3455">
        <f t="shared" si="160"/>
        <v>98.711631731507694</v>
      </c>
      <c r="AQ50" s="3455"/>
      <c r="AR50" s="3455">
        <f t="shared" si="161"/>
        <v>100.02495969614176</v>
      </c>
    </row>
    <row r="51" spans="1:44" s="3182" customFormat="1" ht="12.75">
      <c r="A51" s="3173" t="s">
        <v>2836</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55">
        <f>$AG$52*S51</f>
        <v>100.55000000000001</v>
      </c>
      <c r="AH51" s="3455">
        <f t="shared" ref="AH51:AK51" si="192">$AG$52*T51</f>
        <v>100.46</v>
      </c>
      <c r="AI51" s="3455">
        <f t="shared" si="192"/>
        <v>101.1</v>
      </c>
      <c r="AJ51" s="3457"/>
      <c r="AK51" s="3455">
        <f t="shared" si="192"/>
        <v>100.46</v>
      </c>
      <c r="AN51" s="3455">
        <f t="shared" si="148"/>
        <v>99.069593010443171</v>
      </c>
      <c r="AO51" s="3455">
        <f t="shared" si="159"/>
        <v>99.745671815059609</v>
      </c>
      <c r="AP51" s="3455">
        <f t="shared" si="160"/>
        <v>97.821456477561867</v>
      </c>
      <c r="AQ51" s="3455"/>
      <c r="AR51" s="3455">
        <f t="shared" si="161"/>
        <v>99.745671815059609</v>
      </c>
    </row>
    <row r="52" spans="1:44" s="3204" customFormat="1" ht="14.25" thickBot="1">
      <c r="A52" s="3194" t="s">
        <v>2822</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9">
        <v>100</v>
      </c>
      <c r="AH52" s="3459">
        <v>100</v>
      </c>
      <c r="AI52" s="3459">
        <v>100</v>
      </c>
      <c r="AJ52" s="3459"/>
      <c r="AK52" s="3459">
        <v>100</v>
      </c>
      <c r="AN52" s="3462">
        <f t="shared" si="148"/>
        <v>98.527690711529758</v>
      </c>
      <c r="AO52" s="3462">
        <f t="shared" si="159"/>
        <v>99.288942678737428</v>
      </c>
      <c r="AP52" s="3462">
        <f t="shared" si="160"/>
        <v>96.757128068805017</v>
      </c>
      <c r="AQ52" s="3462"/>
      <c r="AR52" s="3462">
        <f t="shared" si="161"/>
        <v>99.288942678737428</v>
      </c>
    </row>
    <row r="53" spans="1:44" ht="14.25" thickTop="1"/>
    <row r="54" spans="1:44">
      <c r="A54" s="3445"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5" t="s">
        <v>2837</v>
      </c>
      <c r="B1" s="3825"/>
      <c r="C1" s="3825"/>
      <c r="D1" s="3825"/>
      <c r="E1" s="3825"/>
      <c r="F1" s="3825"/>
      <c r="G1" s="3826"/>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823"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824"/>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45825</v>
      </c>
      <c r="D1" s="1300" t="s">
        <v>603</v>
      </c>
      <c r="E1" s="1295">
        <f>'数据-取费表'!B22</f>
        <v>1</v>
      </c>
      <c r="F1" s="1300" t="s">
        <v>604</v>
      </c>
      <c r="G1" s="1296">
        <f ca="1">INDIRECT("d"&amp;$K$1)/100</f>
        <v>0.03</v>
      </c>
      <c r="H1" s="1300" t="s">
        <v>634</v>
      </c>
      <c r="I1" s="1296">
        <f ca="1">F4/100</f>
        <v>1.4999999999999999E-2</v>
      </c>
      <c r="J1" s="1301">
        <f>IF(C1&gt;C13,0,MATCH(C1,C$13:C$115,-1))+IF(SUMIF(C13:C115,C1,D13:D115)=0,13,12)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3" t="s">
        <v>2308</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4" zoomScale="80" zoomScaleNormal="70" zoomScaleSheetLayoutView="80" workbookViewId="0">
      <selection activeCell="K53" sqref="K53:L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3495</v>
      </c>
      <c r="D1" s="1360" t="s">
        <v>43</v>
      </c>
      <c r="E1" s="1361" t="s">
        <v>678</v>
      </c>
      <c r="F1" s="1061">
        <f ca="1">J53</f>
        <v>23</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519</v>
      </c>
      <c r="C2" s="1385" t="s">
        <v>805</v>
      </c>
      <c r="D2" s="1385"/>
      <c r="E2" s="1386"/>
      <c r="F2" s="1387"/>
      <c r="G2" s="2703"/>
      <c r="H2" s="2692"/>
      <c r="I2" s="2692"/>
      <c r="J2" s="2692"/>
      <c r="K2" s="2693"/>
      <c r="L2" s="2692"/>
      <c r="M2" s="2692"/>
    </row>
    <row r="3" spans="1:37" ht="18" customHeight="1" thickBot="1">
      <c r="A3" s="1388" t="s">
        <v>806</v>
      </c>
      <c r="B3" s="1389">
        <f ca="1">IF(ISERROR(B2*10000/F43),0,ROUND(B2*10000/F43,0))</f>
        <v>5705</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45</v>
      </c>
      <c r="D5" s="1362" t="s">
        <v>693</v>
      </c>
      <c r="E5" s="1070"/>
      <c r="F5" s="1071"/>
      <c r="G5" s="1382"/>
      <c r="H5" s="299">
        <v>1</v>
      </c>
      <c r="I5" s="300" t="s">
        <v>692</v>
      </c>
      <c r="J5" s="1069">
        <f ca="1">J6+J10+J12</f>
        <v>0</v>
      </c>
      <c r="K5" s="1362" t="s">
        <v>693</v>
      </c>
      <c r="L5" s="1070"/>
      <c r="M5" s="1071"/>
    </row>
    <row r="6" spans="1:37" ht="18" customHeight="1">
      <c r="A6" s="1068" t="s">
        <v>398</v>
      </c>
      <c r="B6" s="3717" t="s">
        <v>694</v>
      </c>
      <c r="C6" s="1073">
        <f ca="1">ROUND(F6*F8*F7*(1-F9)/10000,0)</f>
        <v>45</v>
      </c>
      <c r="D6" s="155" t="s">
        <v>2108</v>
      </c>
      <c r="E6" s="302" t="s">
        <v>696</v>
      </c>
      <c r="F6" s="303">
        <f ca="1">INDIRECT("'数据-取费表'!u"&amp;$G$1)</f>
        <v>1.5</v>
      </c>
      <c r="G6" s="1382"/>
      <c r="H6" s="1068" t="s">
        <v>398</v>
      </c>
      <c r="I6" s="3717" t="s">
        <v>694</v>
      </c>
      <c r="J6" s="301">
        <f ca="1">ROUND(M6*M8*M7*(1-M9)/10000,0)</f>
        <v>0</v>
      </c>
      <c r="K6" s="155" t="s">
        <v>2107</v>
      </c>
      <c r="L6" s="302" t="s">
        <v>696</v>
      </c>
      <c r="M6" s="303">
        <f ca="1">INDIRECT("'数据-取费表'!z"&amp;$G$1)</f>
        <v>0</v>
      </c>
    </row>
    <row r="7" spans="1:37" ht="18" customHeight="1">
      <c r="A7" s="1072"/>
      <c r="B7" s="3718"/>
      <c r="C7" s="1074"/>
      <c r="D7" s="307"/>
      <c r="E7" s="1075" t="s">
        <v>697</v>
      </c>
      <c r="F7" s="303">
        <f ca="1">IF(INDIRECT("'数据-取费表'!ah"&amp;$G$1)="",INDIRECT("'数据-取费表'!k"&amp;$G$1),INDIRECT("'数据-取费表'!ah"&amp;$G$1))</f>
        <v>909.8</v>
      </c>
      <c r="G7" s="1382"/>
      <c r="H7" s="304"/>
      <c r="I7" s="3718"/>
      <c r="J7" s="306"/>
      <c r="K7" s="307"/>
      <c r="L7" s="302" t="s">
        <v>697</v>
      </c>
      <c r="M7" s="303">
        <f ca="1">F7</f>
        <v>909.8</v>
      </c>
    </row>
    <row r="8" spans="1:37" ht="18" customHeight="1">
      <c r="A8" s="304"/>
      <c r="B8" s="3718"/>
      <c r="C8" s="306"/>
      <c r="D8" s="307"/>
      <c r="E8" s="302" t="s">
        <v>698</v>
      </c>
      <c r="F8" s="303">
        <f ca="1">INDIRECT("'数据-取费表'!ai"&amp;$G$1)</f>
        <v>365</v>
      </c>
      <c r="G8" s="1382"/>
      <c r="H8" s="304"/>
      <c r="I8" s="3718"/>
      <c r="J8" s="306"/>
      <c r="K8" s="307"/>
      <c r="L8" s="302" t="s">
        <v>698</v>
      </c>
      <c r="M8" s="303">
        <f ca="1">INDIRECT("'数据-取费表'!ai"&amp;$G$1)</f>
        <v>365</v>
      </c>
    </row>
    <row r="9" spans="1:37" ht="18" customHeight="1">
      <c r="A9" s="304"/>
      <c r="B9" s="3719"/>
      <c r="C9" s="306"/>
      <c r="D9" s="307"/>
      <c r="E9" s="302" t="s">
        <v>699</v>
      </c>
      <c r="F9" s="312">
        <f ca="1">INDIRECT("'数据-取费表'!w"&amp;$G$1)</f>
        <v>0.1</v>
      </c>
      <c r="G9" s="1382"/>
      <c r="H9" s="304"/>
      <c r="I9" s="371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3418</v>
      </c>
      <c r="G10" s="1382"/>
      <c r="H10" s="1068" t="s">
        <v>402</v>
      </c>
      <c r="I10" s="1363" t="s">
        <v>700</v>
      </c>
      <c r="J10" s="301">
        <f ca="1">ROUND(IF(M10="押一",J6/12*M11,IF(M10="押二",J6/12*2*M11,IF(M10="押三",J6/12*3*M11,J11*M11))),0)</f>
        <v>0</v>
      </c>
      <c r="K10" s="1364" t="s">
        <v>2115</v>
      </c>
      <c r="L10" s="313" t="s">
        <v>701</v>
      </c>
      <c r="M10" s="1115" t="s">
        <v>3418</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307</v>
      </c>
      <c r="D13" s="1080" t="s">
        <v>705</v>
      </c>
      <c r="E13" s="1080" t="s">
        <v>706</v>
      </c>
      <c r="F13" s="1081">
        <f ca="1">INDIRECT("'数据-取费表'!y"&amp;$G$1)</f>
        <v>0.7</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318</v>
      </c>
      <c r="D14" s="1343" t="s">
        <v>708</v>
      </c>
      <c r="E14" s="1340"/>
      <c r="F14" s="319"/>
      <c r="G14" s="1382"/>
      <c r="H14" s="981" t="s">
        <v>398</v>
      </c>
      <c r="I14" s="302" t="s">
        <v>709</v>
      </c>
      <c r="J14" s="21">
        <f ca="1">C29</f>
        <v>439</v>
      </c>
      <c r="K14" s="12"/>
      <c r="L14" s="806"/>
      <c r="M14" s="807"/>
    </row>
    <row r="15" spans="1:37" s="1395" customFormat="1" ht="18" customHeight="1" thickBot="1">
      <c r="A15" s="981" t="s">
        <v>399</v>
      </c>
      <c r="B15" s="302" t="s">
        <v>710</v>
      </c>
      <c r="C15" s="21">
        <f ca="1">ROUND(C14*F15,0)</f>
        <v>16</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v>
      </c>
      <c r="K16" s="1086" t="s">
        <v>715</v>
      </c>
      <c r="L16" s="1087"/>
      <c r="M16" s="1071"/>
    </row>
    <row r="17" spans="1:37" s="1395" customFormat="1" ht="18" customHeight="1">
      <c r="A17" s="981" t="s">
        <v>681</v>
      </c>
      <c r="B17" s="302" t="s">
        <v>716</v>
      </c>
      <c r="C17" s="21">
        <f ca="1">ROUND(F17*(F43+INDIRECT("'数据-取费表'!S"&amp;$G$1))/10000,0)</f>
        <v>18</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8</v>
      </c>
      <c r="D18" s="302" t="s">
        <v>711</v>
      </c>
      <c r="E18" s="302" t="s">
        <v>712</v>
      </c>
      <c r="F18" s="322">
        <f>'数据-取费表'!B36</f>
        <v>2.5000000000000001E-2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360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11</v>
      </c>
      <c r="D20" s="323" t="s">
        <v>729</v>
      </c>
      <c r="E20" s="302" t="s">
        <v>712</v>
      </c>
      <c r="F20" s="322">
        <f>'数据-取费表'!B37</f>
        <v>0.03</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1.32</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4"/>
      <c r="H24" s="1088" t="s">
        <v>684</v>
      </c>
      <c r="I24" s="1089" t="s">
        <v>728</v>
      </c>
      <c r="J24" s="1090">
        <f ca="1">ROUND(J5*M24,2)</f>
        <v>0</v>
      </c>
      <c r="K24" s="1091" t="s">
        <v>748</v>
      </c>
      <c r="L24" s="1089" t="s">
        <v>744</v>
      </c>
      <c r="M24" s="1085">
        <f ca="1">INDIRECT("'数据-取费表'!Am"&amp;$G$1)</f>
        <v>0.02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v>
      </c>
      <c r="K25" s="1094" t="s">
        <v>753</v>
      </c>
      <c r="L25" s="1095"/>
      <c r="M25" s="1096"/>
    </row>
    <row r="26" spans="1:37">
      <c r="A26" s="981" t="s">
        <v>397</v>
      </c>
      <c r="B26" s="302" t="s">
        <v>754</v>
      </c>
      <c r="C26" s="21">
        <f ca="1">ROUND((C19+C20)*F26,0)</f>
        <v>30</v>
      </c>
      <c r="D26" s="323" t="s">
        <v>755</v>
      </c>
      <c r="E26" s="313" t="s">
        <v>756</v>
      </c>
      <c r="F26" s="312">
        <f ca="1">INDIRECT("'数据-取费表'!q"&amp;$G$1)</f>
        <v>0.08</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1.6000000000000001E-3</v>
      </c>
      <c r="D27" s="323" t="s">
        <v>761</v>
      </c>
      <c r="E27" s="320"/>
      <c r="F27" s="321"/>
      <c r="G27" s="1382"/>
      <c r="H27" s="304"/>
      <c r="I27" s="305"/>
      <c r="J27" s="306"/>
      <c r="K27" s="332" t="s">
        <v>762</v>
      </c>
      <c r="L27" s="302" t="s">
        <v>763</v>
      </c>
      <c r="M27" s="333">
        <f ca="1">INDIRECT("'数据-取费表'!ag"&amp;$G$1)</f>
        <v>0</v>
      </c>
      <c r="N27" s="3479">
        <f ca="1">J53-F41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439</v>
      </c>
      <c r="D29" s="1091"/>
      <c r="E29" s="1089"/>
      <c r="F29" s="1092"/>
      <c r="G29" s="1394"/>
      <c r="H29" s="334" t="s">
        <v>396</v>
      </c>
      <c r="I29" s="335" t="s">
        <v>768</v>
      </c>
      <c r="J29" s="336">
        <f ca="1">ROUND(J26/(1+F40)^F41,0)</f>
        <v>0</v>
      </c>
      <c r="K29" s="337" t="s">
        <v>769</v>
      </c>
      <c r="L29" s="338"/>
      <c r="M29" s="339">
        <f ca="1">INDIRECT("'数据-取费表'!k"&amp;$G$1)</f>
        <v>909.8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10</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ROUND(IF(AND(项目基本情况!B11="自然人",项目基本情况!B10="北京市"),C6*F31/(1+'数据-取费表'!C42),C32+C33+C34),2)</f>
        <v>7.5</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1" t="s">
        <v>397</v>
      </c>
      <c r="B32" s="302" t="s">
        <v>723</v>
      </c>
      <c r="C32" s="21">
        <f ca="1">IF(项目基本情况!B11="自然人","——",ROUND(C6*F32/(1+'数据-取费表'!C42),2))</f>
        <v>2.36</v>
      </c>
      <c r="D32" s="1342" t="s">
        <v>724</v>
      </c>
      <c r="E32" s="302" t="s">
        <v>712</v>
      </c>
      <c r="F32" s="331">
        <f>'数据-取费表'!B41</f>
        <v>5.5000000000000007E-2</v>
      </c>
      <c r="G32" s="1382"/>
      <c r="H32" s="2694"/>
      <c r="I32" s="1396"/>
      <c r="J32" s="1397"/>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5.14</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1.32</v>
      </c>
      <c r="D36" s="1342" t="s">
        <v>771</v>
      </c>
      <c r="E36" s="302" t="s">
        <v>712</v>
      </c>
      <c r="F36" s="328">
        <f ca="1">INDIRECT("'数据-取费表'!Ak"&amp;$G$1)</f>
        <v>3.0000000000000001E-3</v>
      </c>
      <c r="G36" s="1382"/>
      <c r="H36" s="2697"/>
      <c r="I36" s="1396"/>
      <c r="J36" s="1397"/>
      <c r="K36" s="2542"/>
      <c r="L36" s="2697"/>
      <c r="M36" s="2697"/>
    </row>
    <row r="37" spans="1:18" ht="18" customHeight="1">
      <c r="A37" s="981" t="s">
        <v>437</v>
      </c>
      <c r="B37" s="302" t="s">
        <v>742</v>
      </c>
      <c r="C37" s="21">
        <f ca="1">ROUND(C13*F37,2)</f>
        <v>0.31</v>
      </c>
      <c r="D37" s="1342" t="s">
        <v>743</v>
      </c>
      <c r="E37" s="302" t="s">
        <v>744</v>
      </c>
      <c r="F37" s="330">
        <f ca="1">INDIRECT("'数据-取费表'!Al"&amp;$G$1)</f>
        <v>1E-3</v>
      </c>
      <c r="G37" s="1382"/>
      <c r="H37" s="2697"/>
      <c r="I37" s="1396"/>
      <c r="J37" s="1397"/>
      <c r="K37" s="2542"/>
      <c r="L37" s="2697"/>
      <c r="M37" s="2697"/>
    </row>
    <row r="38" spans="1:18" ht="18" customHeight="1" thickBot="1">
      <c r="A38" s="1088" t="s">
        <v>684</v>
      </c>
      <c r="B38" s="1089" t="s">
        <v>728</v>
      </c>
      <c r="C38" s="1090">
        <f ca="1">ROUND(C5*F38,2)</f>
        <v>0.9</v>
      </c>
      <c r="D38" s="1091" t="s">
        <v>748</v>
      </c>
      <c r="E38" s="1089" t="s">
        <v>744</v>
      </c>
      <c r="F38" s="1085">
        <f ca="1">INDIRECT("'数据-取费表'!Am"&amp;$G$1)</f>
        <v>0.02</v>
      </c>
      <c r="G38" s="1382"/>
      <c r="H38" s="2697"/>
      <c r="I38" s="1396"/>
      <c r="J38" s="1397"/>
      <c r="K38" s="2701"/>
      <c r="L38" s="2697"/>
      <c r="M38" s="2697"/>
    </row>
    <row r="39" spans="1:18" ht="24.6" customHeight="1" thickTop="1">
      <c r="A39" s="1078" t="s">
        <v>394</v>
      </c>
      <c r="B39" s="1093" t="s">
        <v>772</v>
      </c>
      <c r="C39" s="310">
        <f ca="1">C5-C30</f>
        <v>35</v>
      </c>
      <c r="D39" s="1094" t="s">
        <v>773</v>
      </c>
      <c r="E39" s="1095"/>
      <c r="F39" s="1096"/>
      <c r="G39" s="1382"/>
      <c r="H39" s="2697"/>
      <c r="I39" s="1396"/>
      <c r="J39" s="1397"/>
      <c r="K39" s="2701"/>
      <c r="L39" s="2697"/>
      <c r="M39" s="2697"/>
    </row>
    <row r="40" spans="1:18" ht="18" customHeight="1">
      <c r="A40" s="299" t="s">
        <v>395</v>
      </c>
      <c r="B40" s="300" t="s">
        <v>774</v>
      </c>
      <c r="C40" s="301">
        <f ca="1">ROUND(C39*(1-((1+F42)/(1+F40))^F41)/(F40-F42),0)</f>
        <v>515</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23</v>
      </c>
      <c r="G41" s="1382"/>
      <c r="H41" s="1189"/>
      <c r="I41" s="1396"/>
      <c r="J41" s="1397"/>
      <c r="K41" s="2542"/>
      <c r="L41" s="1189"/>
      <c r="M41" s="1189"/>
    </row>
    <row r="42" spans="1:18" ht="18" customHeight="1">
      <c r="A42" s="308"/>
      <c r="B42" s="309"/>
      <c r="C42" s="310"/>
      <c r="D42" s="327"/>
      <c r="E42" s="302" t="s">
        <v>766</v>
      </c>
      <c r="F42" s="312">
        <f ca="1">INDIRECT("'数据-取费表'!v"&amp;$G$1)</f>
        <v>1.4999999999999999E-2</v>
      </c>
      <c r="G42" s="1382"/>
      <c r="H42" s="1189"/>
      <c r="I42" s="1396"/>
      <c r="J42" s="1397"/>
      <c r="K42" s="2542"/>
      <c r="L42" s="1189"/>
      <c r="M42" s="1189"/>
    </row>
    <row r="43" spans="1:18" ht="18" customHeight="1" thickBot="1">
      <c r="A43" s="334" t="s">
        <v>396</v>
      </c>
      <c r="B43" s="335" t="s">
        <v>776</v>
      </c>
      <c r="C43" s="336">
        <f ca="1">ROUND(C40*10000/F43,0)</f>
        <v>5661</v>
      </c>
      <c r="D43" s="337" t="s">
        <v>777</v>
      </c>
      <c r="E43" s="338" t="s">
        <v>778</v>
      </c>
      <c r="F43" s="339">
        <f ca="1">INDIRECT("'数据-取费表'!k"&amp;$G$1)</f>
        <v>909.8</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-541</v>
      </c>
      <c r="D46" s="1404" t="str">
        <f>C2</f>
        <v>万元</v>
      </c>
      <c r="E46" s="1398"/>
      <c r="F46" s="1398"/>
      <c r="I46" s="1405" t="s">
        <v>810</v>
      </c>
      <c r="J46" s="1406"/>
      <c r="K46" s="1407"/>
      <c r="L46" s="1408">
        <f ca="1">IF(M47="住宅",0,IF(L48&gt;J51,L60,J60))</f>
        <v>4</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3510</v>
      </c>
      <c r="K47" s="1414" t="s">
        <v>816</v>
      </c>
      <c r="L47" s="1415">
        <f ca="1">INDIRECT("'数据-取费表'!d"&amp;$G$1)</f>
        <v>50</v>
      </c>
      <c r="M47" s="1378" t="str">
        <f>IF(ISNUMBER(FIND("住宅",C1)),"住宅","非住宅")</f>
        <v>非住宅</v>
      </c>
      <c r="O47" s="1416" t="s">
        <v>403</v>
      </c>
      <c r="P47" s="1417" t="s">
        <v>817</v>
      </c>
      <c r="Q47" s="1418">
        <f ca="1">C40+J29</f>
        <v>515</v>
      </c>
      <c r="R47" s="1418" t="s">
        <v>818</v>
      </c>
    </row>
    <row r="48" spans="1:18" s="1382" customFormat="1" ht="28.5" thickBot="1">
      <c r="A48" s="1109" t="s">
        <v>438</v>
      </c>
      <c r="B48" s="300" t="s">
        <v>692</v>
      </c>
      <c r="C48" s="1357">
        <f ca="1">C49+C53+C55</f>
        <v>0</v>
      </c>
      <c r="D48" s="1111"/>
      <c r="E48" s="1112"/>
      <c r="F48" s="961"/>
      <c r="G48" s="721"/>
      <c r="H48" s="722"/>
      <c r="I48" s="1419" t="s">
        <v>819</v>
      </c>
      <c r="J48" s="1420" t="s">
        <v>3420</v>
      </c>
      <c r="K48" s="1421" t="s">
        <v>820</v>
      </c>
      <c r="L48" s="1422">
        <f ca="1">INDIRECT("'数据-取费表'!f"&amp;$G$1)</f>
        <v>23.93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'数据-取费表'!N19</f>
        <v>1998</v>
      </c>
      <c r="K49" s="1421" t="s">
        <v>824</v>
      </c>
      <c r="L49" s="1425">
        <f>'土地比较法-住宅、综合'!F65</f>
        <v>376</v>
      </c>
      <c r="O49" s="1426" t="s">
        <v>405</v>
      </c>
      <c r="P49" s="1417" t="s">
        <v>825</v>
      </c>
      <c r="Q49" s="1418">
        <f ca="1">C29</f>
        <v>439</v>
      </c>
      <c r="R49" s="1418" t="s">
        <v>818</v>
      </c>
    </row>
    <row r="50" spans="1:18" s="1382" customFormat="1" ht="13.5" thickBot="1">
      <c r="A50" s="975"/>
      <c r="B50" s="978"/>
      <c r="C50" s="1117"/>
      <c r="D50" s="952"/>
      <c r="E50" s="1055" t="s">
        <v>697</v>
      </c>
      <c r="F50" s="1056">
        <f ca="1">F7</f>
        <v>909.8</v>
      </c>
      <c r="H50" s="722"/>
      <c r="I50" s="1419" t="s">
        <v>826</v>
      </c>
      <c r="J50" s="1427">
        <f>SUMPRODUCT((I63:I65=J47)*(J62:L62=J48)*(J63:L65))</f>
        <v>50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3">
        <f ca="1">F8</f>
        <v>365</v>
      </c>
      <c r="I51" s="1430" t="s">
        <v>829</v>
      </c>
      <c r="J51" s="1431">
        <f>IF(J49="",J50,J49+J50-YEAR('数据-取费表'!B2))</f>
        <v>23</v>
      </c>
      <c r="K51" s="1432" t="s">
        <v>830</v>
      </c>
      <c r="L51" s="1433">
        <f ca="1">ROUND(-PV(INDIRECT("'数据-取费表'!h"&amp;$G$1),J51,(C39-C13*C76),0),0)</f>
        <v>182</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f>'数据-取费表'!I6</f>
        <v>5.5E-2</v>
      </c>
      <c r="O52" s="1426" t="s">
        <v>408</v>
      </c>
      <c r="P52" s="1417" t="s">
        <v>834</v>
      </c>
      <c r="Q52" s="1418">
        <f ca="1">J53</f>
        <v>23</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6">
        <f ca="1">IF(M47="住宅",IF(D1="——",MAX(J51,L48),MAX(J51,L48-'数据-取费表'!B24)),IF(D1="——",MIN(J51,L48),MIN(J51,L48-'数据-取费表'!B24)))</f>
        <v>23</v>
      </c>
      <c r="K53" s="3715" t="s">
        <v>837</v>
      </c>
      <c r="L53" s="3716"/>
      <c r="O53" s="1416" t="s">
        <v>409</v>
      </c>
      <c r="P53" s="1417" t="s">
        <v>838</v>
      </c>
      <c r="Q53" s="1418">
        <f ca="1">Q47+Q48</f>
        <v>515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2">
        <f ca="1">C13</f>
        <v>307</v>
      </c>
      <c r="D56" s="1445"/>
      <c r="E56" s="1446"/>
      <c r="F56" s="1438"/>
      <c r="I56" s="1447" t="s">
        <v>842</v>
      </c>
      <c r="J56" s="1448" t="s">
        <v>3413</v>
      </c>
      <c r="K56" s="1419" t="s">
        <v>843</v>
      </c>
      <c r="L56" s="1422">
        <f ca="1">IF(L48&lt;J51,"——",L48-J53)</f>
        <v>0.92999999999999972</v>
      </c>
      <c r="O56" s="1416" t="s">
        <v>403</v>
      </c>
      <c r="P56" s="1417" t="s">
        <v>817</v>
      </c>
      <c r="Q56" s="1418">
        <f ca="1">C40+J29</f>
        <v>515</v>
      </c>
      <c r="R56" s="1418" t="s">
        <v>818</v>
      </c>
    </row>
    <row r="57" spans="1:18" s="1382" customFormat="1" ht="24.75" thickBot="1">
      <c r="A57" s="1449"/>
      <c r="B57" s="949" t="s">
        <v>767</v>
      </c>
      <c r="C57" s="238">
        <f ca="1">C29</f>
        <v>439</v>
      </c>
      <c r="D57" s="1450"/>
      <c r="E57" s="1451"/>
      <c r="F57" s="1452"/>
      <c r="I57" s="1453" t="s">
        <v>844</v>
      </c>
      <c r="J57" s="1454" t="str">
        <f ca="1">IF(OR(M47="住宅",J51&lt;L48,J56="是"),"——",J51-L48)</f>
        <v>——</v>
      </c>
      <c r="K57" s="1419" t="s">
        <v>845</v>
      </c>
      <c r="L57" s="1422">
        <f ca="1">IF(L48&lt;J51,"——",IF(L55="比较法",L49,IF(L55="基准地价",L50,L51)))</f>
        <v>182</v>
      </c>
      <c r="O57" s="1416" t="s">
        <v>404</v>
      </c>
      <c r="P57" s="1417" t="s">
        <v>846</v>
      </c>
      <c r="Q57" s="1418">
        <f ca="1">L60</f>
        <v>4</v>
      </c>
      <c r="R57" s="1418" t="s">
        <v>847</v>
      </c>
    </row>
    <row r="58" spans="1:18" s="1382" customFormat="1" ht="24.75" thickBot="1">
      <c r="A58" s="315" t="s">
        <v>393</v>
      </c>
      <c r="B58" s="957" t="s">
        <v>714</v>
      </c>
      <c r="C58" s="316">
        <f ca="1">ROUND(C59+C64+C65+C66,0)</f>
        <v>2</v>
      </c>
      <c r="D58" s="959" t="s">
        <v>715</v>
      </c>
      <c r="E58" s="960"/>
      <c r="F58" s="961"/>
      <c r="I58" s="1453" t="s">
        <v>848</v>
      </c>
      <c r="J58" s="1455" t="e">
        <f ca="1">IF(J55&lt;0.4,0.4,J55)</f>
        <v>#VALUE!</v>
      </c>
      <c r="K58" s="1432" t="s">
        <v>849</v>
      </c>
      <c r="L58" s="1422">
        <f ca="1">ROUND(POWER(1+L52,L47-L48)*(POWER(1+L52,L48)-1)/(POWER(1+L52,L47)-1),4)</f>
        <v>0.77559999999999996</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0.76039999999999996</v>
      </c>
      <c r="M59" s="1378">
        <f ca="1">ROUND(POWER(1+L52,L47-(J51+'数据-取费表'!B24))*(POWER(1+L52,(J51+'数据-取费表'!B24))-1)/(POWER(1+L52,L47)-1),4)</f>
        <v>0.76039999999999996</v>
      </c>
      <c r="N59" s="1378">
        <f ca="1">ROUND(POWER(1+L52,L47-(J51+'数据-取费表'!B20))*(POWER(1+L52,(J51+'数据-取费表'!B20))-1)/(POWER(1+L52,L47)-1),4)</f>
        <v>0.77680000000000005</v>
      </c>
      <c r="O59" s="1426" t="s">
        <v>406</v>
      </c>
      <c r="P59" s="1417" t="s">
        <v>852</v>
      </c>
      <c r="Q59" s="1429">
        <f>L52</f>
        <v>5.5E-2</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str">
        <f ca="1">IF(OR(M47="住宅",J51&lt;L48,J56="是"),"0",ROUND(J59/(1+J52)^J53,0))</f>
        <v>0</v>
      </c>
      <c r="K60" s="1458" t="s">
        <v>854</v>
      </c>
      <c r="L60" s="1457">
        <f ca="1">IF(OR(M47="住宅",L48&lt;J51),0,ROUND(L57*(L58/L59-1),0))</f>
        <v>4</v>
      </c>
      <c r="O60" s="1426" t="s">
        <v>407</v>
      </c>
      <c r="P60" s="1417" t="s">
        <v>855</v>
      </c>
      <c r="Q60" s="1418">
        <f ca="1">L58</f>
        <v>0.77559999999999996</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f ca="1">L59</f>
        <v>0.76039999999999996</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519</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1.32</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0.31</v>
      </c>
      <c r="D65" s="963" t="s">
        <v>743</v>
      </c>
      <c r="E65" s="949" t="s">
        <v>744</v>
      </c>
      <c r="F65" s="330">
        <f t="shared" ca="1" si="0"/>
        <v>1E-3</v>
      </c>
      <c r="I65" s="1460" t="s">
        <v>867</v>
      </c>
      <c r="J65" s="1461">
        <v>40</v>
      </c>
      <c r="K65" s="1461">
        <v>30</v>
      </c>
      <c r="L65" s="1461">
        <v>50</v>
      </c>
      <c r="M65" s="1463">
        <v>0.02</v>
      </c>
      <c r="O65" s="1416" t="s">
        <v>403</v>
      </c>
      <c r="P65" s="1417" t="s">
        <v>868</v>
      </c>
      <c r="Q65" s="1418">
        <f ca="1">C40+J29</f>
        <v>515</v>
      </c>
      <c r="R65" s="1418" t="s">
        <v>818</v>
      </c>
    </row>
    <row r="66" spans="1:18" s="1382" customFormat="1" ht="16.5" thickBot="1">
      <c r="A66" s="981" t="s">
        <v>793</v>
      </c>
      <c r="B66" s="949" t="s">
        <v>728</v>
      </c>
      <c r="C66" s="21">
        <f ca="1">ROUND(C48*F66,2)</f>
        <v>0</v>
      </c>
      <c r="D66" s="963" t="s">
        <v>794</v>
      </c>
      <c r="E66" s="949" t="s">
        <v>712</v>
      </c>
      <c r="F66" s="312">
        <f t="shared" ca="1" si="0"/>
        <v>0.02</v>
      </c>
      <c r="O66" s="1416" t="s">
        <v>404</v>
      </c>
      <c r="P66" s="1417" t="s">
        <v>846</v>
      </c>
      <c r="Q66" s="1418">
        <f ca="1">L60</f>
        <v>4</v>
      </c>
      <c r="R66" s="1418" t="s">
        <v>869</v>
      </c>
    </row>
    <row r="67" spans="1:18" s="1382" customFormat="1" ht="16.5" thickBot="1">
      <c r="A67" s="956" t="s">
        <v>394</v>
      </c>
      <c r="B67" s="966" t="s">
        <v>752</v>
      </c>
      <c r="C67" s="316">
        <f ca="1">C48-C58</f>
        <v>-2</v>
      </c>
      <c r="D67" s="962" t="s">
        <v>753</v>
      </c>
      <c r="E67" s="967"/>
      <c r="F67" s="968"/>
      <c r="O67" s="1426" t="s">
        <v>405</v>
      </c>
      <c r="P67" s="1417" t="s">
        <v>850</v>
      </c>
      <c r="Q67" s="1464">
        <f ca="1">L51</f>
        <v>182</v>
      </c>
      <c r="R67" s="1418" t="s">
        <v>870</v>
      </c>
    </row>
    <row r="68" spans="1:18" s="1382" customFormat="1" ht="16.5" thickBot="1">
      <c r="A68" s="946" t="s">
        <v>395</v>
      </c>
      <c r="B68" s="947" t="s">
        <v>774</v>
      </c>
      <c r="C68" s="301">
        <f ca="1">ROUND(C67*(1-((1+F70)/(1+F68))^F69)/(F68-F70),0)</f>
        <v>-26</v>
      </c>
      <c r="D68" s="964" t="s">
        <v>758</v>
      </c>
      <c r="E68" s="949" t="s">
        <v>759</v>
      </c>
      <c r="F68" s="312">
        <f ca="1">F40</f>
        <v>5.5E-2</v>
      </c>
      <c r="O68" s="1426" t="s">
        <v>406</v>
      </c>
      <c r="P68" s="1465" t="s">
        <v>871</v>
      </c>
      <c r="Q68" s="1418">
        <f ca="1">ROUND(Q69-Q70*Q71,0)</f>
        <v>14</v>
      </c>
      <c r="R68" s="1418" t="s">
        <v>414</v>
      </c>
    </row>
    <row r="69" spans="1:18" s="1382" customFormat="1" ht="13.5" thickBot="1">
      <c r="A69" s="950"/>
      <c r="B69" s="951"/>
      <c r="C69" s="306"/>
      <c r="D69" s="969" t="s">
        <v>762</v>
      </c>
      <c r="E69" s="949" t="s">
        <v>763</v>
      </c>
      <c r="F69" s="333">
        <f ca="1">F41</f>
        <v>23</v>
      </c>
      <c r="O69" s="1426" t="s">
        <v>411</v>
      </c>
      <c r="P69" s="1465" t="s">
        <v>872</v>
      </c>
      <c r="Q69" s="1418">
        <f ca="1">C39</f>
        <v>35</v>
      </c>
      <c r="R69" s="1418" t="s">
        <v>818</v>
      </c>
    </row>
    <row r="70" spans="1:18" s="1382" customFormat="1" ht="13.5" thickBot="1">
      <c r="A70" s="953"/>
      <c r="B70" s="954"/>
      <c r="C70" s="310"/>
      <c r="D70" s="965"/>
      <c r="E70" s="949" t="s">
        <v>766</v>
      </c>
      <c r="F70" s="1053"/>
      <c r="O70" s="1426" t="s">
        <v>412</v>
      </c>
      <c r="P70" s="1465" t="s">
        <v>873</v>
      </c>
      <c r="Q70" s="1418">
        <f ca="1">C13</f>
        <v>307</v>
      </c>
      <c r="R70" s="1418" t="s">
        <v>818</v>
      </c>
    </row>
    <row r="71" spans="1:18" s="1382" customFormat="1" ht="13.5" thickBot="1">
      <c r="A71" s="970" t="s">
        <v>396</v>
      </c>
      <c r="B71" s="971" t="s">
        <v>776</v>
      </c>
      <c r="C71" s="336">
        <f ca="1">ROUND(C68*10000/F71,0)</f>
        <v>-286</v>
      </c>
      <c r="D71" s="972" t="s">
        <v>777</v>
      </c>
      <c r="E71" s="973" t="s">
        <v>778</v>
      </c>
      <c r="F71" s="339">
        <f ca="1">F43</f>
        <v>909.8</v>
      </c>
      <c r="O71" s="1426" t="s">
        <v>413</v>
      </c>
      <c r="P71" s="1465" t="s">
        <v>874</v>
      </c>
      <c r="Q71" s="1429">
        <f ca="1">C76</f>
        <v>7.0000000000000007E-2</v>
      </c>
      <c r="R71" s="1418"/>
    </row>
    <row r="72" spans="1:18" s="1382" customFormat="1" ht="13.5" thickBot="1">
      <c r="B72" s="725"/>
      <c r="C72" s="725"/>
      <c r="O72" s="1426" t="s">
        <v>407</v>
      </c>
      <c r="P72" s="1417" t="s">
        <v>852</v>
      </c>
      <c r="Q72" s="1429">
        <f>L52</f>
        <v>5.5E-2</v>
      </c>
      <c r="R72" s="1418"/>
    </row>
    <row r="73" spans="1:18" ht="16.5" thickBot="1">
      <c r="A73" s="1382"/>
      <c r="B73" s="725"/>
      <c r="C73" s="725"/>
      <c r="D73" s="1382"/>
      <c r="E73" s="1382"/>
      <c r="F73" s="1382"/>
      <c r="O73" s="1426" t="s">
        <v>408</v>
      </c>
      <c r="P73" s="1417" t="s">
        <v>855</v>
      </c>
      <c r="Q73" s="1418">
        <f ca="1">L58</f>
        <v>0.77559999999999996</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0.76039999999999996</v>
      </c>
      <c r="R74" s="1418" t="s">
        <v>857</v>
      </c>
    </row>
    <row r="75" spans="1:18" ht="13.5" thickBot="1">
      <c r="A75" s="1382"/>
      <c r="B75" s="340" t="s">
        <v>795</v>
      </c>
      <c r="C75" s="341">
        <f ca="1">ROUND(C13*C76,0)</f>
        <v>21</v>
      </c>
      <c r="D75" s="1382"/>
      <c r="E75" s="1382"/>
      <c r="F75" s="1382"/>
      <c r="K75" s="1400"/>
      <c r="L75" s="1382"/>
      <c r="O75" s="1416" t="s">
        <v>409</v>
      </c>
      <c r="P75" s="1417" t="s">
        <v>838</v>
      </c>
      <c r="Q75" s="1418">
        <f ca="1">Q65+Q66</f>
        <v>519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v>
      </c>
    </row>
    <row r="80" spans="1:18">
      <c r="B80" s="340" t="s">
        <v>800</v>
      </c>
      <c r="C80" s="274">
        <f ca="1">ROUND(C75/C39,3)</f>
        <v>0.6</v>
      </c>
    </row>
    <row r="81" spans="2:3">
      <c r="B81" s="270" t="s">
        <v>801</v>
      </c>
      <c r="C81" s="238"/>
    </row>
    <row r="82" spans="2:3">
      <c r="B82" s="273" t="s">
        <v>802</v>
      </c>
      <c r="C82" s="275">
        <f ca="1">1-C83</f>
        <v>0.40400000000000003</v>
      </c>
    </row>
    <row r="83" spans="2:3">
      <c r="B83" s="273" t="s">
        <v>803</v>
      </c>
      <c r="C83" s="274">
        <f ca="1">ROUND(C13/C40,3)</f>
        <v>0.59599999999999997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9" workbookViewId="0">
      <selection activeCell="A405" sqref="A40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3" t="s">
        <v>925</v>
      </c>
      <c r="E3" s="853" t="s">
        <v>931</v>
      </c>
      <c r="F3" s="853" t="s">
        <v>925</v>
      </c>
      <c r="G3" s="853" t="s">
        <v>926</v>
      </c>
      <c r="H3" s="853" t="s">
        <v>925</v>
      </c>
      <c r="I3" s="853" t="s">
        <v>926</v>
      </c>
    </row>
    <row r="4" spans="1:9" ht="30">
      <c r="A4" s="1503" t="str">
        <f>项目基本情况!S2</f>
        <v>北京市房山区阎村镇焦庄村西大件路北侧1号楼2层商业用房房地产</v>
      </c>
      <c r="B4" s="853">
        <f>项目基本情况!C17</f>
        <v>909.8</v>
      </c>
      <c r="C4" s="853">
        <f>项目基本情况!C18</f>
        <v>0</v>
      </c>
      <c r="D4" s="853">
        <f ca="1">结果表!D118</f>
        <v>448</v>
      </c>
      <c r="E4" s="853">
        <f ca="1">结果表!E118</f>
        <v>4926</v>
      </c>
      <c r="F4" s="853">
        <f ca="1">结果表!F118</f>
        <v>276</v>
      </c>
      <c r="G4" s="853">
        <f ca="1">结果表!G118</f>
        <v>3032</v>
      </c>
      <c r="H4" s="853">
        <f ca="1">结果表!H118</f>
        <v>724</v>
      </c>
      <c r="I4" s="853">
        <f ca="1">结果表!I118</f>
        <v>7958</v>
      </c>
    </row>
    <row r="5" spans="1:9" ht="30" customHeight="1">
      <c r="A5" s="3498" t="s">
        <v>927</v>
      </c>
      <c r="B5" s="3498"/>
      <c r="C5" s="3498"/>
      <c r="D5" s="3498" t="str">
        <f ca="1">结果表!D119</f>
        <v>肆佰肆拾捌万元整</v>
      </c>
      <c r="E5" s="3498"/>
      <c r="F5" s="3498" t="str">
        <f ca="1">结果表!F119</f>
        <v>贰佰柒拾陆万元整</v>
      </c>
      <c r="G5" s="3498"/>
      <c r="H5" s="3498" t="str">
        <f ca="1">结果表!H119</f>
        <v>柒佰贰拾肆万元整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724</v>
      </c>
      <c r="E8" s="3499"/>
      <c r="F8" s="3499"/>
      <c r="G8" s="3499"/>
      <c r="H8" s="3499"/>
      <c r="I8" s="3499"/>
    </row>
    <row r="9" spans="1:9" ht="15">
      <c r="A9" s="3498" t="s">
        <v>927</v>
      </c>
      <c r="B9" s="3498"/>
      <c r="C9" s="3498"/>
      <c r="D9" s="3498" t="str">
        <f ca="1">结果表!D123</f>
        <v>柒佰贰拾肆万元整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5" t="s">
        <v>949</v>
      </c>
      <c r="B1" s="3505"/>
      <c r="C1" s="3505"/>
      <c r="D1" s="3505"/>
    </row>
    <row r="2" spans="1:4" ht="18">
      <c r="A2" s="3506" t="s">
        <v>933</v>
      </c>
      <c r="B2" s="3506"/>
      <c r="C2" s="3506"/>
      <c r="D2" s="350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6" t="s">
        <v>939</v>
      </c>
      <c r="B6" s="3506"/>
      <c r="C6" s="3506"/>
      <c r="D6" s="350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9" t="s">
        <v>956</v>
      </c>
      <c r="B15" s="3514" t="s">
        <v>109</v>
      </c>
      <c r="C15" s="3515"/>
    </row>
    <row r="16" spans="1:7" ht="13.5">
      <c r="A16" s="3520"/>
      <c r="B16" s="3514" t="s">
        <v>42</v>
      </c>
      <c r="C16" s="3515"/>
    </row>
    <row r="17" spans="1:3" ht="13.5">
      <c r="A17" s="3520"/>
      <c r="B17" s="3517" t="s">
        <v>957</v>
      </c>
      <c r="C17" s="1530" t="s">
        <v>956</v>
      </c>
    </row>
    <row r="18" spans="1:3" ht="13.5">
      <c r="A18" s="3520"/>
      <c r="B18" s="3517"/>
      <c r="C18" s="1530" t="s">
        <v>958</v>
      </c>
    </row>
    <row r="19" spans="1:3" ht="13.5">
      <c r="A19" s="3520"/>
      <c r="B19" s="3517"/>
      <c r="C19" s="1530" t="s">
        <v>959</v>
      </c>
    </row>
    <row r="20" spans="1:3" ht="13.5">
      <c r="A20" s="3521"/>
      <c r="B20" s="3516" t="s">
        <v>960</v>
      </c>
      <c r="C20" s="3515"/>
    </row>
    <row r="21" spans="1:3" ht="13.5">
      <c r="A21" s="1531" t="s">
        <v>961</v>
      </c>
      <c r="B21" s="1532"/>
      <c r="C21" s="1533"/>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0" t="s">
        <v>967</v>
      </c>
    </row>
    <row r="26" spans="1:3" ht="13.5">
      <c r="A26" s="3518"/>
      <c r="B26" s="3517"/>
      <c r="C26" s="1530" t="s">
        <v>968</v>
      </c>
    </row>
    <row r="27" spans="1:3" ht="13.5">
      <c r="A27" s="3518"/>
      <c r="B27" s="3517"/>
      <c r="C27" s="1530" t="s">
        <v>969</v>
      </c>
    </row>
    <row r="28" spans="1:3" ht="13.5">
      <c r="A28" s="3518"/>
      <c r="B28" s="3517"/>
      <c r="C28" s="1530" t="s">
        <v>970</v>
      </c>
    </row>
    <row r="29" spans="1:3" ht="13.5">
      <c r="A29" s="3518"/>
      <c r="B29" s="3517"/>
      <c r="C29" s="1530" t="s">
        <v>971</v>
      </c>
    </row>
    <row r="30" spans="1:3" ht="13.5">
      <c r="A30" s="3518"/>
      <c r="B30" s="3517"/>
      <c r="C30" s="1530" t="s">
        <v>972</v>
      </c>
    </row>
    <row r="31" spans="1:3" ht="13.5">
      <c r="A31" s="3518"/>
      <c r="B31" s="3517"/>
      <c r="C31" s="1530" t="s">
        <v>973</v>
      </c>
    </row>
    <row r="32" spans="1:3" ht="13.5">
      <c r="A32" s="3518"/>
      <c r="B32" s="3517"/>
      <c r="C32" s="1530" t="s">
        <v>974</v>
      </c>
    </row>
    <row r="33" spans="1:3" ht="13.5">
      <c r="A33" s="3518"/>
      <c r="B33" s="351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1"/>
      <c r="E18" s="3524" t="s">
        <v>2161</v>
      </c>
      <c r="F18" s="3523"/>
      <c r="G18" s="352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土地比较法-住宅、综合</vt:lpstr>
      <vt:lpstr>土地案例</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收益法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2025-06-17T07:29:34Z</dcterms:modified>
</cp:coreProperties>
</file>