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4785" yWindow="165" windowWidth="4800" windowHeight="10425" tabRatio="895"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工业" sheetId="15" r:id="rId23"/>
    <sheet name="收益法-车库" sheetId="78" state="hidden" r:id="rId24"/>
    <sheet name="收益法 (元)" sheetId="67"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 name="Sheet1" sheetId="79"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'收益法-车库'!$A$1:$AK$69</definedName>
    <definedName name="_xlnm.Print_Area" localSheetId="22">'收益法-工业'!$A$1:$AK$69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5" i="74" l="1"/>
  <c r="C15" i="74"/>
  <c r="B15" i="74"/>
  <c r="BB11" i="3"/>
  <c r="BC11" i="3"/>
  <c r="BD11" i="3"/>
  <c r="BE11" i="3"/>
  <c r="BF11" i="3"/>
  <c r="BG11" i="3"/>
  <c r="BH11" i="3"/>
  <c r="BI11" i="3"/>
  <c r="BJ11" i="3"/>
  <c r="BK11" i="3"/>
  <c r="BM11" i="3"/>
  <c r="BN11" i="3"/>
  <c r="BO11" i="3"/>
  <c r="BP11" i="3"/>
  <c r="BQ11" i="3"/>
  <c r="BR11" i="3"/>
  <c r="BS11" i="3"/>
  <c r="BT11" i="3"/>
  <c r="F5" i="3"/>
  <c r="H13" i="3"/>
  <c r="AC13" i="3"/>
  <c r="G13" i="3"/>
  <c r="I14" i="3"/>
  <c r="H14" i="3"/>
  <c r="AN14" i="3"/>
  <c r="AC14" i="3"/>
  <c r="AT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L14" i="3"/>
  <c r="AZ14" i="3"/>
  <c r="BO14" i="3"/>
  <c r="BP14" i="3"/>
  <c r="BQ14" i="3"/>
  <c r="BR14" i="3"/>
  <c r="BS14" i="3"/>
  <c r="BT14" i="3"/>
  <c r="BB15" i="3"/>
  <c r="BC15" i="3"/>
  <c r="BA15" i="3"/>
  <c r="AZ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c r="AZ16" i="3"/>
  <c r="BO16" i="3"/>
  <c r="BP16" i="3"/>
  <c r="BQ16" i="3"/>
  <c r="BR16" i="3"/>
  <c r="BS16" i="3"/>
  <c r="BT16" i="3"/>
  <c r="BB17" i="3"/>
  <c r="BC17" i="3"/>
  <c r="BA17" i="3"/>
  <c r="AZ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c r="AZ18" i="3"/>
  <c r="BO18" i="3"/>
  <c r="BP18" i="3"/>
  <c r="BQ18" i="3"/>
  <c r="BR18" i="3"/>
  <c r="BS18" i="3"/>
  <c r="BT18" i="3"/>
  <c r="BB19" i="3"/>
  <c r="BC19" i="3"/>
  <c r="BA19" i="3"/>
  <c r="AZ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c r="AZ20" i="3"/>
  <c r="BO20" i="3"/>
  <c r="BP20" i="3"/>
  <c r="BQ20" i="3"/>
  <c r="BR20" i="3"/>
  <c r="BS20" i="3"/>
  <c r="BT20" i="3"/>
  <c r="BB21" i="3"/>
  <c r="BC21" i="3"/>
  <c r="BA21" i="3"/>
  <c r="AZ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c r="AZ22" i="3"/>
  <c r="BO22" i="3"/>
  <c r="BP22" i="3"/>
  <c r="BQ22" i="3"/>
  <c r="BR22" i="3"/>
  <c r="BS22" i="3"/>
  <c r="BT22" i="3"/>
  <c r="BB23" i="3"/>
  <c r="BC23" i="3"/>
  <c r="BA23" i="3"/>
  <c r="AZ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c r="AZ24" i="3"/>
  <c r="BO24" i="3"/>
  <c r="BP24" i="3"/>
  <c r="BQ24" i="3"/>
  <c r="BR24" i="3"/>
  <c r="BS24" i="3"/>
  <c r="BT24" i="3"/>
  <c r="BB25" i="3"/>
  <c r="BC25" i="3"/>
  <c r="BA25" i="3"/>
  <c r="AZ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c r="AZ26" i="3"/>
  <c r="BO26" i="3"/>
  <c r="BP26" i="3"/>
  <c r="BQ26" i="3"/>
  <c r="BR26" i="3"/>
  <c r="BS26" i="3"/>
  <c r="BT26" i="3"/>
  <c r="BB27" i="3"/>
  <c r="BC27" i="3"/>
  <c r="BA27" i="3"/>
  <c r="AZ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c r="AZ28" i="3"/>
  <c r="BO28" i="3"/>
  <c r="BP28" i="3"/>
  <c r="BQ28" i="3"/>
  <c r="BR28" i="3"/>
  <c r="BS28" i="3"/>
  <c r="BT28" i="3"/>
  <c r="BB29" i="3"/>
  <c r="BC29" i="3"/>
  <c r="BA29" i="3"/>
  <c r="AZ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c r="AZ30" i="3"/>
  <c r="BO30" i="3"/>
  <c r="BP30" i="3"/>
  <c r="BQ30" i="3"/>
  <c r="BR30" i="3"/>
  <c r="BS30" i="3"/>
  <c r="BT30" i="3"/>
  <c r="BB31" i="3"/>
  <c r="BC31" i="3"/>
  <c r="BA31" i="3"/>
  <c r="AZ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c r="AZ32" i="3"/>
  <c r="BO32" i="3"/>
  <c r="BP32" i="3"/>
  <c r="BQ32" i="3"/>
  <c r="BR32" i="3"/>
  <c r="BS32" i="3"/>
  <c r="BT32" i="3"/>
  <c r="BB33" i="3"/>
  <c r="BC33" i="3"/>
  <c r="BA33" i="3"/>
  <c r="AZ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L34" i="3"/>
  <c r="AZ34" i="3"/>
  <c r="BO34" i="3"/>
  <c r="BP34" i="3"/>
  <c r="BQ34" i="3"/>
  <c r="BR34" i="3"/>
  <c r="BS34" i="3"/>
  <c r="BT34" i="3"/>
  <c r="BB35" i="3"/>
  <c r="BC35" i="3"/>
  <c r="BA35" i="3"/>
  <c r="AZ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L36" i="3"/>
  <c r="AZ36" i="3"/>
  <c r="BO36" i="3"/>
  <c r="BP36" i="3"/>
  <c r="BQ36" i="3"/>
  <c r="BR36" i="3"/>
  <c r="BS36" i="3"/>
  <c r="BT36" i="3"/>
  <c r="BB37" i="3"/>
  <c r="BC37" i="3"/>
  <c r="BA37" i="3"/>
  <c r="AZ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L38" i="3"/>
  <c r="AZ38" i="3"/>
  <c r="BO38" i="3"/>
  <c r="BP38" i="3"/>
  <c r="BQ38" i="3"/>
  <c r="BR38" i="3"/>
  <c r="BS38" i="3"/>
  <c r="BT38" i="3"/>
  <c r="BB39" i="3"/>
  <c r="BC39" i="3"/>
  <c r="BA39" i="3"/>
  <c r="AZ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c r="AZ40" i="3"/>
  <c r="BO40" i="3"/>
  <c r="BP40" i="3"/>
  <c r="BQ40" i="3"/>
  <c r="BR40" i="3"/>
  <c r="BS40" i="3"/>
  <c r="BT40" i="3"/>
  <c r="BB41" i="3"/>
  <c r="BC41" i="3"/>
  <c r="BA41" i="3"/>
  <c r="AZ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c r="AZ42" i="3"/>
  <c r="BO42" i="3"/>
  <c r="BP42" i="3"/>
  <c r="BQ42" i="3"/>
  <c r="BR42" i="3"/>
  <c r="BS42" i="3"/>
  <c r="BT42" i="3"/>
  <c r="BB43" i="3"/>
  <c r="BC43" i="3"/>
  <c r="BA43" i="3"/>
  <c r="AZ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c r="AZ44" i="3"/>
  <c r="BO44" i="3"/>
  <c r="BP44" i="3"/>
  <c r="BQ44" i="3"/>
  <c r="BR44" i="3"/>
  <c r="BS44" i="3"/>
  <c r="BT44" i="3"/>
  <c r="BB45" i="3"/>
  <c r="BC45" i="3"/>
  <c r="BA45" i="3"/>
  <c r="AZ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c r="AZ46" i="3"/>
  <c r="BO46" i="3"/>
  <c r="BP46" i="3"/>
  <c r="BQ46" i="3"/>
  <c r="BR46" i="3"/>
  <c r="BS46" i="3"/>
  <c r="BT46" i="3"/>
  <c r="BB47" i="3"/>
  <c r="BC47" i="3"/>
  <c r="BA47" i="3"/>
  <c r="AZ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L48" i="3"/>
  <c r="AZ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L57" i="3"/>
  <c r="BO57" i="3"/>
  <c r="BP57" i="3"/>
  <c r="BQ57" i="3"/>
  <c r="BR57" i="3"/>
  <c r="BS57" i="3"/>
  <c r="BT57" i="3"/>
  <c r="BB58" i="3"/>
  <c r="BC58" i="3"/>
  <c r="BA58" i="3"/>
  <c r="AZ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c r="AZ59" i="3"/>
  <c r="BO59" i="3"/>
  <c r="BP59" i="3"/>
  <c r="BQ59" i="3"/>
  <c r="BR59" i="3"/>
  <c r="BS59" i="3"/>
  <c r="BT59" i="3"/>
  <c r="BB60" i="3"/>
  <c r="BC60" i="3"/>
  <c r="BA60" i="3"/>
  <c r="AZ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c r="AZ61" i="3"/>
  <c r="BO61" i="3"/>
  <c r="BP61" i="3"/>
  <c r="BQ61" i="3"/>
  <c r="BR61" i="3"/>
  <c r="BS61" i="3"/>
  <c r="BT61" i="3"/>
  <c r="BB62" i="3"/>
  <c r="BC62" i="3"/>
  <c r="BA62" i="3"/>
  <c r="AZ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c r="AZ63" i="3"/>
  <c r="BO63" i="3"/>
  <c r="BP63" i="3"/>
  <c r="BQ63" i="3"/>
  <c r="BR63" i="3"/>
  <c r="BS63" i="3"/>
  <c r="BT63" i="3"/>
  <c r="BB64" i="3"/>
  <c r="BC64" i="3"/>
  <c r="BA64" i="3"/>
  <c r="AZ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c r="AZ65" i="3"/>
  <c r="BO65" i="3"/>
  <c r="BP65" i="3"/>
  <c r="BQ65" i="3"/>
  <c r="BR65" i="3"/>
  <c r="BS65" i="3"/>
  <c r="BT65" i="3"/>
  <c r="BB66" i="3"/>
  <c r="BC66" i="3"/>
  <c r="BA66" i="3"/>
  <c r="AZ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c r="AZ67" i="3"/>
  <c r="BO67" i="3"/>
  <c r="BP67" i="3"/>
  <c r="BQ67" i="3"/>
  <c r="BR67" i="3"/>
  <c r="BS67" i="3"/>
  <c r="BT67" i="3"/>
  <c r="BB68" i="3"/>
  <c r="BC68" i="3"/>
  <c r="BA68" i="3"/>
  <c r="AZ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c r="AZ69" i="3"/>
  <c r="BO69" i="3"/>
  <c r="BP69" i="3"/>
  <c r="BQ69" i="3"/>
  <c r="BR69" i="3"/>
  <c r="BS69" i="3"/>
  <c r="BT69" i="3"/>
  <c r="BB70" i="3"/>
  <c r="BC70" i="3"/>
  <c r="BA70" i="3"/>
  <c r="AZ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c r="AZ71" i="3"/>
  <c r="BO71" i="3"/>
  <c r="BP71" i="3"/>
  <c r="BQ71" i="3"/>
  <c r="BR71" i="3"/>
  <c r="BS71" i="3"/>
  <c r="BT71" i="3"/>
  <c r="BB72" i="3"/>
  <c r="BC72" i="3"/>
  <c r="BA72" i="3"/>
  <c r="AZ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c r="AZ73" i="3"/>
  <c r="BO73" i="3"/>
  <c r="BP73" i="3"/>
  <c r="BQ73" i="3"/>
  <c r="BR73" i="3"/>
  <c r="BS73" i="3"/>
  <c r="BT73" i="3"/>
  <c r="BB74" i="3"/>
  <c r="BC74" i="3"/>
  <c r="BA74" i="3"/>
  <c r="AZ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c r="AZ75" i="3"/>
  <c r="BO75" i="3"/>
  <c r="BP75" i="3"/>
  <c r="BQ75" i="3"/>
  <c r="BR75" i="3"/>
  <c r="BS75" i="3"/>
  <c r="BT75" i="3"/>
  <c r="BB76" i="3"/>
  <c r="BC76" i="3"/>
  <c r="BA76" i="3"/>
  <c r="AZ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c r="AZ77" i="3"/>
  <c r="BO77" i="3"/>
  <c r="BP77" i="3"/>
  <c r="BQ77" i="3"/>
  <c r="BR77" i="3"/>
  <c r="BS77" i="3"/>
  <c r="BT77" i="3"/>
  <c r="BB78" i="3"/>
  <c r="BC78" i="3"/>
  <c r="BA78" i="3"/>
  <c r="AZ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c r="AZ79" i="3"/>
  <c r="BO79" i="3"/>
  <c r="BP79" i="3"/>
  <c r="BQ79" i="3"/>
  <c r="BR79" i="3"/>
  <c r="BS79" i="3"/>
  <c r="BT79" i="3"/>
  <c r="BB80" i="3"/>
  <c r="BC80" i="3"/>
  <c r="BA80" i="3"/>
  <c r="AZ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c r="AZ81" i="3"/>
  <c r="BO81" i="3"/>
  <c r="BP81" i="3"/>
  <c r="BQ81" i="3"/>
  <c r="BR81" i="3"/>
  <c r="BS81" i="3"/>
  <c r="BT81" i="3"/>
  <c r="BB82" i="3"/>
  <c r="BC82" i="3"/>
  <c r="BA82" i="3"/>
  <c r="AZ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c r="AZ83" i="3"/>
  <c r="BO83" i="3"/>
  <c r="BP83" i="3"/>
  <c r="BQ83" i="3"/>
  <c r="BR83" i="3"/>
  <c r="BS83" i="3"/>
  <c r="BT83" i="3"/>
  <c r="BB84" i="3"/>
  <c r="BC84" i="3"/>
  <c r="BA84" i="3"/>
  <c r="AZ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c r="AZ85" i="3"/>
  <c r="BO85" i="3"/>
  <c r="BP85" i="3"/>
  <c r="BQ85" i="3"/>
  <c r="BR85" i="3"/>
  <c r="BS85" i="3"/>
  <c r="BT85" i="3"/>
  <c r="BB86" i="3"/>
  <c r="BC86" i="3"/>
  <c r="BA86" i="3"/>
  <c r="AZ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c r="AZ87" i="3"/>
  <c r="BO87" i="3"/>
  <c r="BP87" i="3"/>
  <c r="BQ87" i="3"/>
  <c r="BR87" i="3"/>
  <c r="BS87" i="3"/>
  <c r="BT87" i="3"/>
  <c r="BB88" i="3"/>
  <c r="BC88" i="3"/>
  <c r="BA88" i="3"/>
  <c r="AZ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c r="AZ89" i="3"/>
  <c r="BO89" i="3"/>
  <c r="BP89" i="3"/>
  <c r="BQ89" i="3"/>
  <c r="BR89" i="3"/>
  <c r="BS89" i="3"/>
  <c r="BT89" i="3"/>
  <c r="BB90" i="3"/>
  <c r="BC90" i="3"/>
  <c r="BA90" i="3"/>
  <c r="AZ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c r="AZ91" i="3"/>
  <c r="BO91" i="3"/>
  <c r="BP91" i="3"/>
  <c r="BQ91" i="3"/>
  <c r="BR91" i="3"/>
  <c r="BS91" i="3"/>
  <c r="BT91" i="3"/>
  <c r="BB92" i="3"/>
  <c r="BC92" i="3"/>
  <c r="BA92" i="3"/>
  <c r="AZ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c r="AZ93" i="3"/>
  <c r="BO93" i="3"/>
  <c r="BP93" i="3"/>
  <c r="BQ93" i="3"/>
  <c r="BR93" i="3"/>
  <c r="BS93" i="3"/>
  <c r="BT93" i="3"/>
  <c r="BB94" i="3"/>
  <c r="BC94" i="3"/>
  <c r="BA94" i="3"/>
  <c r="AZ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c r="AZ95" i="3"/>
  <c r="BO95" i="3"/>
  <c r="BP95" i="3"/>
  <c r="BQ95" i="3"/>
  <c r="BR95" i="3"/>
  <c r="BS95" i="3"/>
  <c r="BT95" i="3"/>
  <c r="BB96" i="3"/>
  <c r="BC96" i="3"/>
  <c r="BA96" i="3"/>
  <c r="AZ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c r="AZ97" i="3"/>
  <c r="BO97" i="3"/>
  <c r="BP97" i="3"/>
  <c r="BQ97" i="3"/>
  <c r="BR97" i="3"/>
  <c r="BS97" i="3"/>
  <c r="BT97" i="3"/>
  <c r="BB98" i="3"/>
  <c r="BC98" i="3"/>
  <c r="BA98" i="3"/>
  <c r="AZ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c r="AZ99" i="3"/>
  <c r="BO99" i="3"/>
  <c r="BP99" i="3"/>
  <c r="BQ99" i="3"/>
  <c r="BR99" i="3"/>
  <c r="BS99" i="3"/>
  <c r="BT99" i="3"/>
  <c r="BB100" i="3"/>
  <c r="BC100" i="3"/>
  <c r="BA100" i="3"/>
  <c r="AZ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c r="AZ101" i="3"/>
  <c r="BO101" i="3"/>
  <c r="BP101" i="3"/>
  <c r="BQ101" i="3"/>
  <c r="BR101" i="3"/>
  <c r="BS101" i="3"/>
  <c r="BT101" i="3"/>
  <c r="BB102" i="3"/>
  <c r="BC102" i="3"/>
  <c r="BA102" i="3"/>
  <c r="AZ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c r="AZ103" i="3"/>
  <c r="BO103" i="3"/>
  <c r="BP103" i="3"/>
  <c r="BQ103" i="3"/>
  <c r="BR103" i="3"/>
  <c r="BS103" i="3"/>
  <c r="BT103" i="3"/>
  <c r="BB104" i="3"/>
  <c r="BC104" i="3"/>
  <c r="BA104" i="3"/>
  <c r="AZ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c r="AZ105" i="3"/>
  <c r="BO105" i="3"/>
  <c r="BP105" i="3"/>
  <c r="BQ105" i="3"/>
  <c r="BR105" i="3"/>
  <c r="BS105" i="3"/>
  <c r="BT105" i="3"/>
  <c r="BB106" i="3"/>
  <c r="BC106" i="3"/>
  <c r="BA106" i="3"/>
  <c r="AZ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c r="AZ107" i="3"/>
  <c r="BO107" i="3"/>
  <c r="BP107" i="3"/>
  <c r="BQ107" i="3"/>
  <c r="BR107" i="3"/>
  <c r="BS107" i="3"/>
  <c r="BT107" i="3"/>
  <c r="BB108" i="3"/>
  <c r="BC108" i="3"/>
  <c r="BA108" i="3"/>
  <c r="AZ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c r="AZ109" i="3"/>
  <c r="BO109" i="3"/>
  <c r="BP109" i="3"/>
  <c r="BQ109" i="3"/>
  <c r="BR109" i="3"/>
  <c r="BS109" i="3"/>
  <c r="BT109" i="3"/>
  <c r="BB110" i="3"/>
  <c r="BC110" i="3"/>
  <c r="BA110" i="3"/>
  <c r="AZ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c r="AZ111" i="3"/>
  <c r="BO111" i="3"/>
  <c r="BP111" i="3"/>
  <c r="BQ111" i="3"/>
  <c r="BR111" i="3"/>
  <c r="BS111" i="3"/>
  <c r="BT111" i="3"/>
  <c r="BB112" i="3"/>
  <c r="BC112" i="3"/>
  <c r="BA112" i="3"/>
  <c r="AZ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c r="AZ113" i="3"/>
  <c r="BO113" i="3"/>
  <c r="BP113" i="3"/>
  <c r="BQ113" i="3"/>
  <c r="BR113" i="3"/>
  <c r="BS113" i="3"/>
  <c r="BT113" i="3"/>
  <c r="BB114" i="3"/>
  <c r="BC114" i="3"/>
  <c r="BA114" i="3"/>
  <c r="AZ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c r="AZ115" i="3"/>
  <c r="BO115" i="3"/>
  <c r="BP115" i="3"/>
  <c r="BQ115" i="3"/>
  <c r="BR115" i="3"/>
  <c r="BS115" i="3"/>
  <c r="BT115" i="3"/>
  <c r="BB116" i="3"/>
  <c r="BC116" i="3"/>
  <c r="BA116" i="3"/>
  <c r="AZ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c r="AZ117" i="3"/>
  <c r="BO117" i="3"/>
  <c r="BP117" i="3"/>
  <c r="BQ117" i="3"/>
  <c r="BR117" i="3"/>
  <c r="BS117" i="3"/>
  <c r="BT117" i="3"/>
  <c r="BB118" i="3"/>
  <c r="BC118" i="3"/>
  <c r="BA118" i="3"/>
  <c r="AZ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c r="AZ119" i="3"/>
  <c r="BO119" i="3"/>
  <c r="BP119" i="3"/>
  <c r="BQ119" i="3"/>
  <c r="BR119" i="3"/>
  <c r="BS119" i="3"/>
  <c r="BT119" i="3"/>
  <c r="BB120" i="3"/>
  <c r="BC120" i="3"/>
  <c r="BA120" i="3"/>
  <c r="AZ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c r="AZ121" i="3"/>
  <c r="BO121" i="3"/>
  <c r="BP121" i="3"/>
  <c r="BQ121" i="3"/>
  <c r="BR121" i="3"/>
  <c r="BS121" i="3"/>
  <c r="BT121" i="3"/>
  <c r="BB122" i="3"/>
  <c r="BC122" i="3"/>
  <c r="BA122" i="3"/>
  <c r="AZ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c r="AZ123" i="3"/>
  <c r="BO123" i="3"/>
  <c r="BP123" i="3"/>
  <c r="BQ123" i="3"/>
  <c r="BR123" i="3"/>
  <c r="BS123" i="3"/>
  <c r="BT123" i="3"/>
  <c r="BB124" i="3"/>
  <c r="BC124" i="3"/>
  <c r="BA124" i="3"/>
  <c r="AZ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c r="AZ125" i="3"/>
  <c r="BO125" i="3"/>
  <c r="BP125" i="3"/>
  <c r="BQ125" i="3"/>
  <c r="BR125" i="3"/>
  <c r="BS125" i="3"/>
  <c r="BT125" i="3"/>
  <c r="BB126" i="3"/>
  <c r="BC126" i="3"/>
  <c r="BA126" i="3"/>
  <c r="AZ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c r="AZ127" i="3"/>
  <c r="BO127" i="3"/>
  <c r="BP127" i="3"/>
  <c r="BQ127" i="3"/>
  <c r="BR127" i="3"/>
  <c r="BS127" i="3"/>
  <c r="BT127" i="3"/>
  <c r="BB128" i="3"/>
  <c r="BC128" i="3"/>
  <c r="BA128" i="3"/>
  <c r="AZ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c r="AZ129" i="3"/>
  <c r="BO129" i="3"/>
  <c r="BP129" i="3"/>
  <c r="BQ129" i="3"/>
  <c r="BR129" i="3"/>
  <c r="BS129" i="3"/>
  <c r="BT129" i="3"/>
  <c r="BB130" i="3"/>
  <c r="BC130" i="3"/>
  <c r="BA130" i="3"/>
  <c r="AZ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L131" i="3"/>
  <c r="AZ131" i="3"/>
  <c r="BO131" i="3"/>
  <c r="BP131" i="3"/>
  <c r="BQ131" i="3"/>
  <c r="BR131" i="3"/>
  <c r="BS131" i="3"/>
  <c r="BT131" i="3"/>
  <c r="BB132" i="3"/>
  <c r="BC132" i="3"/>
  <c r="BA132" i="3"/>
  <c r="AZ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L133" i="3"/>
  <c r="AZ133" i="3"/>
  <c r="BO133" i="3"/>
  <c r="BP133" i="3"/>
  <c r="BQ133" i="3"/>
  <c r="BR133" i="3"/>
  <c r="BS133" i="3"/>
  <c r="BT133" i="3"/>
  <c r="BB134" i="3"/>
  <c r="BC134" i="3"/>
  <c r="BA134" i="3"/>
  <c r="AZ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c r="AZ135" i="3"/>
  <c r="BO135" i="3"/>
  <c r="BP135" i="3"/>
  <c r="BQ135" i="3"/>
  <c r="BR135" i="3"/>
  <c r="BS135" i="3"/>
  <c r="BT135" i="3"/>
  <c r="BB136" i="3"/>
  <c r="BC136" i="3"/>
  <c r="BA136" i="3"/>
  <c r="AZ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L137" i="3"/>
  <c r="AZ137" i="3"/>
  <c r="BO137" i="3"/>
  <c r="BP137" i="3"/>
  <c r="BQ137" i="3"/>
  <c r="BR137" i="3"/>
  <c r="BS137" i="3"/>
  <c r="BT137" i="3"/>
  <c r="BB138" i="3"/>
  <c r="BC138" i="3"/>
  <c r="BA138" i="3"/>
  <c r="AZ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L139" i="3"/>
  <c r="AZ139" i="3"/>
  <c r="BO139" i="3"/>
  <c r="BP139" i="3"/>
  <c r="BQ139" i="3"/>
  <c r="BR139" i="3"/>
  <c r="BS139" i="3"/>
  <c r="BT139" i="3"/>
  <c r="BB140" i="3"/>
  <c r="BC140" i="3"/>
  <c r="BA140" i="3"/>
  <c r="AZ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L141" i="3"/>
  <c r="AZ141" i="3"/>
  <c r="BO141" i="3"/>
  <c r="BP141" i="3"/>
  <c r="BQ141" i="3"/>
  <c r="BR141" i="3"/>
  <c r="BS141" i="3"/>
  <c r="BT141" i="3"/>
  <c r="BB142" i="3"/>
  <c r="BC142" i="3"/>
  <c r="BA142" i="3"/>
  <c r="AZ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c r="AZ143" i="3"/>
  <c r="BO143" i="3"/>
  <c r="BP143" i="3"/>
  <c r="BQ143" i="3"/>
  <c r="BR143" i="3"/>
  <c r="BS143" i="3"/>
  <c r="BT143" i="3"/>
  <c r="BB144" i="3"/>
  <c r="BC144" i="3"/>
  <c r="BA144" i="3"/>
  <c r="AZ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c r="AZ145" i="3"/>
  <c r="BO145" i="3"/>
  <c r="BP145" i="3"/>
  <c r="BQ145" i="3"/>
  <c r="BR145" i="3"/>
  <c r="BS145" i="3"/>
  <c r="BT145" i="3"/>
  <c r="BB146" i="3"/>
  <c r="BC146" i="3"/>
  <c r="BA146" i="3"/>
  <c r="AZ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c r="AZ147" i="3"/>
  <c r="BO147" i="3"/>
  <c r="BP147" i="3"/>
  <c r="BQ147" i="3"/>
  <c r="BR147" i="3"/>
  <c r="BS147" i="3"/>
  <c r="BT147" i="3"/>
  <c r="BB148" i="3"/>
  <c r="BC148" i="3"/>
  <c r="BA148" i="3"/>
  <c r="AZ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c r="AZ149" i="3"/>
  <c r="BO149" i="3"/>
  <c r="BP149" i="3"/>
  <c r="BQ149" i="3"/>
  <c r="BR149" i="3"/>
  <c r="BS149" i="3"/>
  <c r="BT149" i="3"/>
  <c r="BB150" i="3"/>
  <c r="BC150" i="3"/>
  <c r="BA150" i="3"/>
  <c r="AZ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c r="AZ151" i="3"/>
  <c r="BO151" i="3"/>
  <c r="BP151" i="3"/>
  <c r="BQ151" i="3"/>
  <c r="BR151" i="3"/>
  <c r="BS151" i="3"/>
  <c r="BT151" i="3"/>
  <c r="BB152" i="3"/>
  <c r="BC152" i="3"/>
  <c r="BA152" i="3"/>
  <c r="AZ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c r="AZ153" i="3"/>
  <c r="BO153" i="3"/>
  <c r="BP153" i="3"/>
  <c r="BQ153" i="3"/>
  <c r="BR153" i="3"/>
  <c r="BS153" i="3"/>
  <c r="BT153" i="3"/>
  <c r="BB154" i="3"/>
  <c r="BC154" i="3"/>
  <c r="BA154" i="3"/>
  <c r="AZ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c r="AZ155" i="3"/>
  <c r="BO155" i="3"/>
  <c r="BP155" i="3"/>
  <c r="BQ155" i="3"/>
  <c r="BR155" i="3"/>
  <c r="BS155" i="3"/>
  <c r="BT155" i="3"/>
  <c r="BB156" i="3"/>
  <c r="BC156" i="3"/>
  <c r="BA156" i="3"/>
  <c r="AZ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A166" i="3"/>
  <c r="BM166" i="3"/>
  <c r="BN166" i="3"/>
  <c r="BL166" i="3"/>
  <c r="AZ166" i="3"/>
  <c r="BO166" i="3"/>
  <c r="BP166" i="3"/>
  <c r="BQ166" i="3"/>
  <c r="BR166" i="3"/>
  <c r="BS166" i="3"/>
  <c r="BT166" i="3"/>
  <c r="BB167" i="3"/>
  <c r="BC167" i="3"/>
  <c r="BA167" i="3"/>
  <c r="AZ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c r="AZ168" i="3"/>
  <c r="BO168" i="3"/>
  <c r="BP168" i="3"/>
  <c r="BQ168" i="3"/>
  <c r="BR168" i="3"/>
  <c r="BS168" i="3"/>
  <c r="BT168" i="3"/>
  <c r="BB169" i="3"/>
  <c r="BC169" i="3"/>
  <c r="BA169" i="3"/>
  <c r="AZ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c r="AZ170" i="3"/>
  <c r="BO170" i="3"/>
  <c r="BP170" i="3"/>
  <c r="BQ170" i="3"/>
  <c r="BR170" i="3"/>
  <c r="BS170" i="3"/>
  <c r="BT170" i="3"/>
  <c r="BB171" i="3"/>
  <c r="BC171" i="3"/>
  <c r="BA171" i="3"/>
  <c r="AZ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c r="AZ172" i="3"/>
  <c r="BO172" i="3"/>
  <c r="BP172" i="3"/>
  <c r="BQ172" i="3"/>
  <c r="BR172" i="3"/>
  <c r="BS172" i="3"/>
  <c r="BT172" i="3"/>
  <c r="BB173" i="3"/>
  <c r="BC173" i="3"/>
  <c r="BA173" i="3"/>
  <c r="AZ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c r="AZ174" i="3"/>
  <c r="BO174" i="3"/>
  <c r="BP174" i="3"/>
  <c r="BQ174" i="3"/>
  <c r="BR174" i="3"/>
  <c r="BS174" i="3"/>
  <c r="BT174" i="3"/>
  <c r="BB175" i="3"/>
  <c r="BC175" i="3"/>
  <c r="BA175" i="3"/>
  <c r="AZ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c r="AZ176" i="3"/>
  <c r="BO176" i="3"/>
  <c r="BP176" i="3"/>
  <c r="BQ176" i="3"/>
  <c r="BR176" i="3"/>
  <c r="BS176" i="3"/>
  <c r="BT176" i="3"/>
  <c r="BB177" i="3"/>
  <c r="BC177" i="3"/>
  <c r="BA177" i="3"/>
  <c r="AZ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c r="AZ178" i="3"/>
  <c r="BO178" i="3"/>
  <c r="BP178" i="3"/>
  <c r="BQ178" i="3"/>
  <c r="BR178" i="3"/>
  <c r="BS178" i="3"/>
  <c r="BT178" i="3"/>
  <c r="BB179" i="3"/>
  <c r="BC179" i="3"/>
  <c r="BA179" i="3"/>
  <c r="AZ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c r="AZ180" i="3"/>
  <c r="BO180" i="3"/>
  <c r="BP180" i="3"/>
  <c r="BQ180" i="3"/>
  <c r="BR180" i="3"/>
  <c r="BS180" i="3"/>
  <c r="BT180" i="3"/>
  <c r="BB181" i="3"/>
  <c r="BC181" i="3"/>
  <c r="BA181" i="3"/>
  <c r="AZ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c r="AZ182" i="3"/>
  <c r="BO182" i="3"/>
  <c r="BP182" i="3"/>
  <c r="BQ182" i="3"/>
  <c r="BR182" i="3"/>
  <c r="BS182" i="3"/>
  <c r="BT182" i="3"/>
  <c r="BB183" i="3"/>
  <c r="BC183" i="3"/>
  <c r="BA183" i="3"/>
  <c r="AZ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c r="AZ184" i="3"/>
  <c r="BO184" i="3"/>
  <c r="BP184" i="3"/>
  <c r="BQ184" i="3"/>
  <c r="BR184" i="3"/>
  <c r="BS184" i="3"/>
  <c r="BT184" i="3"/>
  <c r="BB185" i="3"/>
  <c r="BC185" i="3"/>
  <c r="BA185" i="3"/>
  <c r="AZ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c r="AZ186" i="3"/>
  <c r="BO186" i="3"/>
  <c r="BP186" i="3"/>
  <c r="BQ186" i="3"/>
  <c r="BR186" i="3"/>
  <c r="BS186" i="3"/>
  <c r="BT186" i="3"/>
  <c r="BB187" i="3"/>
  <c r="BC187" i="3"/>
  <c r="BA187" i="3"/>
  <c r="AZ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c r="AZ188" i="3"/>
  <c r="BO188" i="3"/>
  <c r="BP188" i="3"/>
  <c r="BQ188" i="3"/>
  <c r="BR188" i="3"/>
  <c r="BS188" i="3"/>
  <c r="BT188" i="3"/>
  <c r="BB189" i="3"/>
  <c r="BC189" i="3"/>
  <c r="BA189" i="3"/>
  <c r="AZ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c r="AZ190" i="3"/>
  <c r="BO190" i="3"/>
  <c r="BP190" i="3"/>
  <c r="BQ190" i="3"/>
  <c r="BR190" i="3"/>
  <c r="BS190" i="3"/>
  <c r="BT190" i="3"/>
  <c r="BB191" i="3"/>
  <c r="BC191" i="3"/>
  <c r="BA191" i="3"/>
  <c r="AZ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c r="AZ192" i="3"/>
  <c r="BO192" i="3"/>
  <c r="BP192" i="3"/>
  <c r="BQ192" i="3"/>
  <c r="BR192" i="3"/>
  <c r="BS192" i="3"/>
  <c r="BT192" i="3"/>
  <c r="BB193" i="3"/>
  <c r="BC193" i="3"/>
  <c r="BA193" i="3"/>
  <c r="AZ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c r="AZ194" i="3"/>
  <c r="BO194" i="3"/>
  <c r="BP194" i="3"/>
  <c r="BQ194" i="3"/>
  <c r="BR194" i="3"/>
  <c r="BS194" i="3"/>
  <c r="BT194" i="3"/>
  <c r="BB195" i="3"/>
  <c r="BC195" i="3"/>
  <c r="BA195" i="3"/>
  <c r="AZ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c r="AZ196" i="3"/>
  <c r="BO196" i="3"/>
  <c r="BP196" i="3"/>
  <c r="BQ196" i="3"/>
  <c r="BR196" i="3"/>
  <c r="BS196" i="3"/>
  <c r="BT196" i="3"/>
  <c r="BB197" i="3"/>
  <c r="BC197" i="3"/>
  <c r="BA197" i="3"/>
  <c r="AZ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c r="AZ198" i="3"/>
  <c r="BO198" i="3"/>
  <c r="BP198" i="3"/>
  <c r="BQ198" i="3"/>
  <c r="BR198" i="3"/>
  <c r="BS198" i="3"/>
  <c r="BT198" i="3"/>
  <c r="BB199" i="3"/>
  <c r="BC199" i="3"/>
  <c r="BA199" i="3"/>
  <c r="AZ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c r="AZ200" i="3"/>
  <c r="BO200" i="3"/>
  <c r="BP200" i="3"/>
  <c r="BQ200" i="3"/>
  <c r="BR200" i="3"/>
  <c r="BS200" i="3"/>
  <c r="BT200" i="3"/>
  <c r="BB201" i="3"/>
  <c r="BC201" i="3"/>
  <c r="BA201" i="3"/>
  <c r="AZ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c r="AZ202" i="3"/>
  <c r="BO202" i="3"/>
  <c r="BP202" i="3"/>
  <c r="BQ202" i="3"/>
  <c r="BR202" i="3"/>
  <c r="BS202" i="3"/>
  <c r="BT202" i="3"/>
  <c r="BB203" i="3"/>
  <c r="BC203" i="3"/>
  <c r="BA203" i="3"/>
  <c r="AZ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c r="AZ204" i="3"/>
  <c r="BO204" i="3"/>
  <c r="BP204" i="3"/>
  <c r="BQ204" i="3"/>
  <c r="BR204" i="3"/>
  <c r="BS204" i="3"/>
  <c r="BT204" i="3"/>
  <c r="BB205" i="3"/>
  <c r="BC205" i="3"/>
  <c r="BA205" i="3"/>
  <c r="AZ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c r="AZ206" i="3"/>
  <c r="BO206" i="3"/>
  <c r="BP206" i="3"/>
  <c r="BQ206" i="3"/>
  <c r="BR206" i="3"/>
  <c r="BS206" i="3"/>
  <c r="BT206" i="3"/>
  <c r="BB207" i="3"/>
  <c r="BC207" i="3"/>
  <c r="BA207" i="3"/>
  <c r="AZ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c r="AZ208" i="3"/>
  <c r="BO208" i="3"/>
  <c r="BP208" i="3"/>
  <c r="BQ208" i="3"/>
  <c r="BR208" i="3"/>
  <c r="BS208" i="3"/>
  <c r="BT208" i="3"/>
  <c r="BB209" i="3"/>
  <c r="BC209" i="3"/>
  <c r="BA209" i="3"/>
  <c r="AZ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c r="AZ210" i="3"/>
  <c r="BO210" i="3"/>
  <c r="BP210" i="3"/>
  <c r="BQ210" i="3"/>
  <c r="BR210" i="3"/>
  <c r="BS210" i="3"/>
  <c r="BT210" i="3"/>
  <c r="BB211" i="3"/>
  <c r="BC211" i="3"/>
  <c r="BA211" i="3"/>
  <c r="AZ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c r="AZ212" i="3"/>
  <c r="BO212" i="3"/>
  <c r="BP212" i="3"/>
  <c r="BQ212" i="3"/>
  <c r="BR212" i="3"/>
  <c r="BS212" i="3"/>
  <c r="BT212" i="3"/>
  <c r="BB213" i="3"/>
  <c r="BC213" i="3"/>
  <c r="BA213" i="3"/>
  <c r="AZ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c r="AZ214" i="3"/>
  <c r="BO214" i="3"/>
  <c r="BP214" i="3"/>
  <c r="BQ214" i="3"/>
  <c r="BR214" i="3"/>
  <c r="BS214" i="3"/>
  <c r="BT214" i="3"/>
  <c r="BB215" i="3"/>
  <c r="BC215" i="3"/>
  <c r="BA215" i="3"/>
  <c r="AZ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c r="AZ216" i="3"/>
  <c r="BO216" i="3"/>
  <c r="BP216" i="3"/>
  <c r="BQ216" i="3"/>
  <c r="BR216" i="3"/>
  <c r="BS216" i="3"/>
  <c r="BT216" i="3"/>
  <c r="BB217" i="3"/>
  <c r="BC217" i="3"/>
  <c r="BA217" i="3"/>
  <c r="AZ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c r="AZ218" i="3"/>
  <c r="BO218" i="3"/>
  <c r="BP218" i="3"/>
  <c r="BQ218" i="3"/>
  <c r="BR218" i="3"/>
  <c r="BS218" i="3"/>
  <c r="BT218" i="3"/>
  <c r="BB219" i="3"/>
  <c r="BC219" i="3"/>
  <c r="BA219" i="3"/>
  <c r="AZ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c r="AZ220" i="3"/>
  <c r="BO220" i="3"/>
  <c r="BP220" i="3"/>
  <c r="BQ220" i="3"/>
  <c r="BR220" i="3"/>
  <c r="BS220" i="3"/>
  <c r="BT220" i="3"/>
  <c r="BB221" i="3"/>
  <c r="BC221" i="3"/>
  <c r="BA221" i="3"/>
  <c r="AZ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c r="AZ222" i="3"/>
  <c r="BO222" i="3"/>
  <c r="BP222" i="3"/>
  <c r="BQ222" i="3"/>
  <c r="BR222" i="3"/>
  <c r="BS222" i="3"/>
  <c r="BT222" i="3"/>
  <c r="BB223" i="3"/>
  <c r="BC223" i="3"/>
  <c r="BA223" i="3"/>
  <c r="AZ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c r="AZ224" i="3"/>
  <c r="BO224" i="3"/>
  <c r="BP224" i="3"/>
  <c r="BQ224" i="3"/>
  <c r="BR224" i="3"/>
  <c r="BS224" i="3"/>
  <c r="BT224" i="3"/>
  <c r="BB225" i="3"/>
  <c r="BC225" i="3"/>
  <c r="BA225" i="3"/>
  <c r="AZ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c r="AZ226" i="3"/>
  <c r="BO226" i="3"/>
  <c r="BP226" i="3"/>
  <c r="BQ226" i="3"/>
  <c r="BR226" i="3"/>
  <c r="BS226" i="3"/>
  <c r="BT226" i="3"/>
  <c r="BB227" i="3"/>
  <c r="BC227" i="3"/>
  <c r="BA227" i="3"/>
  <c r="AZ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c r="AZ228" i="3"/>
  <c r="BO228" i="3"/>
  <c r="BP228" i="3"/>
  <c r="BQ228" i="3"/>
  <c r="BR228" i="3"/>
  <c r="BS228" i="3"/>
  <c r="BT228" i="3"/>
  <c r="BB229" i="3"/>
  <c r="BC229" i="3"/>
  <c r="BA229" i="3"/>
  <c r="AZ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c r="AZ230" i="3"/>
  <c r="BO230" i="3"/>
  <c r="BP230" i="3"/>
  <c r="BQ230" i="3"/>
  <c r="BR230" i="3"/>
  <c r="BS230" i="3"/>
  <c r="BT230" i="3"/>
  <c r="BB231" i="3"/>
  <c r="BC231" i="3"/>
  <c r="BA231" i="3"/>
  <c r="AZ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c r="AZ232" i="3"/>
  <c r="BO232" i="3"/>
  <c r="BP232" i="3"/>
  <c r="BQ232" i="3"/>
  <c r="BR232" i="3"/>
  <c r="BS232" i="3"/>
  <c r="BT232" i="3"/>
  <c r="BB233" i="3"/>
  <c r="BC233" i="3"/>
  <c r="BA233" i="3"/>
  <c r="AZ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c r="AZ234" i="3"/>
  <c r="BO234" i="3"/>
  <c r="BP234" i="3"/>
  <c r="BQ234" i="3"/>
  <c r="BR234" i="3"/>
  <c r="BS234" i="3"/>
  <c r="BT234" i="3"/>
  <c r="BB235" i="3"/>
  <c r="BC235" i="3"/>
  <c r="BA235" i="3"/>
  <c r="AZ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c r="AZ236" i="3"/>
  <c r="BO236" i="3"/>
  <c r="BP236" i="3"/>
  <c r="BQ236" i="3"/>
  <c r="BR236" i="3"/>
  <c r="BS236" i="3"/>
  <c r="BT236" i="3"/>
  <c r="BB237" i="3"/>
  <c r="BC237" i="3"/>
  <c r="BA237" i="3"/>
  <c r="AZ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c r="AZ238" i="3"/>
  <c r="BO238" i="3"/>
  <c r="BP238" i="3"/>
  <c r="BQ238" i="3"/>
  <c r="BR238" i="3"/>
  <c r="BS238" i="3"/>
  <c r="BT238" i="3"/>
  <c r="BB239" i="3"/>
  <c r="BC239" i="3"/>
  <c r="BA239" i="3"/>
  <c r="AZ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c r="AZ240" i="3"/>
  <c r="BO240" i="3"/>
  <c r="BP240" i="3"/>
  <c r="BQ240" i="3"/>
  <c r="BR240" i="3"/>
  <c r="BS240" i="3"/>
  <c r="BT240" i="3"/>
  <c r="BB241" i="3"/>
  <c r="BC241" i="3"/>
  <c r="BA241" i="3"/>
  <c r="AZ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c r="AZ242" i="3"/>
  <c r="BO242" i="3"/>
  <c r="BP242" i="3"/>
  <c r="BQ242" i="3"/>
  <c r="BR242" i="3"/>
  <c r="BS242" i="3"/>
  <c r="BT242" i="3"/>
  <c r="BB243" i="3"/>
  <c r="BC243" i="3"/>
  <c r="BA243" i="3"/>
  <c r="AZ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c r="AZ244" i="3"/>
  <c r="BO244" i="3"/>
  <c r="BP244" i="3"/>
  <c r="BQ244" i="3"/>
  <c r="BR244" i="3"/>
  <c r="BS244" i="3"/>
  <c r="BT244" i="3"/>
  <c r="BB245" i="3"/>
  <c r="BC245" i="3"/>
  <c r="BA245" i="3"/>
  <c r="AZ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c r="AZ246" i="3"/>
  <c r="BO246" i="3"/>
  <c r="BP246" i="3"/>
  <c r="BQ246" i="3"/>
  <c r="BR246" i="3"/>
  <c r="BS246" i="3"/>
  <c r="BT246" i="3"/>
  <c r="BB247" i="3"/>
  <c r="BC247" i="3"/>
  <c r="BA247" i="3"/>
  <c r="AZ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c r="AZ248" i="3"/>
  <c r="BO248" i="3"/>
  <c r="BP248" i="3"/>
  <c r="BQ248" i="3"/>
  <c r="BR248" i="3"/>
  <c r="BS248" i="3"/>
  <c r="BT248" i="3"/>
  <c r="BB249" i="3"/>
  <c r="BC249" i="3"/>
  <c r="BA249" i="3"/>
  <c r="AZ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c r="AZ250" i="3"/>
  <c r="BO250" i="3"/>
  <c r="BP250" i="3"/>
  <c r="BQ250" i="3"/>
  <c r="BR250" i="3"/>
  <c r="BS250" i="3"/>
  <c r="BT250" i="3"/>
  <c r="BB251" i="3"/>
  <c r="BC251" i="3"/>
  <c r="BA251" i="3"/>
  <c r="AZ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c r="AZ252" i="3"/>
  <c r="BO252" i="3"/>
  <c r="BP252" i="3"/>
  <c r="BQ252" i="3"/>
  <c r="BR252" i="3"/>
  <c r="BS252" i="3"/>
  <c r="BT252" i="3"/>
  <c r="BB253" i="3"/>
  <c r="BC253" i="3"/>
  <c r="BA253" i="3"/>
  <c r="AZ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c r="AZ254" i="3"/>
  <c r="BO254" i="3"/>
  <c r="BP254" i="3"/>
  <c r="BQ254" i="3"/>
  <c r="BR254" i="3"/>
  <c r="BS254" i="3"/>
  <c r="BT254" i="3"/>
  <c r="BB255" i="3"/>
  <c r="BC255" i="3"/>
  <c r="BA255" i="3"/>
  <c r="AZ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c r="AZ256" i="3"/>
  <c r="BO256" i="3"/>
  <c r="BP256" i="3"/>
  <c r="BQ256" i="3"/>
  <c r="BR256" i="3"/>
  <c r="BS256" i="3"/>
  <c r="BT256" i="3"/>
  <c r="BB257" i="3"/>
  <c r="BC257" i="3"/>
  <c r="BA257" i="3"/>
  <c r="AZ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c r="AZ258" i="3"/>
  <c r="BO258" i="3"/>
  <c r="BP258" i="3"/>
  <c r="BQ258" i="3"/>
  <c r="BR258" i="3"/>
  <c r="BS258" i="3"/>
  <c r="BT258" i="3"/>
  <c r="BB259" i="3"/>
  <c r="BC259" i="3"/>
  <c r="BA259" i="3"/>
  <c r="AZ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c r="AZ260" i="3"/>
  <c r="BO260" i="3"/>
  <c r="BP260" i="3"/>
  <c r="BQ260" i="3"/>
  <c r="BR260" i="3"/>
  <c r="BS260" i="3"/>
  <c r="BT260" i="3"/>
  <c r="BB261" i="3"/>
  <c r="BC261" i="3"/>
  <c r="BA261" i="3"/>
  <c r="AZ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c r="AZ262" i="3"/>
  <c r="BO262" i="3"/>
  <c r="BP262" i="3"/>
  <c r="BQ262" i="3"/>
  <c r="BR262" i="3"/>
  <c r="BS262" i="3"/>
  <c r="BT262" i="3"/>
  <c r="BB263" i="3"/>
  <c r="BC263" i="3"/>
  <c r="BA263" i="3"/>
  <c r="AZ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c r="AZ264" i="3"/>
  <c r="BO264" i="3"/>
  <c r="BP264" i="3"/>
  <c r="BQ264" i="3"/>
  <c r="BR264" i="3"/>
  <c r="BS264" i="3"/>
  <c r="BT264" i="3"/>
  <c r="BB265" i="3"/>
  <c r="BC265" i="3"/>
  <c r="BA265" i="3"/>
  <c r="AZ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c r="AZ266" i="3"/>
  <c r="BO266" i="3"/>
  <c r="BP266" i="3"/>
  <c r="BQ266" i="3"/>
  <c r="BR266" i="3"/>
  <c r="BS266" i="3"/>
  <c r="BT266" i="3"/>
  <c r="BB267" i="3"/>
  <c r="BC267" i="3"/>
  <c r="BA267" i="3"/>
  <c r="AZ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c r="AZ268" i="3"/>
  <c r="BO268" i="3"/>
  <c r="BP268" i="3"/>
  <c r="BQ268" i="3"/>
  <c r="BR268" i="3"/>
  <c r="BS268" i="3"/>
  <c r="BT268" i="3"/>
  <c r="BB269" i="3"/>
  <c r="BC269" i="3"/>
  <c r="BA269" i="3"/>
  <c r="AZ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c r="AZ270" i="3"/>
  <c r="BO270" i="3"/>
  <c r="BP270" i="3"/>
  <c r="BQ270" i="3"/>
  <c r="BR270" i="3"/>
  <c r="BS270" i="3"/>
  <c r="BT270" i="3"/>
  <c r="BB271" i="3"/>
  <c r="BC271" i="3"/>
  <c r="BA271" i="3"/>
  <c r="AZ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c r="AZ272" i="3"/>
  <c r="BO272" i="3"/>
  <c r="BP272" i="3"/>
  <c r="BQ272" i="3"/>
  <c r="BR272" i="3"/>
  <c r="BS272" i="3"/>
  <c r="BT272" i="3"/>
  <c r="BB273" i="3"/>
  <c r="BC273" i="3"/>
  <c r="BA273" i="3"/>
  <c r="AZ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c r="AZ274" i="3"/>
  <c r="BO274" i="3"/>
  <c r="BP274" i="3"/>
  <c r="BQ274" i="3"/>
  <c r="BR274" i="3"/>
  <c r="BS274" i="3"/>
  <c r="BT274" i="3"/>
  <c r="BB275" i="3"/>
  <c r="BC275" i="3"/>
  <c r="BA275" i="3"/>
  <c r="AZ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c r="AZ276" i="3"/>
  <c r="BO276" i="3"/>
  <c r="BP276" i="3"/>
  <c r="BQ276" i="3"/>
  <c r="BR276" i="3"/>
  <c r="BS276" i="3"/>
  <c r="BT276" i="3"/>
  <c r="BB277" i="3"/>
  <c r="BC277" i="3"/>
  <c r="BA277" i="3"/>
  <c r="AZ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c r="AZ278" i="3"/>
  <c r="BO278" i="3"/>
  <c r="BP278" i="3"/>
  <c r="BQ278" i="3"/>
  <c r="BR278" i="3"/>
  <c r="BS278" i="3"/>
  <c r="BT278" i="3"/>
  <c r="BB279" i="3"/>
  <c r="BC279" i="3"/>
  <c r="BA279" i="3"/>
  <c r="AZ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c r="AZ280" i="3"/>
  <c r="BO280" i="3"/>
  <c r="BP280" i="3"/>
  <c r="BQ280" i="3"/>
  <c r="BR280" i="3"/>
  <c r="BS280" i="3"/>
  <c r="BT280" i="3"/>
  <c r="BB281" i="3"/>
  <c r="BC281" i="3"/>
  <c r="BA281" i="3"/>
  <c r="AZ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c r="AZ282" i="3"/>
  <c r="BO282" i="3"/>
  <c r="BP282" i="3"/>
  <c r="BQ282" i="3"/>
  <c r="BR282" i="3"/>
  <c r="BS282" i="3"/>
  <c r="BT282" i="3"/>
  <c r="BB283" i="3"/>
  <c r="BC283" i="3"/>
  <c r="BA283" i="3"/>
  <c r="AZ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c r="AZ284" i="3"/>
  <c r="BO284" i="3"/>
  <c r="BP284" i="3"/>
  <c r="BQ284" i="3"/>
  <c r="BR284" i="3"/>
  <c r="BS284" i="3"/>
  <c r="BT284" i="3"/>
  <c r="BB285" i="3"/>
  <c r="BC285" i="3"/>
  <c r="BA285" i="3"/>
  <c r="AZ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c r="AZ286" i="3"/>
  <c r="BO286" i="3"/>
  <c r="BP286" i="3"/>
  <c r="BQ286" i="3"/>
  <c r="BR286" i="3"/>
  <c r="BS286" i="3"/>
  <c r="BT286" i="3"/>
  <c r="BB287" i="3"/>
  <c r="BC287" i="3"/>
  <c r="BA287" i="3"/>
  <c r="AZ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c r="AZ288" i="3"/>
  <c r="BO288" i="3"/>
  <c r="BP288" i="3"/>
  <c r="BQ288" i="3"/>
  <c r="BR288" i="3"/>
  <c r="BS288" i="3"/>
  <c r="BT288" i="3"/>
  <c r="BB289" i="3"/>
  <c r="BC289" i="3"/>
  <c r="BA289" i="3"/>
  <c r="AZ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c r="AZ290" i="3"/>
  <c r="BO290" i="3"/>
  <c r="BP290" i="3"/>
  <c r="BQ290" i="3"/>
  <c r="BR290" i="3"/>
  <c r="BS290" i="3"/>
  <c r="BT290" i="3"/>
  <c r="BB291" i="3"/>
  <c r="BC291" i="3"/>
  <c r="BA291" i="3"/>
  <c r="AZ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c r="AZ292" i="3"/>
  <c r="BO292" i="3"/>
  <c r="BP292" i="3"/>
  <c r="BQ292" i="3"/>
  <c r="BR292" i="3"/>
  <c r="BS292" i="3"/>
  <c r="BT292" i="3"/>
  <c r="BB293" i="3"/>
  <c r="BC293" i="3"/>
  <c r="BA293" i="3"/>
  <c r="AZ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c r="AZ294" i="3"/>
  <c r="BO294" i="3"/>
  <c r="BP294" i="3"/>
  <c r="BQ294" i="3"/>
  <c r="BR294" i="3"/>
  <c r="BS294" i="3"/>
  <c r="BT294" i="3"/>
  <c r="BB295" i="3"/>
  <c r="BC295" i="3"/>
  <c r="BA295" i="3"/>
  <c r="AZ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c r="AZ296" i="3"/>
  <c r="BO296" i="3"/>
  <c r="BP296" i="3"/>
  <c r="BQ296" i="3"/>
  <c r="BR296" i="3"/>
  <c r="BS296" i="3"/>
  <c r="BT296" i="3"/>
  <c r="BB297" i="3"/>
  <c r="BC297" i="3"/>
  <c r="BA297" i="3"/>
  <c r="AZ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c r="AZ298" i="3"/>
  <c r="BO298" i="3"/>
  <c r="BP298" i="3"/>
  <c r="BQ298" i="3"/>
  <c r="BR298" i="3"/>
  <c r="BS298" i="3"/>
  <c r="BT298" i="3"/>
  <c r="BB299" i="3"/>
  <c r="BC299" i="3"/>
  <c r="BA299" i="3"/>
  <c r="AZ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c r="AZ300" i="3"/>
  <c r="BO300" i="3"/>
  <c r="BP300" i="3"/>
  <c r="BQ300" i="3"/>
  <c r="BR300" i="3"/>
  <c r="BS300" i="3"/>
  <c r="BT300" i="3"/>
  <c r="BB301" i="3"/>
  <c r="BC301" i="3"/>
  <c r="BA301" i="3"/>
  <c r="AZ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c r="AZ302" i="3"/>
  <c r="BO302" i="3"/>
  <c r="BP302" i="3"/>
  <c r="BQ302" i="3"/>
  <c r="BR302" i="3"/>
  <c r="BS302" i="3"/>
  <c r="BT302" i="3"/>
  <c r="BB303" i="3"/>
  <c r="BC303" i="3"/>
  <c r="BA303" i="3"/>
  <c r="AZ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c r="AZ304" i="3"/>
  <c r="BO304" i="3"/>
  <c r="BP304" i="3"/>
  <c r="BQ304" i="3"/>
  <c r="BR304" i="3"/>
  <c r="BS304" i="3"/>
  <c r="BT304" i="3"/>
  <c r="BB305" i="3"/>
  <c r="BC305" i="3"/>
  <c r="BA305" i="3"/>
  <c r="AZ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c r="AZ306" i="3"/>
  <c r="BO306" i="3"/>
  <c r="BP306" i="3"/>
  <c r="BQ306" i="3"/>
  <c r="BR306" i="3"/>
  <c r="BS306" i="3"/>
  <c r="BT306" i="3"/>
  <c r="BB307" i="3"/>
  <c r="BC307" i="3"/>
  <c r="BA307" i="3"/>
  <c r="AZ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c r="AZ308" i="3"/>
  <c r="BO308" i="3"/>
  <c r="BP308" i="3"/>
  <c r="BQ308" i="3"/>
  <c r="BR308" i="3"/>
  <c r="BS308" i="3"/>
  <c r="BT308" i="3"/>
  <c r="BB309" i="3"/>
  <c r="BC309" i="3"/>
  <c r="BA309" i="3"/>
  <c r="AZ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c r="AZ310" i="3"/>
  <c r="BO310" i="3"/>
  <c r="BP310" i="3"/>
  <c r="BQ310" i="3"/>
  <c r="BR310" i="3"/>
  <c r="BS310" i="3"/>
  <c r="BT310" i="3"/>
  <c r="BB311" i="3"/>
  <c r="BC311" i="3"/>
  <c r="BA311" i="3"/>
  <c r="AZ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c r="AZ312" i="3"/>
  <c r="BO312" i="3"/>
  <c r="BP312" i="3"/>
  <c r="BQ312" i="3"/>
  <c r="BR312" i="3"/>
  <c r="BS312" i="3"/>
  <c r="BT312" i="3"/>
  <c r="BB313" i="3"/>
  <c r="BC313" i="3"/>
  <c r="BA313" i="3"/>
  <c r="AZ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c r="AZ314" i="3"/>
  <c r="BO314" i="3"/>
  <c r="BP314" i="3"/>
  <c r="BQ314" i="3"/>
  <c r="BR314" i="3"/>
  <c r="BS314" i="3"/>
  <c r="BT314" i="3"/>
  <c r="BB315" i="3"/>
  <c r="BC315" i="3"/>
  <c r="BA315" i="3"/>
  <c r="AZ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c r="AZ316" i="3"/>
  <c r="BO316" i="3"/>
  <c r="BP316" i="3"/>
  <c r="BQ316" i="3"/>
  <c r="BR316" i="3"/>
  <c r="BS316" i="3"/>
  <c r="BT316" i="3"/>
  <c r="BB317" i="3"/>
  <c r="BC317" i="3"/>
  <c r="BA317" i="3"/>
  <c r="AZ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c r="AZ318" i="3"/>
  <c r="BO318" i="3"/>
  <c r="BP318" i="3"/>
  <c r="BQ318" i="3"/>
  <c r="BR318" i="3"/>
  <c r="BS318" i="3"/>
  <c r="BT318" i="3"/>
  <c r="BB319" i="3"/>
  <c r="BC319" i="3"/>
  <c r="BA319" i="3"/>
  <c r="AZ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c r="AZ320" i="3"/>
  <c r="BO320" i="3"/>
  <c r="BP320" i="3"/>
  <c r="BQ320" i="3"/>
  <c r="BR320" i="3"/>
  <c r="BS320" i="3"/>
  <c r="BT320" i="3"/>
  <c r="BB321" i="3"/>
  <c r="BC321" i="3"/>
  <c r="BA321" i="3"/>
  <c r="AZ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c r="AZ322" i="3"/>
  <c r="BO322" i="3"/>
  <c r="BP322" i="3"/>
  <c r="BQ322" i="3"/>
  <c r="BR322" i="3"/>
  <c r="BS322" i="3"/>
  <c r="BT322" i="3"/>
  <c r="BB323" i="3"/>
  <c r="BC323" i="3"/>
  <c r="BA323" i="3"/>
  <c r="AZ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c r="AZ324" i="3"/>
  <c r="BO324" i="3"/>
  <c r="BP324" i="3"/>
  <c r="BQ324" i="3"/>
  <c r="BR324" i="3"/>
  <c r="BS324" i="3"/>
  <c r="BT324" i="3"/>
  <c r="BB325" i="3"/>
  <c r="BC325" i="3"/>
  <c r="BA325" i="3"/>
  <c r="AZ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c r="AZ326" i="3"/>
  <c r="BO326" i="3"/>
  <c r="BP326" i="3"/>
  <c r="BQ326" i="3"/>
  <c r="BR326" i="3"/>
  <c r="BS326" i="3"/>
  <c r="BT326" i="3"/>
  <c r="BB327" i="3"/>
  <c r="BC327" i="3"/>
  <c r="BA327" i="3"/>
  <c r="AZ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c r="AZ328" i="3"/>
  <c r="BO328" i="3"/>
  <c r="BP328" i="3"/>
  <c r="BQ328" i="3"/>
  <c r="BR328" i="3"/>
  <c r="BS328" i="3"/>
  <c r="BT328" i="3"/>
  <c r="BB329" i="3"/>
  <c r="BC329" i="3"/>
  <c r="BA329" i="3"/>
  <c r="AZ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c r="AZ330" i="3"/>
  <c r="BO330" i="3"/>
  <c r="BP330" i="3"/>
  <c r="BQ330" i="3"/>
  <c r="BR330" i="3"/>
  <c r="BS330" i="3"/>
  <c r="BT330" i="3"/>
  <c r="BB331" i="3"/>
  <c r="BC331" i="3"/>
  <c r="BA331" i="3"/>
  <c r="AZ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c r="AZ332" i="3"/>
  <c r="BO332" i="3"/>
  <c r="BP332" i="3"/>
  <c r="BQ332" i="3"/>
  <c r="BR332" i="3"/>
  <c r="BS332" i="3"/>
  <c r="BT332" i="3"/>
  <c r="BB333" i="3"/>
  <c r="BC333" i="3"/>
  <c r="BA333" i="3"/>
  <c r="AZ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c r="AZ334" i="3"/>
  <c r="BO334" i="3"/>
  <c r="BP334" i="3"/>
  <c r="BQ334" i="3"/>
  <c r="BR334" i="3"/>
  <c r="BS334" i="3"/>
  <c r="BT334" i="3"/>
  <c r="BB335" i="3"/>
  <c r="BC335" i="3"/>
  <c r="BA335" i="3"/>
  <c r="AZ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c r="AZ336" i="3"/>
  <c r="BO336" i="3"/>
  <c r="BP336" i="3"/>
  <c r="BQ336" i="3"/>
  <c r="BR336" i="3"/>
  <c r="BS336" i="3"/>
  <c r="BT336" i="3"/>
  <c r="BB337" i="3"/>
  <c r="BC337" i="3"/>
  <c r="BA337" i="3"/>
  <c r="AZ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c r="AZ338" i="3"/>
  <c r="BO338" i="3"/>
  <c r="BP338" i="3"/>
  <c r="BQ338" i="3"/>
  <c r="BR338" i="3"/>
  <c r="BS338" i="3"/>
  <c r="BT338" i="3"/>
  <c r="BB339" i="3"/>
  <c r="BC339" i="3"/>
  <c r="BA339" i="3"/>
  <c r="AZ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c r="AZ340" i="3"/>
  <c r="BO340" i="3"/>
  <c r="BP340" i="3"/>
  <c r="BQ340" i="3"/>
  <c r="BR340" i="3"/>
  <c r="BS340" i="3"/>
  <c r="BT340" i="3"/>
  <c r="BB341" i="3"/>
  <c r="BC341" i="3"/>
  <c r="BA341" i="3"/>
  <c r="AZ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c r="AZ342" i="3"/>
  <c r="BO342" i="3"/>
  <c r="BP342" i="3"/>
  <c r="BQ342" i="3"/>
  <c r="BR342" i="3"/>
  <c r="BS342" i="3"/>
  <c r="BT342" i="3"/>
  <c r="BB343" i="3"/>
  <c r="BC343" i="3"/>
  <c r="BA343" i="3"/>
  <c r="AZ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c r="AZ344" i="3"/>
  <c r="BO344" i="3"/>
  <c r="BP344" i="3"/>
  <c r="BQ344" i="3"/>
  <c r="BR344" i="3"/>
  <c r="BS344" i="3"/>
  <c r="BT344" i="3"/>
  <c r="BB345" i="3"/>
  <c r="BC345" i="3"/>
  <c r="BA345" i="3"/>
  <c r="AZ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c r="AZ346" i="3"/>
  <c r="BO346" i="3"/>
  <c r="BP346" i="3"/>
  <c r="BQ346" i="3"/>
  <c r="BR346" i="3"/>
  <c r="BS346" i="3"/>
  <c r="BT346" i="3"/>
  <c r="BB347" i="3"/>
  <c r="BC347" i="3"/>
  <c r="BA347" i="3"/>
  <c r="AZ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c r="AZ348" i="3"/>
  <c r="BO348" i="3"/>
  <c r="BP348" i="3"/>
  <c r="BQ348" i="3"/>
  <c r="BR348" i="3"/>
  <c r="BS348" i="3"/>
  <c r="BT348" i="3"/>
  <c r="BB349" i="3"/>
  <c r="BC349" i="3"/>
  <c r="BA349" i="3"/>
  <c r="AZ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c r="AZ350" i="3"/>
  <c r="BO350" i="3"/>
  <c r="BP350" i="3"/>
  <c r="BQ350" i="3"/>
  <c r="BR350" i="3"/>
  <c r="BS350" i="3"/>
  <c r="BT350" i="3"/>
  <c r="BB351" i="3"/>
  <c r="BC351" i="3"/>
  <c r="BA351" i="3"/>
  <c r="AZ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c r="AZ352" i="3"/>
  <c r="BO352" i="3"/>
  <c r="BP352" i="3"/>
  <c r="BQ352" i="3"/>
  <c r="BR352" i="3"/>
  <c r="BS352" i="3"/>
  <c r="BT352" i="3"/>
  <c r="BB353" i="3"/>
  <c r="BC353" i="3"/>
  <c r="BA353" i="3"/>
  <c r="AZ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c r="AZ354" i="3"/>
  <c r="BO354" i="3"/>
  <c r="BP354" i="3"/>
  <c r="BQ354" i="3"/>
  <c r="BR354" i="3"/>
  <c r="BS354" i="3"/>
  <c r="BT354" i="3"/>
  <c r="BB355" i="3"/>
  <c r="BC355" i="3"/>
  <c r="BA355" i="3"/>
  <c r="AZ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c r="AZ356" i="3"/>
  <c r="BO356" i="3"/>
  <c r="BP356" i="3"/>
  <c r="BQ356" i="3"/>
  <c r="BR356" i="3"/>
  <c r="BS356" i="3"/>
  <c r="BT356" i="3"/>
  <c r="BB357" i="3"/>
  <c r="BC357" i="3"/>
  <c r="BA357" i="3"/>
  <c r="AZ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c r="AZ358" i="3"/>
  <c r="BO358" i="3"/>
  <c r="BP358" i="3"/>
  <c r="BQ358" i="3"/>
  <c r="BR358" i="3"/>
  <c r="BS358" i="3"/>
  <c r="BT358" i="3"/>
  <c r="BB359" i="3"/>
  <c r="BC359" i="3"/>
  <c r="BA359" i="3"/>
  <c r="AZ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c r="AZ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A389" i="3"/>
  <c r="AZ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c r="AZ390" i="3"/>
  <c r="BO390" i="3"/>
  <c r="BP390" i="3"/>
  <c r="BQ390" i="3"/>
  <c r="BR390" i="3"/>
  <c r="BS390" i="3"/>
  <c r="BT390" i="3"/>
  <c r="BB391" i="3"/>
  <c r="BC391" i="3"/>
  <c r="BA391" i="3"/>
  <c r="AZ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c r="AZ392" i="3"/>
  <c r="BO392" i="3"/>
  <c r="BP392" i="3"/>
  <c r="BQ392" i="3"/>
  <c r="BR392" i="3"/>
  <c r="BS392" i="3"/>
  <c r="BT392" i="3"/>
  <c r="BB393" i="3"/>
  <c r="BC393" i="3"/>
  <c r="BA393" i="3"/>
  <c r="AZ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c r="AZ394" i="3"/>
  <c r="BO394" i="3"/>
  <c r="BP394" i="3"/>
  <c r="BQ394" i="3"/>
  <c r="BR394" i="3"/>
  <c r="BS394" i="3"/>
  <c r="BT394" i="3"/>
  <c r="BB395" i="3"/>
  <c r="BC395" i="3"/>
  <c r="BA395" i="3"/>
  <c r="AZ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c r="AZ396" i="3"/>
  <c r="BO396" i="3"/>
  <c r="BP396" i="3"/>
  <c r="BQ396" i="3"/>
  <c r="BR396" i="3"/>
  <c r="BS396" i="3"/>
  <c r="BT396" i="3"/>
  <c r="BB397" i="3"/>
  <c r="BC397" i="3"/>
  <c r="BA397" i="3"/>
  <c r="AZ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c r="AZ398" i="3"/>
  <c r="BO398" i="3"/>
  <c r="BP398" i="3"/>
  <c r="BQ398" i="3"/>
  <c r="BR398" i="3"/>
  <c r="BS398" i="3"/>
  <c r="BT398" i="3"/>
  <c r="BB399" i="3"/>
  <c r="BC399" i="3"/>
  <c r="BA399" i="3"/>
  <c r="AZ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c r="AZ400" i="3"/>
  <c r="BO400" i="3"/>
  <c r="BP400" i="3"/>
  <c r="BQ400" i="3"/>
  <c r="BR400" i="3"/>
  <c r="BS400" i="3"/>
  <c r="BT400" i="3"/>
  <c r="BB401" i="3"/>
  <c r="BC401" i="3"/>
  <c r="BA401" i="3"/>
  <c r="AZ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c r="AZ402" i="3"/>
  <c r="BO402" i="3"/>
  <c r="BP402" i="3"/>
  <c r="BQ402" i="3"/>
  <c r="BR402" i="3"/>
  <c r="BS402" i="3"/>
  <c r="BT402" i="3"/>
  <c r="BB403" i="3"/>
  <c r="BC403" i="3"/>
  <c r="BA403" i="3"/>
  <c r="AZ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c r="AZ404" i="3"/>
  <c r="BO404" i="3"/>
  <c r="BP404" i="3"/>
  <c r="BQ404" i="3"/>
  <c r="BR404" i="3"/>
  <c r="BS404" i="3"/>
  <c r="BT404" i="3"/>
  <c r="BB405" i="3"/>
  <c r="BC405" i="3"/>
  <c r="BA405" i="3"/>
  <c r="AZ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c r="AZ406" i="3"/>
  <c r="BO406" i="3"/>
  <c r="BP406" i="3"/>
  <c r="BQ406" i="3"/>
  <c r="BR406" i="3"/>
  <c r="BS406" i="3"/>
  <c r="BT406" i="3"/>
  <c r="BB407" i="3"/>
  <c r="BC407" i="3"/>
  <c r="BA407" i="3"/>
  <c r="AZ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c r="AZ408" i="3"/>
  <c r="BO408" i="3"/>
  <c r="BP408" i="3"/>
  <c r="BQ408" i="3"/>
  <c r="BR408" i="3"/>
  <c r="BS408" i="3"/>
  <c r="BT408" i="3"/>
  <c r="BB409" i="3"/>
  <c r="BC409" i="3"/>
  <c r="BA409" i="3"/>
  <c r="AZ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c r="AZ410" i="3"/>
  <c r="BO410" i="3"/>
  <c r="BP410" i="3"/>
  <c r="BQ410" i="3"/>
  <c r="BR410" i="3"/>
  <c r="BS410" i="3"/>
  <c r="BT410" i="3"/>
  <c r="BB411" i="3"/>
  <c r="BC411" i="3"/>
  <c r="BA411" i="3"/>
  <c r="AZ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c r="AZ412" i="3"/>
  <c r="BO412" i="3"/>
  <c r="BP412" i="3"/>
  <c r="BQ412" i="3"/>
  <c r="BR412" i="3"/>
  <c r="BS412" i="3"/>
  <c r="BT412" i="3"/>
  <c r="BB413" i="3"/>
  <c r="BC413" i="3"/>
  <c r="BA413" i="3"/>
  <c r="AZ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c r="AZ414" i="3"/>
  <c r="BO414" i="3"/>
  <c r="BP414" i="3"/>
  <c r="BQ414" i="3"/>
  <c r="BR414" i="3"/>
  <c r="BS414" i="3"/>
  <c r="BT414" i="3"/>
  <c r="BB415" i="3"/>
  <c r="BC415" i="3"/>
  <c r="BA415" i="3"/>
  <c r="AZ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c r="AZ416" i="3"/>
  <c r="BO416" i="3"/>
  <c r="BP416" i="3"/>
  <c r="BQ416" i="3"/>
  <c r="BR416" i="3"/>
  <c r="BS416" i="3"/>
  <c r="BT416" i="3"/>
  <c r="BB417" i="3"/>
  <c r="BC417" i="3"/>
  <c r="BA417" i="3"/>
  <c r="AZ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c r="AZ418" i="3"/>
  <c r="BO418" i="3"/>
  <c r="BP418" i="3"/>
  <c r="BQ418" i="3"/>
  <c r="BR418" i="3"/>
  <c r="BS418" i="3"/>
  <c r="BT418" i="3"/>
  <c r="BB419" i="3"/>
  <c r="BC419" i="3"/>
  <c r="BA419" i="3"/>
  <c r="AZ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c r="AZ420" i="3"/>
  <c r="BO420" i="3"/>
  <c r="BP420" i="3"/>
  <c r="BQ420" i="3"/>
  <c r="BR420" i="3"/>
  <c r="BS420" i="3"/>
  <c r="BT420" i="3"/>
  <c r="BB421" i="3"/>
  <c r="BC421" i="3"/>
  <c r="BA421" i="3"/>
  <c r="AZ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c r="AZ422" i="3"/>
  <c r="BO422" i="3"/>
  <c r="BP422" i="3"/>
  <c r="BQ422" i="3"/>
  <c r="BR422" i="3"/>
  <c r="BS422" i="3"/>
  <c r="BT422" i="3"/>
  <c r="BB423" i="3"/>
  <c r="BC423" i="3"/>
  <c r="BA423" i="3"/>
  <c r="AZ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c r="AZ424" i="3"/>
  <c r="BO424" i="3"/>
  <c r="BP424" i="3"/>
  <c r="BQ424" i="3"/>
  <c r="BR424" i="3"/>
  <c r="BS424" i="3"/>
  <c r="BT424" i="3"/>
  <c r="BB425" i="3"/>
  <c r="BC425" i="3"/>
  <c r="BA425" i="3"/>
  <c r="AZ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c r="AZ426" i="3"/>
  <c r="BO426" i="3"/>
  <c r="BP426" i="3"/>
  <c r="BQ426" i="3"/>
  <c r="BR426" i="3"/>
  <c r="BS426" i="3"/>
  <c r="BT426" i="3"/>
  <c r="BB427" i="3"/>
  <c r="BC427" i="3"/>
  <c r="BA427" i="3"/>
  <c r="AZ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c r="AZ428" i="3"/>
  <c r="BO428" i="3"/>
  <c r="BP428" i="3"/>
  <c r="BQ428" i="3"/>
  <c r="BR428" i="3"/>
  <c r="BS428" i="3"/>
  <c r="BT428" i="3"/>
  <c r="BB429" i="3"/>
  <c r="BC429" i="3"/>
  <c r="BA429" i="3"/>
  <c r="AZ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c r="AZ430" i="3"/>
  <c r="BO430" i="3"/>
  <c r="BP430" i="3"/>
  <c r="BQ430" i="3"/>
  <c r="BR430" i="3"/>
  <c r="BS430" i="3"/>
  <c r="BT430" i="3"/>
  <c r="BB431" i="3"/>
  <c r="BC431" i="3"/>
  <c r="BA431" i="3"/>
  <c r="AZ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c r="AZ432" i="3"/>
  <c r="BO432" i="3"/>
  <c r="BP432" i="3"/>
  <c r="BQ432" i="3"/>
  <c r="BR432" i="3"/>
  <c r="BS432" i="3"/>
  <c r="BT432" i="3"/>
  <c r="BB433" i="3"/>
  <c r="BC433" i="3"/>
  <c r="BA433" i="3"/>
  <c r="AZ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c r="AZ434" i="3"/>
  <c r="BO434" i="3"/>
  <c r="BP434" i="3"/>
  <c r="BQ434" i="3"/>
  <c r="BR434" i="3"/>
  <c r="BS434" i="3"/>
  <c r="BT434" i="3"/>
  <c r="BB435" i="3"/>
  <c r="BC435" i="3"/>
  <c r="BA435" i="3"/>
  <c r="AZ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c r="AZ436" i="3"/>
  <c r="BO436" i="3"/>
  <c r="BP436" i="3"/>
  <c r="BQ436" i="3"/>
  <c r="BR436" i="3"/>
  <c r="BS436" i="3"/>
  <c r="BT436" i="3"/>
  <c r="BB437" i="3"/>
  <c r="BC437" i="3"/>
  <c r="BA437" i="3"/>
  <c r="AZ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c r="AZ438" i="3"/>
  <c r="BO438" i="3"/>
  <c r="BP438" i="3"/>
  <c r="BQ438" i="3"/>
  <c r="BR438" i="3"/>
  <c r="BS438" i="3"/>
  <c r="BT438" i="3"/>
  <c r="BB439" i="3"/>
  <c r="BC439" i="3"/>
  <c r="BA439" i="3"/>
  <c r="AZ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c r="AZ440" i="3"/>
  <c r="BO440" i="3"/>
  <c r="BP440" i="3"/>
  <c r="BQ440" i="3"/>
  <c r="BR440" i="3"/>
  <c r="BS440" i="3"/>
  <c r="BT440" i="3"/>
  <c r="BB441" i="3"/>
  <c r="BC441" i="3"/>
  <c r="BA441" i="3"/>
  <c r="AZ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c r="AZ442" i="3"/>
  <c r="BO442" i="3"/>
  <c r="BP442" i="3"/>
  <c r="BQ442" i="3"/>
  <c r="BR442" i="3"/>
  <c r="BS442" i="3"/>
  <c r="BT442" i="3"/>
  <c r="BB443" i="3"/>
  <c r="BC443" i="3"/>
  <c r="BA443" i="3"/>
  <c r="AZ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c r="AZ444" i="3"/>
  <c r="BO444" i="3"/>
  <c r="BP444" i="3"/>
  <c r="BQ444" i="3"/>
  <c r="BR444" i="3"/>
  <c r="BS444" i="3"/>
  <c r="BT444" i="3"/>
  <c r="BB445" i="3"/>
  <c r="BC445" i="3"/>
  <c r="BA445" i="3"/>
  <c r="AZ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c r="AZ446" i="3"/>
  <c r="BO446" i="3"/>
  <c r="BP446" i="3"/>
  <c r="BQ446" i="3"/>
  <c r="BR446" i="3"/>
  <c r="BS446" i="3"/>
  <c r="BT446" i="3"/>
  <c r="BB447" i="3"/>
  <c r="BC447" i="3"/>
  <c r="BA447" i="3"/>
  <c r="AZ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c r="AZ448" i="3"/>
  <c r="BO448" i="3"/>
  <c r="BP448" i="3"/>
  <c r="BQ448" i="3"/>
  <c r="BR448" i="3"/>
  <c r="BS448" i="3"/>
  <c r="BT448" i="3"/>
  <c r="BB449" i="3"/>
  <c r="BC449" i="3"/>
  <c r="BA449" i="3"/>
  <c r="AZ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c r="AZ450" i="3"/>
  <c r="BO450" i="3"/>
  <c r="BP450" i="3"/>
  <c r="BQ450" i="3"/>
  <c r="BR450" i="3"/>
  <c r="BS450" i="3"/>
  <c r="BT450" i="3"/>
  <c r="BB451" i="3"/>
  <c r="BC451" i="3"/>
  <c r="BA451" i="3"/>
  <c r="AZ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c r="AZ452" i="3"/>
  <c r="BO452" i="3"/>
  <c r="BP452" i="3"/>
  <c r="BQ452" i="3"/>
  <c r="BR452" i="3"/>
  <c r="BS452" i="3"/>
  <c r="BT452" i="3"/>
  <c r="BB453" i="3"/>
  <c r="BC453" i="3"/>
  <c r="BA453" i="3"/>
  <c r="AZ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c r="AZ454" i="3"/>
  <c r="BO454" i="3"/>
  <c r="BP454" i="3"/>
  <c r="BQ454" i="3"/>
  <c r="BR454" i="3"/>
  <c r="BS454" i="3"/>
  <c r="BT454" i="3"/>
  <c r="BB455" i="3"/>
  <c r="BC455" i="3"/>
  <c r="BA455" i="3"/>
  <c r="AZ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c r="AZ456" i="3"/>
  <c r="BO456" i="3"/>
  <c r="BP456" i="3"/>
  <c r="BQ456" i="3"/>
  <c r="BR456" i="3"/>
  <c r="BS456" i="3"/>
  <c r="BT456" i="3"/>
  <c r="BB457" i="3"/>
  <c r="BC457" i="3"/>
  <c r="BA457" i="3"/>
  <c r="AZ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c r="AZ458" i="3"/>
  <c r="BO458" i="3"/>
  <c r="BP458" i="3"/>
  <c r="BQ458" i="3"/>
  <c r="BR458" i="3"/>
  <c r="BS458" i="3"/>
  <c r="BT458" i="3"/>
  <c r="BB459" i="3"/>
  <c r="BC459" i="3"/>
  <c r="BA459" i="3"/>
  <c r="AZ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c r="AZ460" i="3"/>
  <c r="BO460" i="3"/>
  <c r="BP460" i="3"/>
  <c r="BQ460" i="3"/>
  <c r="BR460" i="3"/>
  <c r="BS460" i="3"/>
  <c r="BT460" i="3"/>
  <c r="BB461" i="3"/>
  <c r="BC461" i="3"/>
  <c r="BA461" i="3"/>
  <c r="AZ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c r="AZ462" i="3"/>
  <c r="BO462" i="3"/>
  <c r="BP462" i="3"/>
  <c r="BQ462" i="3"/>
  <c r="BR462" i="3"/>
  <c r="BS462" i="3"/>
  <c r="BT462" i="3"/>
  <c r="BB463" i="3"/>
  <c r="BC463" i="3"/>
  <c r="BA463" i="3"/>
  <c r="AZ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c r="AZ464" i="3"/>
  <c r="BO464" i="3"/>
  <c r="BP464" i="3"/>
  <c r="BQ464" i="3"/>
  <c r="BR464" i="3"/>
  <c r="BS464" i="3"/>
  <c r="BT464" i="3"/>
  <c r="BB465" i="3"/>
  <c r="BC465" i="3"/>
  <c r="BA465" i="3"/>
  <c r="AZ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c r="AZ466" i="3"/>
  <c r="BO466" i="3"/>
  <c r="BP466" i="3"/>
  <c r="BQ466" i="3"/>
  <c r="BR466" i="3"/>
  <c r="BS466" i="3"/>
  <c r="BT466" i="3"/>
  <c r="BB467" i="3"/>
  <c r="BC467" i="3"/>
  <c r="BA467" i="3"/>
  <c r="AZ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c r="AZ468" i="3"/>
  <c r="BO468" i="3"/>
  <c r="BP468" i="3"/>
  <c r="BQ468" i="3"/>
  <c r="BR468" i="3"/>
  <c r="BS468" i="3"/>
  <c r="BT468" i="3"/>
  <c r="BB469" i="3"/>
  <c r="BC469" i="3"/>
  <c r="BA469" i="3"/>
  <c r="AZ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c r="AZ470" i="3"/>
  <c r="BO470" i="3"/>
  <c r="BP470" i="3"/>
  <c r="BQ470" i="3"/>
  <c r="BR470" i="3"/>
  <c r="BS470" i="3"/>
  <c r="BT470" i="3"/>
  <c r="BB471" i="3"/>
  <c r="BC471" i="3"/>
  <c r="BA471" i="3"/>
  <c r="AZ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c r="AZ472" i="3"/>
  <c r="BO472" i="3"/>
  <c r="BP472" i="3"/>
  <c r="BQ472" i="3"/>
  <c r="BR472" i="3"/>
  <c r="BS472" i="3"/>
  <c r="BT472" i="3"/>
  <c r="BB473" i="3"/>
  <c r="BC473" i="3"/>
  <c r="BA473" i="3"/>
  <c r="AZ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c r="AZ474" i="3"/>
  <c r="BO474" i="3"/>
  <c r="BP474" i="3"/>
  <c r="BQ474" i="3"/>
  <c r="BR474" i="3"/>
  <c r="BS474" i="3"/>
  <c r="BT474" i="3"/>
  <c r="BB475" i="3"/>
  <c r="BC475" i="3"/>
  <c r="BA475" i="3"/>
  <c r="AZ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c r="AZ476" i="3"/>
  <c r="BO476" i="3"/>
  <c r="BP476" i="3"/>
  <c r="BQ476" i="3"/>
  <c r="BR476" i="3"/>
  <c r="BS476" i="3"/>
  <c r="BT476" i="3"/>
  <c r="BB477" i="3"/>
  <c r="BC477" i="3"/>
  <c r="BA477" i="3"/>
  <c r="AZ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c r="AZ478" i="3"/>
  <c r="BO478" i="3"/>
  <c r="BP478" i="3"/>
  <c r="BQ478" i="3"/>
  <c r="BR478" i="3"/>
  <c r="BS478" i="3"/>
  <c r="BT478" i="3"/>
  <c r="BB479" i="3"/>
  <c r="BC479" i="3"/>
  <c r="BA479" i="3"/>
  <c r="AZ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c r="AZ480" i="3"/>
  <c r="BO480" i="3"/>
  <c r="BP480" i="3"/>
  <c r="BQ480" i="3"/>
  <c r="BR480" i="3"/>
  <c r="BS480" i="3"/>
  <c r="BT480" i="3"/>
  <c r="BB481" i="3"/>
  <c r="BC481" i="3"/>
  <c r="BA481" i="3"/>
  <c r="AZ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c r="AZ482" i="3"/>
  <c r="BO482" i="3"/>
  <c r="BP482" i="3"/>
  <c r="BQ482" i="3"/>
  <c r="BR482" i="3"/>
  <c r="BS482" i="3"/>
  <c r="BT482" i="3"/>
  <c r="BB483" i="3"/>
  <c r="BC483" i="3"/>
  <c r="BA483" i="3"/>
  <c r="AZ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c r="AZ484" i="3"/>
  <c r="BO484" i="3"/>
  <c r="BP484" i="3"/>
  <c r="BQ484" i="3"/>
  <c r="BR484" i="3"/>
  <c r="BS484" i="3"/>
  <c r="BT484" i="3"/>
  <c r="BB485" i="3"/>
  <c r="BC485" i="3"/>
  <c r="BA485" i="3"/>
  <c r="AZ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c r="AZ486" i="3"/>
  <c r="BO486" i="3"/>
  <c r="BP486" i="3"/>
  <c r="BQ486" i="3"/>
  <c r="BR486" i="3"/>
  <c r="BS486" i="3"/>
  <c r="BT486" i="3"/>
  <c r="BB487" i="3"/>
  <c r="BC487" i="3"/>
  <c r="BA487" i="3"/>
  <c r="AZ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c r="AZ488" i="3"/>
  <c r="BO488" i="3"/>
  <c r="BP488" i="3"/>
  <c r="BQ488" i="3"/>
  <c r="BR488" i="3"/>
  <c r="BS488" i="3"/>
  <c r="BT488" i="3"/>
  <c r="BB489" i="3"/>
  <c r="BC489" i="3"/>
  <c r="BA489" i="3"/>
  <c r="AZ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c r="AZ490" i="3"/>
  <c r="BO490" i="3"/>
  <c r="BP490" i="3"/>
  <c r="BQ490" i="3"/>
  <c r="BR490" i="3"/>
  <c r="BS490" i="3"/>
  <c r="BT490" i="3"/>
  <c r="BB491" i="3"/>
  <c r="BC491" i="3"/>
  <c r="BA491" i="3"/>
  <c r="AZ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c r="AZ492" i="3"/>
  <c r="BO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c r="AZ494" i="3"/>
  <c r="BO494" i="3"/>
  <c r="BP494" i="3"/>
  <c r="BQ494" i="3"/>
  <c r="BR494" i="3"/>
  <c r="BS494" i="3"/>
  <c r="BT494" i="3"/>
  <c r="BB495" i="3"/>
  <c r="BC495" i="3"/>
  <c r="BA495" i="3"/>
  <c r="AZ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c r="AZ496" i="3"/>
  <c r="BO496" i="3"/>
  <c r="BP496" i="3"/>
  <c r="BQ496" i="3"/>
  <c r="BR496" i="3"/>
  <c r="BS496" i="3"/>
  <c r="BT496" i="3"/>
  <c r="BB497" i="3"/>
  <c r="BC497" i="3"/>
  <c r="BA497" i="3"/>
  <c r="AZ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c r="AZ498" i="3"/>
  <c r="BO498" i="3"/>
  <c r="BP498" i="3"/>
  <c r="BQ498" i="3"/>
  <c r="BR498" i="3"/>
  <c r="BS498" i="3"/>
  <c r="BT498" i="3"/>
  <c r="BB499" i="3"/>
  <c r="BC499" i="3"/>
  <c r="BA499" i="3"/>
  <c r="AZ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c r="AZ500" i="3"/>
  <c r="BO500" i="3"/>
  <c r="BP500" i="3"/>
  <c r="BQ500" i="3"/>
  <c r="BR500" i="3"/>
  <c r="BS500" i="3"/>
  <c r="BT500" i="3"/>
  <c r="BB501" i="3"/>
  <c r="BC501" i="3"/>
  <c r="BA501" i="3"/>
  <c r="AZ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c r="AZ502" i="3"/>
  <c r="BO502" i="3"/>
  <c r="BP502" i="3"/>
  <c r="BQ502" i="3"/>
  <c r="BR502" i="3"/>
  <c r="BS502" i="3"/>
  <c r="BT502" i="3"/>
  <c r="BB503" i="3"/>
  <c r="BC503" i="3"/>
  <c r="BA503" i="3"/>
  <c r="AZ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c r="AZ504" i="3"/>
  <c r="BO504" i="3"/>
  <c r="BP504" i="3"/>
  <c r="BQ504" i="3"/>
  <c r="BR504" i="3"/>
  <c r="BS504" i="3"/>
  <c r="BT504" i="3"/>
  <c r="BB505" i="3"/>
  <c r="BC505" i="3"/>
  <c r="BA505" i="3"/>
  <c r="AZ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c r="AZ506" i="3"/>
  <c r="BO506" i="3"/>
  <c r="BP506" i="3"/>
  <c r="BQ506" i="3"/>
  <c r="BR506" i="3"/>
  <c r="BS506" i="3"/>
  <c r="BT506" i="3"/>
  <c r="BB507" i="3"/>
  <c r="BC507" i="3"/>
  <c r="BA507" i="3"/>
  <c r="AZ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c r="AZ508" i="3"/>
  <c r="BO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c r="AZ510" i="3"/>
  <c r="BO510" i="3"/>
  <c r="BP510" i="3"/>
  <c r="BQ510" i="3"/>
  <c r="BR510" i="3"/>
  <c r="BS510" i="3"/>
  <c r="BT510" i="3"/>
  <c r="BB511" i="3"/>
  <c r="BC511" i="3"/>
  <c r="BA511" i="3"/>
  <c r="AZ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c r="AZ512" i="3"/>
  <c r="BO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c r="AZ514" i="3"/>
  <c r="BO514" i="3"/>
  <c r="BP514" i="3"/>
  <c r="BQ514" i="3"/>
  <c r="BR514" i="3"/>
  <c r="BS514" i="3"/>
  <c r="BT514" i="3"/>
  <c r="BB515" i="3"/>
  <c r="BC515" i="3"/>
  <c r="BA515" i="3"/>
  <c r="AZ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c r="AZ516" i="3"/>
  <c r="BO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c r="AZ518" i="3"/>
  <c r="BO518" i="3"/>
  <c r="BP518" i="3"/>
  <c r="BQ518" i="3"/>
  <c r="BR518" i="3"/>
  <c r="BS518" i="3"/>
  <c r="BT518" i="3"/>
  <c r="BB519" i="3"/>
  <c r="BC519" i="3"/>
  <c r="BA519" i="3"/>
  <c r="AZ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c r="AZ520" i="3"/>
  <c r="BO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c r="AZ522" i="3"/>
  <c r="BO522" i="3"/>
  <c r="BP522" i="3"/>
  <c r="BQ522" i="3"/>
  <c r="BR522" i="3"/>
  <c r="BS522" i="3"/>
  <c r="BT522" i="3"/>
  <c r="BB523" i="3"/>
  <c r="BC523" i="3"/>
  <c r="BA523" i="3"/>
  <c r="AZ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c r="AZ524" i="3"/>
  <c r="BO524" i="3"/>
  <c r="BP524" i="3"/>
  <c r="BQ524" i="3"/>
  <c r="BR524" i="3"/>
  <c r="BS524" i="3"/>
  <c r="BT524" i="3"/>
  <c r="BB525" i="3"/>
  <c r="BC525" i="3"/>
  <c r="BA525" i="3"/>
  <c r="AZ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c r="AZ526" i="3"/>
  <c r="BO526" i="3"/>
  <c r="BP526" i="3"/>
  <c r="BQ526" i="3"/>
  <c r="BR526" i="3"/>
  <c r="BS526" i="3"/>
  <c r="BT526" i="3"/>
  <c r="BB527" i="3"/>
  <c r="BC527" i="3"/>
  <c r="BA527" i="3"/>
  <c r="AZ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c r="AZ528" i="3"/>
  <c r="BO528" i="3"/>
  <c r="BP528" i="3"/>
  <c r="BQ528" i="3"/>
  <c r="BR528" i="3"/>
  <c r="BS528" i="3"/>
  <c r="BT528" i="3"/>
  <c r="BB529" i="3"/>
  <c r="BC529" i="3"/>
  <c r="BA529" i="3"/>
  <c r="AZ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c r="AZ530" i="3"/>
  <c r="BO530" i="3"/>
  <c r="BP530" i="3"/>
  <c r="BQ530" i="3"/>
  <c r="BR530" i="3"/>
  <c r="BS530" i="3"/>
  <c r="BT530" i="3"/>
  <c r="BB531" i="3"/>
  <c r="BC531" i="3"/>
  <c r="BA531" i="3"/>
  <c r="AZ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c r="AZ532" i="3"/>
  <c r="BO532" i="3"/>
  <c r="BP532" i="3"/>
  <c r="BQ532" i="3"/>
  <c r="BR532" i="3"/>
  <c r="BS532" i="3"/>
  <c r="BT532" i="3"/>
  <c r="BB533" i="3"/>
  <c r="BC533" i="3"/>
  <c r="BA533" i="3"/>
  <c r="AZ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c r="AZ534" i="3"/>
  <c r="BO534" i="3"/>
  <c r="BP534" i="3"/>
  <c r="BQ534" i="3"/>
  <c r="BR534" i="3"/>
  <c r="BS534" i="3"/>
  <c r="BT534" i="3"/>
  <c r="BB535" i="3"/>
  <c r="BC535" i="3"/>
  <c r="BA535" i="3"/>
  <c r="AZ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c r="AZ536" i="3"/>
  <c r="BO536" i="3"/>
  <c r="BP536" i="3"/>
  <c r="BQ536" i="3"/>
  <c r="BR536" i="3"/>
  <c r="BS536" i="3"/>
  <c r="BT536" i="3"/>
  <c r="BB537" i="3"/>
  <c r="BC537" i="3"/>
  <c r="BA537" i="3"/>
  <c r="AZ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c r="AZ538" i="3"/>
  <c r="BO538" i="3"/>
  <c r="BP538" i="3"/>
  <c r="BQ538" i="3"/>
  <c r="BR538" i="3"/>
  <c r="BS538" i="3"/>
  <c r="BT538" i="3"/>
  <c r="BB539" i="3"/>
  <c r="BC539" i="3"/>
  <c r="BA539" i="3"/>
  <c r="AZ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c r="AZ540" i="3"/>
  <c r="BO540" i="3"/>
  <c r="BP540" i="3"/>
  <c r="BQ540" i="3"/>
  <c r="BR540" i="3"/>
  <c r="BS540" i="3"/>
  <c r="BT540" i="3"/>
  <c r="BB541" i="3"/>
  <c r="BC541" i="3"/>
  <c r="BA541" i="3"/>
  <c r="AZ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c r="AZ542" i="3"/>
  <c r="BO542" i="3"/>
  <c r="BP542" i="3"/>
  <c r="BQ542" i="3"/>
  <c r="BR542" i="3"/>
  <c r="BS542" i="3"/>
  <c r="BT542" i="3"/>
  <c r="BB543" i="3"/>
  <c r="BC543" i="3"/>
  <c r="BA543" i="3"/>
  <c r="AZ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c r="AZ544" i="3"/>
  <c r="BO544" i="3"/>
  <c r="BP544" i="3"/>
  <c r="BQ544" i="3"/>
  <c r="BR544" i="3"/>
  <c r="BS544" i="3"/>
  <c r="BT544" i="3"/>
  <c r="BB545" i="3"/>
  <c r="BC545" i="3"/>
  <c r="BA545" i="3"/>
  <c r="AZ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c r="AZ546" i="3"/>
  <c r="BO546" i="3"/>
  <c r="BP546" i="3"/>
  <c r="BQ546" i="3"/>
  <c r="BR546" i="3"/>
  <c r="BS546" i="3"/>
  <c r="BT546" i="3"/>
  <c r="BB547" i="3"/>
  <c r="BC547" i="3"/>
  <c r="BA547" i="3"/>
  <c r="AZ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c r="AZ548" i="3"/>
  <c r="BO548" i="3"/>
  <c r="BP548" i="3"/>
  <c r="BQ548" i="3"/>
  <c r="BR548" i="3"/>
  <c r="BS548" i="3"/>
  <c r="BT548" i="3"/>
  <c r="BB549" i="3"/>
  <c r="BC549" i="3"/>
  <c r="BA549" i="3"/>
  <c r="AZ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c r="AZ550" i="3"/>
  <c r="BO550" i="3"/>
  <c r="BP550" i="3"/>
  <c r="BQ550" i="3"/>
  <c r="BR550" i="3"/>
  <c r="BS550" i="3"/>
  <c r="BT550" i="3"/>
  <c r="BB551" i="3"/>
  <c r="BC551" i="3"/>
  <c r="BA551" i="3"/>
  <c r="AZ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c r="AZ552" i="3"/>
  <c r="BO552" i="3"/>
  <c r="BP552" i="3"/>
  <c r="BQ552" i="3"/>
  <c r="BR552" i="3"/>
  <c r="BS552" i="3"/>
  <c r="BT552" i="3"/>
  <c r="BB553" i="3"/>
  <c r="BC553" i="3"/>
  <c r="BA553" i="3"/>
  <c r="AZ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c r="AZ554" i="3"/>
  <c r="BO554" i="3"/>
  <c r="BP554" i="3"/>
  <c r="BQ554" i="3"/>
  <c r="BR554" i="3"/>
  <c r="BS554" i="3"/>
  <c r="BT554" i="3"/>
  <c r="BB555" i="3"/>
  <c r="BC555" i="3"/>
  <c r="BA555" i="3"/>
  <c r="AZ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c r="AZ556" i="3"/>
  <c r="BO556" i="3"/>
  <c r="BP556" i="3"/>
  <c r="BQ556" i="3"/>
  <c r="BR556" i="3"/>
  <c r="BS556" i="3"/>
  <c r="BT556" i="3"/>
  <c r="BB557" i="3"/>
  <c r="BC557" i="3"/>
  <c r="BA557" i="3"/>
  <c r="AZ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c r="AZ558" i="3"/>
  <c r="BO558" i="3"/>
  <c r="BP558" i="3"/>
  <c r="BQ558" i="3"/>
  <c r="BR558" i="3"/>
  <c r="BS558" i="3"/>
  <c r="BT558" i="3"/>
  <c r="BB559" i="3"/>
  <c r="BC559" i="3"/>
  <c r="BA559" i="3"/>
  <c r="AZ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c r="AZ560" i="3"/>
  <c r="BO560" i="3"/>
  <c r="BP560" i="3"/>
  <c r="BQ560" i="3"/>
  <c r="BR560" i="3"/>
  <c r="BS560" i="3"/>
  <c r="BT560" i="3"/>
  <c r="BB561" i="3"/>
  <c r="BC561" i="3"/>
  <c r="BA561" i="3"/>
  <c r="AZ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c r="AZ562" i="3"/>
  <c r="BO562" i="3"/>
  <c r="BP562" i="3"/>
  <c r="BQ562" i="3"/>
  <c r="BR562" i="3"/>
  <c r="BS562" i="3"/>
  <c r="BT562" i="3"/>
  <c r="BB563" i="3"/>
  <c r="BC563" i="3"/>
  <c r="BA563" i="3"/>
  <c r="AZ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c r="AZ564" i="3"/>
  <c r="BO564" i="3"/>
  <c r="BP564" i="3"/>
  <c r="BQ564" i="3"/>
  <c r="BR564" i="3"/>
  <c r="BS564" i="3"/>
  <c r="BT564" i="3"/>
  <c r="BB565" i="3"/>
  <c r="BC565" i="3"/>
  <c r="BA565" i="3"/>
  <c r="AZ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c r="AZ566" i="3"/>
  <c r="BO566" i="3"/>
  <c r="BP566" i="3"/>
  <c r="BQ566" i="3"/>
  <c r="BR566" i="3"/>
  <c r="BS566" i="3"/>
  <c r="BT566" i="3"/>
  <c r="BB567" i="3"/>
  <c r="BC567" i="3"/>
  <c r="BA567" i="3"/>
  <c r="AZ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c r="AZ568" i="3"/>
  <c r="BO568" i="3"/>
  <c r="BP568" i="3"/>
  <c r="BQ568" i="3"/>
  <c r="BR568" i="3"/>
  <c r="BS568" i="3"/>
  <c r="BT568" i="3"/>
  <c r="BB569" i="3"/>
  <c r="BC569" i="3"/>
  <c r="BA569" i="3"/>
  <c r="AZ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c r="AZ570" i="3"/>
  <c r="BO570" i="3"/>
  <c r="BP570" i="3"/>
  <c r="BQ570" i="3"/>
  <c r="BR570" i="3"/>
  <c r="BS570" i="3"/>
  <c r="BT570" i="3"/>
  <c r="BB571" i="3"/>
  <c r="BC571" i="3"/>
  <c r="BA571" i="3"/>
  <c r="AZ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c r="AZ572" i="3"/>
  <c r="BO572" i="3"/>
  <c r="BP572" i="3"/>
  <c r="BQ572" i="3"/>
  <c r="BR572" i="3"/>
  <c r="BS572" i="3"/>
  <c r="BT572" i="3"/>
  <c r="BB573" i="3"/>
  <c r="BC573" i="3"/>
  <c r="BA573" i="3"/>
  <c r="AZ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c r="AZ574" i="3"/>
  <c r="BO574" i="3"/>
  <c r="BP574" i="3"/>
  <c r="BQ574" i="3"/>
  <c r="BR574" i="3"/>
  <c r="BS574" i="3"/>
  <c r="BT574" i="3"/>
  <c r="BB575" i="3"/>
  <c r="BC575" i="3"/>
  <c r="BA575" i="3"/>
  <c r="AZ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c r="AZ576" i="3"/>
  <c r="BO576" i="3"/>
  <c r="BP576" i="3"/>
  <c r="BQ576" i="3"/>
  <c r="BR576" i="3"/>
  <c r="BS576" i="3"/>
  <c r="BT576" i="3"/>
  <c r="BB577" i="3"/>
  <c r="BC577" i="3"/>
  <c r="BA577" i="3"/>
  <c r="AZ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c r="AZ578" i="3"/>
  <c r="BO578" i="3"/>
  <c r="BP578" i="3"/>
  <c r="BQ578" i="3"/>
  <c r="BR578" i="3"/>
  <c r="BS578" i="3"/>
  <c r="BT578" i="3"/>
  <c r="BB579" i="3"/>
  <c r="BC579" i="3"/>
  <c r="BA579" i="3"/>
  <c r="AZ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c r="AZ580" i="3"/>
  <c r="BO580" i="3"/>
  <c r="BP580" i="3"/>
  <c r="BQ580" i="3"/>
  <c r="BR580" i="3"/>
  <c r="BS580" i="3"/>
  <c r="BT580" i="3"/>
  <c r="BB581" i="3"/>
  <c r="BC581" i="3"/>
  <c r="BA581" i="3"/>
  <c r="AZ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c r="AZ582" i="3"/>
  <c r="BO582" i="3"/>
  <c r="BP582" i="3"/>
  <c r="BQ582" i="3"/>
  <c r="BR582" i="3"/>
  <c r="BS582" i="3"/>
  <c r="BT582" i="3"/>
  <c r="BB583" i="3"/>
  <c r="BC583" i="3"/>
  <c r="BA583" i="3"/>
  <c r="AZ583" i="3"/>
  <c r="BD583" i="3"/>
  <c r="BE583" i="3"/>
  <c r="BE5"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c r="AZ584" i="3"/>
  <c r="BO584" i="3"/>
  <c r="BP584" i="3"/>
  <c r="BQ584" i="3"/>
  <c r="BR584" i="3"/>
  <c r="BS584" i="3"/>
  <c r="BT584" i="3"/>
  <c r="BB585" i="3"/>
  <c r="BC585" i="3"/>
  <c r="BA585" i="3"/>
  <c r="AZ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c r="AZ586" i="3"/>
  <c r="BO586" i="3"/>
  <c r="BP586" i="3"/>
  <c r="BQ586" i="3"/>
  <c r="BR586" i="3"/>
  <c r="BS586" i="3"/>
  <c r="BT586" i="3"/>
  <c r="BB587" i="3"/>
  <c r="BC587" i="3"/>
  <c r="BA587" i="3"/>
  <c r="AZ587" i="3"/>
  <c r="BD587" i="3"/>
  <c r="BE587" i="3"/>
  <c r="BF587" i="3"/>
  <c r="BG587" i="3"/>
  <c r="BG5" i="3"/>
  <c r="BH587" i="3"/>
  <c r="BI587" i="3"/>
  <c r="BJ587" i="3"/>
  <c r="BK587" i="3"/>
  <c r="BM587" i="3"/>
  <c r="BN587" i="3"/>
  <c r="BO587" i="3"/>
  <c r="BP587" i="3"/>
  <c r="BQ587" i="3"/>
  <c r="BR587" i="3"/>
  <c r="BS587" i="3"/>
  <c r="BT587" i="3"/>
  <c r="BL587" i="3"/>
  <c r="BB5" i="3"/>
  <c r="BD5" i="3"/>
  <c r="BF5" i="3"/>
  <c r="BH5" i="3"/>
  <c r="BI5" i="3"/>
  <c r="BJ5" i="3"/>
  <c r="BK5" i="3"/>
  <c r="BM5" i="3"/>
  <c r="BN5" i="3"/>
  <c r="BO5" i="3"/>
  <c r="BP5" i="3"/>
  <c r="BQ5" i="3"/>
  <c r="BR5" i="3"/>
  <c r="BS5" i="3"/>
  <c r="BT5" i="3"/>
  <c r="E5" i="6"/>
  <c r="D9" i="68"/>
  <c r="B31" i="1"/>
  <c r="E19" i="68"/>
  <c r="N3" i="77"/>
  <c r="E41" i="40"/>
  <c r="R41" i="40"/>
  <c r="E7" i="40"/>
  <c r="B2" i="1"/>
  <c r="C7" i="40"/>
  <c r="C63" i="40"/>
  <c r="C65" i="40"/>
  <c r="D63" i="40"/>
  <c r="D65" i="40"/>
  <c r="E63" i="40"/>
  <c r="E65" i="40"/>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D66" i="40"/>
  <c r="E66" i="40"/>
  <c r="F66" i="40"/>
  <c r="G66" i="40"/>
  <c r="H66" i="40"/>
  <c r="I66" i="40"/>
  <c r="J66" i="40"/>
  <c r="K66" i="40"/>
  <c r="L66" i="40"/>
  <c r="M66" i="40"/>
  <c r="N66" i="40"/>
  <c r="O66" i="40"/>
  <c r="F8" i="40"/>
  <c r="AA8" i="40"/>
  <c r="F9" i="40"/>
  <c r="AA9" i="40"/>
  <c r="D76" i="40"/>
  <c r="F11" i="40"/>
  <c r="AA11" i="40"/>
  <c r="B77" i="40"/>
  <c r="F12" i="40"/>
  <c r="AA12" i="40"/>
  <c r="B79" i="40"/>
  <c r="F13" i="40"/>
  <c r="AA13" i="40"/>
  <c r="B81" i="40"/>
  <c r="F14" i="40"/>
  <c r="AA14" i="40"/>
  <c r="D84" i="40"/>
  <c r="E84" i="40"/>
  <c r="F15" i="40"/>
  <c r="AA15" i="40"/>
  <c r="D86" i="40"/>
  <c r="E86" i="40"/>
  <c r="F17" i="40"/>
  <c r="AA17" i="40"/>
  <c r="D88" i="40"/>
  <c r="F19" i="40"/>
  <c r="AA19" i="40"/>
  <c r="D90" i="40"/>
  <c r="E90" i="40"/>
  <c r="D92" i="40"/>
  <c r="E92" i="40"/>
  <c r="F25" i="40"/>
  <c r="AA25" i="40"/>
  <c r="B95" i="40"/>
  <c r="F27" i="40"/>
  <c r="AA27" i="40"/>
  <c r="F28" i="40"/>
  <c r="AA28" i="40"/>
  <c r="C30" i="40"/>
  <c r="F30" i="40"/>
  <c r="AA30" i="40"/>
  <c r="B101" i="40"/>
  <c r="F31" i="40"/>
  <c r="AA31" i="40"/>
  <c r="B103" i="40"/>
  <c r="F32" i="40"/>
  <c r="AA32" i="40"/>
  <c r="B105" i="40"/>
  <c r="F33" i="40"/>
  <c r="AA33" i="40"/>
  <c r="E34" i="40"/>
  <c r="C34" i="40"/>
  <c r="F34" i="40"/>
  <c r="AA34" i="40"/>
  <c r="F35" i="40"/>
  <c r="AA35" i="40"/>
  <c r="F36" i="40"/>
  <c r="AA36" i="40"/>
  <c r="F37" i="40"/>
  <c r="AA37" i="40"/>
  <c r="B116" i="40"/>
  <c r="F38" i="40"/>
  <c r="AA38" i="40"/>
  <c r="B118" i="40"/>
  <c r="F39" i="40"/>
  <c r="AA39" i="40"/>
  <c r="B120" i="40"/>
  <c r="F40" i="40"/>
  <c r="AA40" i="40"/>
  <c r="C1" i="73"/>
  <c r="J1" i="73"/>
  <c r="B22" i="1"/>
  <c r="E1" i="73"/>
  <c r="K1" i="73"/>
  <c r="F21" i="68"/>
  <c r="B23" i="1"/>
  <c r="C21" i="68"/>
  <c r="B24" i="1"/>
  <c r="F34" i="68"/>
  <c r="A6" i="1"/>
  <c r="F19" i="6"/>
  <c r="E19" i="6"/>
  <c r="K6" i="1"/>
  <c r="A7" i="1"/>
  <c r="E20" i="6"/>
  <c r="K7" i="1"/>
  <c r="A8" i="1"/>
  <c r="K8" i="1"/>
  <c r="M8" i="1"/>
  <c r="A9" i="1"/>
  <c r="K9" i="1"/>
  <c r="M9" i="1"/>
  <c r="A10" i="1"/>
  <c r="K10" i="1"/>
  <c r="M10" i="1"/>
  <c r="A11" i="1"/>
  <c r="K11" i="1"/>
  <c r="M11" i="1"/>
  <c r="A12" i="1"/>
  <c r="K12" i="1"/>
  <c r="M12" i="1"/>
  <c r="A13" i="1"/>
  <c r="K13" i="1"/>
  <c r="M13" i="1"/>
  <c r="F28" i="6"/>
  <c r="G28" i="6"/>
  <c r="E28" i="6"/>
  <c r="F35" i="68"/>
  <c r="C42" i="1"/>
  <c r="F36" i="68"/>
  <c r="E37" i="68"/>
  <c r="F38" i="68"/>
  <c r="F20" i="68"/>
  <c r="C40" i="68"/>
  <c r="G1" i="67"/>
  <c r="B43" i="1"/>
  <c r="B41" i="1"/>
  <c r="F33" i="67"/>
  <c r="E21" i="6"/>
  <c r="E22" i="6"/>
  <c r="E23" i="6"/>
  <c r="E24" i="6"/>
  <c r="E25" i="6"/>
  <c r="E26" i="6"/>
  <c r="L19" i="6"/>
  <c r="B52" i="1"/>
  <c r="F34" i="67"/>
  <c r="F15" i="67"/>
  <c r="F17" i="67"/>
  <c r="F18" i="67"/>
  <c r="F20" i="67"/>
  <c r="F23" i="67"/>
  <c r="F21" i="67"/>
  <c r="Y6" i="1"/>
  <c r="I15" i="4"/>
  <c r="F6" i="1"/>
  <c r="M47" i="67"/>
  <c r="J50" i="67"/>
  <c r="J51" i="67"/>
  <c r="F33" i="15"/>
  <c r="L20" i="6"/>
  <c r="F34" i="15"/>
  <c r="F15" i="15"/>
  <c r="F17" i="15"/>
  <c r="F18" i="15"/>
  <c r="F20" i="15"/>
  <c r="F23" i="15"/>
  <c r="F21" i="15"/>
  <c r="M47" i="15"/>
  <c r="J50" i="15"/>
  <c r="J51" i="15"/>
  <c r="A6" i="70"/>
  <c r="A7" i="70"/>
  <c r="A8" i="70"/>
  <c r="A9" i="70"/>
  <c r="A10" i="70"/>
  <c r="A11" i="70"/>
  <c r="A12" i="70"/>
  <c r="A13" i="70"/>
  <c r="E8" i="70"/>
  <c r="E9" i="70"/>
  <c r="E10" i="70"/>
  <c r="E11" i="70"/>
  <c r="E12" i="70"/>
  <c r="E13" i="70"/>
  <c r="N4" i="77"/>
  <c r="G41" i="40"/>
  <c r="H11" i="40"/>
  <c r="AB11" i="40"/>
  <c r="G7" i="40"/>
  <c r="H8" i="40"/>
  <c r="AB8" i="40"/>
  <c r="H9" i="40"/>
  <c r="AB9" i="40"/>
  <c r="J11" i="40"/>
  <c r="AC11" i="40"/>
  <c r="N7" i="77"/>
  <c r="I41" i="40"/>
  <c r="I7" i="40"/>
  <c r="J8" i="40"/>
  <c r="AC8" i="40"/>
  <c r="J9" i="40"/>
  <c r="AC9" i="40"/>
  <c r="J12" i="40"/>
  <c r="AC12" i="40"/>
  <c r="J13" i="40"/>
  <c r="AC13" i="40"/>
  <c r="J14" i="40"/>
  <c r="AC14" i="40"/>
  <c r="J15" i="40"/>
  <c r="AC15" i="40"/>
  <c r="J17" i="40"/>
  <c r="AC17" i="40"/>
  <c r="J19" i="40"/>
  <c r="AC19" i="40"/>
  <c r="J25" i="40"/>
  <c r="AC25" i="40"/>
  <c r="J27" i="40"/>
  <c r="AC27" i="40"/>
  <c r="J28" i="40"/>
  <c r="AC28" i="40"/>
  <c r="J30" i="40"/>
  <c r="AC30" i="40"/>
  <c r="J31" i="40"/>
  <c r="AC31" i="40"/>
  <c r="J32" i="40"/>
  <c r="AC32" i="40"/>
  <c r="J33" i="40"/>
  <c r="AC33" i="40"/>
  <c r="I34" i="40"/>
  <c r="J34" i="40"/>
  <c r="AC34" i="40"/>
  <c r="J35" i="40"/>
  <c r="AC35" i="40"/>
  <c r="J36" i="40"/>
  <c r="AC36" i="40"/>
  <c r="J37" i="40"/>
  <c r="AC37" i="40"/>
  <c r="J38" i="40"/>
  <c r="AC38" i="40"/>
  <c r="J39" i="40"/>
  <c r="AC39" i="40"/>
  <c r="J40" i="40"/>
  <c r="AC40" i="40"/>
  <c r="G34" i="40"/>
  <c r="H34" i="40"/>
  <c r="AB34" i="40"/>
  <c r="B3" i="79"/>
  <c r="D4" i="79"/>
  <c r="B4" i="79"/>
  <c r="E4" i="79"/>
  <c r="BB10" i="3"/>
  <c r="BC10" i="3"/>
  <c r="E8" i="6"/>
  <c r="F27" i="6"/>
  <c r="BD10" i="3"/>
  <c r="BE10" i="3"/>
  <c r="BF10" i="3"/>
  <c r="BG10" i="3"/>
  <c r="BH10" i="3"/>
  <c r="BI10" i="3"/>
  <c r="BJ10" i="3"/>
  <c r="BK10" i="3"/>
  <c r="D7" i="1"/>
  <c r="D6" i="1"/>
  <c r="G1" i="78"/>
  <c r="F33" i="78"/>
  <c r="F15" i="78"/>
  <c r="F17" i="78"/>
  <c r="F18" i="78"/>
  <c r="F20" i="78"/>
  <c r="F23" i="78"/>
  <c r="D23" i="78"/>
  <c r="F21" i="78"/>
  <c r="M47" i="78"/>
  <c r="J50" i="78"/>
  <c r="J51" i="78"/>
  <c r="R41" i="37"/>
  <c r="C7" i="37"/>
  <c r="C52" i="37"/>
  <c r="D52" i="37"/>
  <c r="E52" i="37"/>
  <c r="F52" i="37"/>
  <c r="G52" i="37"/>
  <c r="H52" i="37"/>
  <c r="I52" i="37"/>
  <c r="J52" i="37"/>
  <c r="K52" i="37"/>
  <c r="L52" i="37"/>
  <c r="M52" i="37"/>
  <c r="N52" i="37"/>
  <c r="O52" i="37"/>
  <c r="C3" i="79"/>
  <c r="C4" i="79"/>
  <c r="F5" i="79"/>
  <c r="Q72" i="78"/>
  <c r="Q59" i="78"/>
  <c r="K59" i="78"/>
  <c r="P74" i="78"/>
  <c r="Q58" i="78"/>
  <c r="Q51" i="78"/>
  <c r="D46" i="78"/>
  <c r="F61" i="78"/>
  <c r="M19" i="78"/>
  <c r="I6" i="40"/>
  <c r="G6" i="40"/>
  <c r="E6" i="40"/>
  <c r="D24" i="78"/>
  <c r="P61" i="78"/>
  <c r="D22" i="78"/>
  <c r="N5" i="71"/>
  <c r="Q5" i="71"/>
  <c r="P5" i="71"/>
  <c r="O5" i="71"/>
  <c r="Q6" i="71"/>
  <c r="P6" i="71"/>
  <c r="O6" i="71"/>
  <c r="N6" i="71"/>
  <c r="A2" i="53"/>
  <c r="K59" i="67"/>
  <c r="P61" i="67"/>
  <c r="K59" i="15"/>
  <c r="P74" i="15"/>
  <c r="P61" i="15"/>
  <c r="D116" i="39"/>
  <c r="E116" i="39"/>
  <c r="F116" i="39"/>
  <c r="G116" i="39"/>
  <c r="H116" i="39"/>
  <c r="I116" i="39"/>
  <c r="J116" i="39"/>
  <c r="K116" i="39"/>
  <c r="L116" i="39"/>
  <c r="M116" i="39"/>
  <c r="C116" i="39"/>
  <c r="A21" i="62"/>
  <c r="A20" i="62"/>
  <c r="B66" i="72"/>
  <c r="A22" i="51"/>
  <c r="A21" i="51"/>
  <c r="B16" i="72"/>
  <c r="A20" i="51"/>
  <c r="A15" i="62"/>
  <c r="A14" i="62"/>
  <c r="A13" i="62"/>
  <c r="A19" i="62"/>
  <c r="A12" i="62"/>
  <c r="B58" i="72"/>
  <c r="A120" i="9"/>
  <c r="H2" i="52"/>
  <c r="A1" i="52"/>
  <c r="A3" i="53"/>
  <c r="Q7" i="71"/>
  <c r="P7" i="71"/>
  <c r="O7" i="71"/>
  <c r="N7" i="71"/>
  <c r="D5" i="43"/>
  <c r="A15" i="51"/>
  <c r="C76" i="9"/>
  <c r="I107" i="40"/>
  <c r="K6" i="4"/>
  <c r="B22" i="31"/>
  <c r="N56" i="9"/>
  <c r="M56" i="9"/>
  <c r="K56" i="9"/>
  <c r="E17" i="74"/>
  <c r="F17" i="74"/>
  <c r="E18" i="74"/>
  <c r="F18" i="74"/>
  <c r="E19" i="74"/>
  <c r="F19" i="74"/>
  <c r="E20" i="74"/>
  <c r="F20" i="74"/>
  <c r="E21" i="74"/>
  <c r="F21" i="74"/>
  <c r="E22" i="74"/>
  <c r="F22" i="74"/>
  <c r="E23" i="74"/>
  <c r="F23" i="74"/>
  <c r="B3" i="74"/>
  <c r="C91" i="9"/>
  <c r="B8" i="72"/>
  <c r="M19" i="43"/>
  <c r="O8" i="71"/>
  <c r="P8" i="71"/>
  <c r="Q8" i="71"/>
  <c r="N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E109" i="9"/>
  <c r="A124" i="9"/>
  <c r="B44" i="72"/>
  <c r="B42" i="72"/>
  <c r="B69" i="72"/>
  <c r="B68" i="72"/>
  <c r="B63" i="72"/>
  <c r="B62" i="72"/>
  <c r="B65" i="72"/>
  <c r="B60" i="72"/>
  <c r="B59" i="72"/>
  <c r="B67" i="72"/>
  <c r="B12" i="72"/>
  <c r="B10" i="72"/>
  <c r="C53" i="10"/>
  <c r="B51" i="10"/>
  <c r="B19" i="72"/>
  <c r="A18" i="51"/>
  <c r="B13" i="72"/>
  <c r="C8" i="68"/>
  <c r="B49" i="48"/>
  <c r="B5" i="72"/>
  <c r="I19" i="43"/>
  <c r="D70" i="71"/>
  <c r="F69" i="71"/>
  <c r="F68" i="71"/>
  <c r="F67" i="71"/>
  <c r="E69" i="71"/>
  <c r="E68" i="71"/>
  <c r="E67" i="71"/>
  <c r="C69" i="71"/>
  <c r="D69" i="71"/>
  <c r="B69" i="71"/>
  <c r="B68" i="71"/>
  <c r="B67" i="71"/>
  <c r="D66" i="71"/>
  <c r="F65" i="71"/>
  <c r="F64" i="71"/>
  <c r="F63" i="71"/>
  <c r="E65" i="71"/>
  <c r="E64" i="71"/>
  <c r="E63" i="71"/>
  <c r="C65" i="71"/>
  <c r="D65" i="71"/>
  <c r="B65"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D46" i="71"/>
  <c r="Q45" i="71"/>
  <c r="P45" i="71"/>
  <c r="O45" i="71"/>
  <c r="N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O20" i="71"/>
  <c r="Y20" i="71"/>
  <c r="Z20" i="71"/>
  <c r="N20" i="71"/>
  <c r="X20" i="71"/>
  <c r="Q19" i="71"/>
  <c r="AB19" i="71"/>
  <c r="P19" i="71"/>
  <c r="O19" i="71"/>
  <c r="Y19" i="71"/>
  <c r="Z19" i="71"/>
  <c r="N19" i="71"/>
  <c r="X19" i="71"/>
  <c r="Q18" i="71"/>
  <c r="F19" i="71"/>
  <c r="F20" i="71"/>
  <c r="F21" i="71"/>
  <c r="V21" i="71"/>
  <c r="P18" i="71"/>
  <c r="E19" i="71"/>
  <c r="E20" i="71"/>
  <c r="E21" i="71"/>
  <c r="U21" i="71"/>
  <c r="O18" i="71"/>
  <c r="N18" i="71"/>
  <c r="D18" i="71"/>
  <c r="Q17" i="71"/>
  <c r="AB17" i="71"/>
  <c r="P17" i="71"/>
  <c r="O17" i="71"/>
  <c r="Y17" i="71"/>
  <c r="Z17" i="71"/>
  <c r="N17" i="71"/>
  <c r="X16" i="71"/>
  <c r="Q16" i="71"/>
  <c r="AB16" i="71"/>
  <c r="P16" i="71"/>
  <c r="O16" i="71"/>
  <c r="Y16" i="71"/>
  <c r="Z16" i="71"/>
  <c r="N16" i="71"/>
  <c r="Q15" i="71"/>
  <c r="AB15" i="71"/>
  <c r="P15" i="71"/>
  <c r="O15" i="71"/>
  <c r="Y15" i="71"/>
  <c r="Z15" i="71"/>
  <c r="N15" i="71"/>
  <c r="X15" i="71"/>
  <c r="Q14" i="71"/>
  <c r="F15" i="71"/>
  <c r="F16" i="71"/>
  <c r="F17" i="71"/>
  <c r="V17" i="71"/>
  <c r="P14" i="71"/>
  <c r="E15" i="71"/>
  <c r="E16" i="71"/>
  <c r="E17" i="71"/>
  <c r="U17" i="71"/>
  <c r="O14" i="71"/>
  <c r="N14" i="71"/>
  <c r="B15" i="71"/>
  <c r="B16" i="71"/>
  <c r="B17" i="71"/>
  <c r="S17" i="71"/>
  <c r="D14" i="71"/>
  <c r="Q13" i="71"/>
  <c r="AB13" i="71"/>
  <c r="P13" i="71"/>
  <c r="AA12" i="71"/>
  <c r="O13" i="71"/>
  <c r="Y13" i="71"/>
  <c r="Z13" i="71"/>
  <c r="N13" i="71"/>
  <c r="Q12" i="71"/>
  <c r="AB12" i="71"/>
  <c r="P12" i="71"/>
  <c r="O12" i="71"/>
  <c r="Y12" i="71"/>
  <c r="Z12" i="71"/>
  <c r="N12" i="71"/>
  <c r="Q11" i="71"/>
  <c r="AB11" i="71"/>
  <c r="P11" i="71"/>
  <c r="AA11" i="71"/>
  <c r="O11" i="71"/>
  <c r="Y11" i="71"/>
  <c r="Z11" i="71"/>
  <c r="N11" i="71"/>
  <c r="Q10" i="71"/>
  <c r="F11" i="71"/>
  <c r="F12" i="71"/>
  <c r="F13" i="71"/>
  <c r="V13" i="71"/>
  <c r="P10" i="71"/>
  <c r="AA3" i="71"/>
  <c r="O10" i="71"/>
  <c r="N10" i="71"/>
  <c r="B11" i="71"/>
  <c r="B12" i="71"/>
  <c r="B13" i="71"/>
  <c r="S13" i="71"/>
  <c r="D10" i="71"/>
  <c r="O9" i="71"/>
  <c r="Y5" i="71"/>
  <c r="Z5" i="71"/>
  <c r="N9" i="71"/>
  <c r="X5" i="71"/>
  <c r="E11" i="71"/>
  <c r="E12" i="71"/>
  <c r="E13" i="71"/>
  <c r="U13" i="71"/>
  <c r="AA10" i="71"/>
  <c r="B19" i="71"/>
  <c r="B20" i="71"/>
  <c r="B21" i="71"/>
  <c r="S21" i="71"/>
  <c r="X18" i="71"/>
  <c r="N49" i="71"/>
  <c r="C11" i="71"/>
  <c r="C12" i="71"/>
  <c r="X11" i="71"/>
  <c r="X12" i="71"/>
  <c r="X13" i="71"/>
  <c r="C15" i="71"/>
  <c r="C16" i="71"/>
  <c r="Y14" i="71"/>
  <c r="Z14" i="71"/>
  <c r="AB14" i="71"/>
  <c r="AA15" i="71"/>
  <c r="AA16" i="71"/>
  <c r="AA17" i="71"/>
  <c r="C19" i="71"/>
  <c r="Y18" i="71"/>
  <c r="Z18" i="71"/>
  <c r="AB18" i="71"/>
  <c r="AA19" i="71"/>
  <c r="C9" i="71"/>
  <c r="T9" i="71"/>
  <c r="B9" i="71"/>
  <c r="B8" i="71"/>
  <c r="B7" i="71"/>
  <c r="B6" i="71"/>
  <c r="B5" i="71"/>
  <c r="X6" i="71"/>
  <c r="X8" i="71"/>
  <c r="X9" i="71"/>
  <c r="D11" i="71"/>
  <c r="C20" i="71"/>
  <c r="D20" i="71"/>
  <c r="D19" i="71"/>
  <c r="C24" i="71"/>
  <c r="D24" i="71"/>
  <c r="D23" i="71"/>
  <c r="C28" i="71"/>
  <c r="D28" i="71"/>
  <c r="D27" i="71"/>
  <c r="C32" i="71"/>
  <c r="D31" i="71"/>
  <c r="P9" i="71"/>
  <c r="AA5" i="71"/>
  <c r="E40" i="71"/>
  <c r="E41" i="71"/>
  <c r="U41" i="71"/>
  <c r="U49" i="71"/>
  <c r="E48" i="71"/>
  <c r="E47" i="71"/>
  <c r="Q9" i="71"/>
  <c r="AB5" i="71"/>
  <c r="C40" i="71"/>
  <c r="D39" i="71"/>
  <c r="Q48" i="71"/>
  <c r="T49" i="71"/>
  <c r="O49" i="71"/>
  <c r="D49" i="71"/>
  <c r="C48" i="71"/>
  <c r="Q49" i="71"/>
  <c r="C52" i="71"/>
  <c r="E52" i="71"/>
  <c r="E51" i="71"/>
  <c r="D53" i="71"/>
  <c r="C56" i="71"/>
  <c r="E56" i="71"/>
  <c r="E55" i="71"/>
  <c r="D57" i="71"/>
  <c r="C60" i="71"/>
  <c r="E60" i="71"/>
  <c r="E59" i="71"/>
  <c r="D61" i="71"/>
  <c r="C64" i="71"/>
  <c r="C68" i="71"/>
  <c r="D68" i="71"/>
  <c r="C8" i="71"/>
  <c r="D8" i="71"/>
  <c r="S9" i="71"/>
  <c r="F9" i="71"/>
  <c r="F8" i="71"/>
  <c r="F7" i="71"/>
  <c r="F6" i="71"/>
  <c r="F5" i="71"/>
  <c r="AB6" i="71"/>
  <c r="AB8" i="71"/>
  <c r="E9" i="71"/>
  <c r="E8" i="71"/>
  <c r="E7" i="71"/>
  <c r="E6" i="71"/>
  <c r="E5" i="71"/>
  <c r="AA6" i="71"/>
  <c r="AA8" i="71"/>
  <c r="D9" i="71"/>
  <c r="U9" i="71"/>
  <c r="C47" i="71"/>
  <c r="O47" i="71"/>
  <c r="O48" i="71"/>
  <c r="D48" i="71"/>
  <c r="D64" i="71"/>
  <c r="C63" i="71"/>
  <c r="D63" i="71"/>
  <c r="D56" i="71"/>
  <c r="C55" i="71"/>
  <c r="D55" i="71"/>
  <c r="C67" i="71"/>
  <c r="D67" i="71"/>
  <c r="D60" i="71"/>
  <c r="C59" i="71"/>
  <c r="D59" i="71"/>
  <c r="D52" i="71"/>
  <c r="C51" i="71"/>
  <c r="D51" i="71"/>
  <c r="C41" i="71"/>
  <c r="D41" i="71"/>
  <c r="D40" i="71"/>
  <c r="P48" i="71"/>
  <c r="C33" i="71"/>
  <c r="D33" i="71"/>
  <c r="D32" i="71"/>
  <c r="C25" i="71"/>
  <c r="D25" i="71"/>
  <c r="C21" i="71"/>
  <c r="D21" i="71"/>
  <c r="C7" i="71"/>
  <c r="C6" i="71"/>
  <c r="V9" i="71"/>
  <c r="D47" i="71"/>
  <c r="T21" i="71"/>
  <c r="T25" i="71"/>
  <c r="T33" i="71"/>
  <c r="T41" i="71"/>
  <c r="D7" i="71"/>
  <c r="O27" i="6"/>
  <c r="N27" i="6"/>
  <c r="P20" i="6"/>
  <c r="P27" i="6"/>
  <c r="P21" i="6"/>
  <c r="P22" i="6"/>
  <c r="P23" i="6"/>
  <c r="P24" i="6"/>
  <c r="P25" i="6"/>
  <c r="P26" i="6"/>
  <c r="P19" i="6"/>
  <c r="AP8" i="1"/>
  <c r="AP9" i="1"/>
  <c r="AP10" i="1"/>
  <c r="AP11" i="1"/>
  <c r="AP12" i="1"/>
  <c r="AP13" i="1"/>
  <c r="L21" i="6"/>
  <c r="L22" i="6"/>
  <c r="L23" i="6"/>
  <c r="L24" i="6"/>
  <c r="L25" i="6"/>
  <c r="L26" i="6"/>
  <c r="Q25" i="40"/>
  <c r="Z25" i="40"/>
  <c r="D94" i="40"/>
  <c r="E94" i="40"/>
  <c r="F94" i="40"/>
  <c r="G94"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C25" i="40"/>
  <c r="S25" i="40"/>
  <c r="S18" i="36"/>
  <c r="U18" i="36"/>
  <c r="S21" i="34"/>
  <c r="H25" i="40"/>
  <c r="H29" i="39"/>
  <c r="J29" i="39"/>
  <c r="J18" i="36"/>
  <c r="H18" i="35"/>
  <c r="S18" i="35"/>
  <c r="J18" i="35"/>
  <c r="F77" i="37"/>
  <c r="H21" i="37"/>
  <c r="F21" i="37"/>
  <c r="H21" i="34"/>
  <c r="F83" i="33"/>
  <c r="H21" i="33"/>
  <c r="F21" i="33"/>
  <c r="E83" i="21"/>
  <c r="S21" i="21"/>
  <c r="H1" i="69"/>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AC21" i="37"/>
  <c r="J21" i="34"/>
  <c r="AC21" i="34"/>
  <c r="G83" i="33"/>
  <c r="J21" i="33"/>
  <c r="AC21" i="33"/>
  <c r="F83" i="21"/>
  <c r="H21" i="21"/>
  <c r="AB21" i="21"/>
  <c r="F38" i="69"/>
  <c r="E37" i="69"/>
  <c r="F36" i="69"/>
  <c r="F35" i="69"/>
  <c r="F21" i="69"/>
  <c r="C21" i="69"/>
  <c r="F20" i="69"/>
  <c r="E10" i="69"/>
  <c r="E9" i="69"/>
  <c r="F7" i="69"/>
  <c r="W21" i="37"/>
  <c r="W21" i="34"/>
  <c r="W21" i="33"/>
  <c r="U21" i="21"/>
  <c r="G83" i="21"/>
  <c r="J21" i="21"/>
  <c r="W21" i="21"/>
  <c r="C40" i="69"/>
  <c r="E10" i="68"/>
  <c r="E9" i="68"/>
  <c r="F7" i="68"/>
  <c r="AC21" i="21"/>
  <c r="Q72" i="67"/>
  <c r="Q59" i="67"/>
  <c r="Q58" i="67"/>
  <c r="Q51" i="67"/>
  <c r="D46" i="67"/>
  <c r="F61" i="67"/>
  <c r="D24" i="67"/>
  <c r="M19"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8" i="1"/>
  <c r="B8" i="1"/>
  <c r="E8" i="1"/>
  <c r="O10" i="1"/>
  <c r="B11" i="1"/>
  <c r="E11" i="1"/>
  <c r="B7" i="1"/>
  <c r="E7" i="1"/>
  <c r="B13" i="1"/>
  <c r="E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H15" i="4"/>
  <c r="G15" i="4"/>
  <c r="E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61" i="15"/>
  <c r="M19" i="15"/>
  <c r="D78" i="9"/>
  <c r="D24" i="15"/>
  <c r="O8" i="1"/>
  <c r="P8" i="1"/>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T4" i="1"/>
  <c r="D3" i="35"/>
  <c r="E59" i="9"/>
  <c r="N55" i="9"/>
  <c r="K55" i="9"/>
  <c r="F59" i="9"/>
  <c r="N54" i="9"/>
  <c r="N53" i="9"/>
  <c r="E48" i="9"/>
  <c r="N52" i="9"/>
  <c r="O55" i="9"/>
  <c r="F56" i="9"/>
  <c r="O54" i="9"/>
  <c r="D101" i="9"/>
  <c r="C101" i="9"/>
  <c r="H104" i="9"/>
  <c r="D10" i="53"/>
  <c r="B26" i="72"/>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J35" i="39"/>
  <c r="AC35" i="39"/>
  <c r="B112" i="39"/>
  <c r="J30" i="36"/>
  <c r="H30" i="36"/>
  <c r="F30" i="36"/>
  <c r="AA30" i="36"/>
  <c r="C26" i="35"/>
  <c r="C79" i="35"/>
  <c r="J31" i="35"/>
  <c r="W31" i="35"/>
  <c r="H31" i="35"/>
  <c r="F31" i="35"/>
  <c r="S31" i="35"/>
  <c r="D87" i="35"/>
  <c r="E87" i="35"/>
  <c r="F87" i="35"/>
  <c r="G87" i="35"/>
  <c r="H87" i="35"/>
  <c r="I87" i="35"/>
  <c r="J87" i="35"/>
  <c r="K87" i="35"/>
  <c r="L87" i="35"/>
  <c r="M87" i="35"/>
  <c r="H34" i="37"/>
  <c r="AB34" i="37"/>
  <c r="D101" i="37"/>
  <c r="F34" i="37"/>
  <c r="S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AC41" i="33"/>
  <c r="D113" i="33"/>
  <c r="F37" i="33"/>
  <c r="D111" i="33"/>
  <c r="E111" i="33"/>
  <c r="F11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E76" i="40"/>
  <c r="F76" i="40"/>
  <c r="G76" i="40"/>
  <c r="H76" i="40"/>
  <c r="I76" i="40"/>
  <c r="J76" i="40"/>
  <c r="K76" i="40"/>
  <c r="L76" i="40"/>
  <c r="M7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W33" i="40"/>
  <c r="D100" i="40"/>
  <c r="E100" i="40"/>
  <c r="F100" i="40"/>
  <c r="G100" i="40"/>
  <c r="H100" i="40"/>
  <c r="I100" i="40"/>
  <c r="J100" i="40"/>
  <c r="K100" i="40"/>
  <c r="L100" i="40"/>
  <c r="M100" i="40"/>
  <c r="D98" i="40"/>
  <c r="D96" i="40"/>
  <c r="E96" i="40"/>
  <c r="F96" i="40"/>
  <c r="G96" i="40"/>
  <c r="H96" i="40"/>
  <c r="I96" i="40"/>
  <c r="J96" i="40"/>
  <c r="K96" i="40"/>
  <c r="L96" i="40"/>
  <c r="M96" i="40"/>
  <c r="E88" i="40"/>
  <c r="F88" i="40"/>
  <c r="G88" i="40"/>
  <c r="F86" i="40"/>
  <c r="G86" i="40"/>
  <c r="F84" i="40"/>
  <c r="G84" i="40"/>
  <c r="M74" i="40"/>
  <c r="L74" i="40"/>
  <c r="K74" i="40"/>
  <c r="J74" i="40"/>
  <c r="I74" i="40"/>
  <c r="H74" i="40"/>
  <c r="G74" i="40"/>
  <c r="F74" i="40"/>
  <c r="E74" i="40"/>
  <c r="D74" i="40"/>
  <c r="C74" i="40"/>
  <c r="P43" i="40"/>
  <c r="P42" i="40"/>
  <c r="P41" i="40"/>
  <c r="Q40" i="40"/>
  <c r="Z40" i="40"/>
  <c r="W40" i="40"/>
  <c r="H40" i="40"/>
  <c r="AB40" i="40"/>
  <c r="Q39" i="40"/>
  <c r="Z39" i="40"/>
  <c r="Q38" i="40"/>
  <c r="Z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E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U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AB22" i="36"/>
  <c r="D68" i="36"/>
  <c r="E68" i="36"/>
  <c r="F68" i="36"/>
  <c r="G68" i="36"/>
  <c r="D64" i="36"/>
  <c r="E64" i="36"/>
  <c r="F64" i="36"/>
  <c r="G64" i="36"/>
  <c r="J16" i="36"/>
  <c r="W16" i="36"/>
  <c r="D62" i="36"/>
  <c r="E62" i="36"/>
  <c r="F62" i="36"/>
  <c r="G62" i="36"/>
  <c r="B59" i="36"/>
  <c r="B57" i="36"/>
  <c r="J12" i="36"/>
  <c r="B55" i="36"/>
  <c r="J11"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AB34" i="35"/>
  <c r="B77" i="35"/>
  <c r="B75" i="35"/>
  <c r="J24" i="35"/>
  <c r="AC24" i="35"/>
  <c r="B73" i="35"/>
  <c r="H23" i="35"/>
  <c r="U23" i="35"/>
  <c r="B57" i="35"/>
  <c r="H11" i="35"/>
  <c r="U11" i="35"/>
  <c r="B61" i="35"/>
  <c r="B59" i="35"/>
  <c r="H12" i="35"/>
  <c r="B131" i="34"/>
  <c r="B129" i="34"/>
  <c r="F46" i="34"/>
  <c r="B127" i="34"/>
  <c r="B99" i="34"/>
  <c r="H32" i="34"/>
  <c r="B97" i="34"/>
  <c r="B95" i="34"/>
  <c r="F30" i="34"/>
  <c r="S30" i="34"/>
  <c r="B93" i="34"/>
  <c r="B75" i="34"/>
  <c r="J14" i="34"/>
  <c r="W14" i="34"/>
  <c r="B73" i="34"/>
  <c r="B71" i="34"/>
  <c r="J12" i="34"/>
  <c r="B130" i="33"/>
  <c r="B128" i="33"/>
  <c r="J45" i="33"/>
  <c r="W45" i="33"/>
  <c r="B126" i="33"/>
  <c r="B98" i="33"/>
  <c r="J31" i="33"/>
  <c r="B96" i="33"/>
  <c r="B94" i="33"/>
  <c r="H29" i="33"/>
  <c r="U29" i="33"/>
  <c r="B74" i="33"/>
  <c r="B72" i="33"/>
  <c r="J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J26" i="33"/>
  <c r="C23" i="33"/>
  <c r="C19" i="33"/>
  <c r="C17" i="33"/>
  <c r="C15" i="33"/>
  <c r="C15" i="21"/>
  <c r="D125" i="33"/>
  <c r="E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F28" i="33"/>
  <c r="AA28"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H46" i="21"/>
  <c r="U46" i="21"/>
  <c r="B128" i="21"/>
  <c r="J45" i="21"/>
  <c r="W45" i="21"/>
  <c r="B126" i="21"/>
  <c r="H44" i="21"/>
  <c r="U44" i="21"/>
  <c r="B98" i="21"/>
  <c r="H31" i="21"/>
  <c r="B96" i="21"/>
  <c r="H30" i="21"/>
  <c r="B94" i="21"/>
  <c r="J29" i="21"/>
  <c r="AC29" i="21"/>
  <c r="B92" i="21"/>
  <c r="F28" i="21"/>
  <c r="AA28" i="21"/>
  <c r="B90" i="21"/>
  <c r="J27" i="21"/>
  <c r="W27" i="21"/>
  <c r="B74" i="21"/>
  <c r="J14" i="21"/>
  <c r="W1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19" i="21"/>
  <c r="J19" i="21"/>
  <c r="W19" i="21"/>
  <c r="J26" i="21"/>
  <c r="W26" i="21"/>
  <c r="F26" i="21"/>
  <c r="S26" i="21"/>
  <c r="S41" i="21"/>
  <c r="F45" i="39"/>
  <c r="S45" i="39"/>
  <c r="J44" i="39"/>
  <c r="AC44" i="39"/>
  <c r="F36" i="39"/>
  <c r="S36" i="39"/>
  <c r="H36" i="39"/>
  <c r="F35" i="39"/>
  <c r="AA35" i="39"/>
  <c r="J36" i="39"/>
  <c r="AC36" i="39"/>
  <c r="U9" i="39"/>
  <c r="W40" i="39"/>
  <c r="W25" i="37"/>
  <c r="U30" i="37"/>
  <c r="W31" i="37"/>
  <c r="E103" i="37"/>
  <c r="F103" i="37"/>
  <c r="G103" i="37"/>
  <c r="H103" i="37"/>
  <c r="I103" i="37"/>
  <c r="J103" i="37"/>
  <c r="K103" i="37"/>
  <c r="L103" i="37"/>
  <c r="M103" i="37"/>
  <c r="F39" i="37"/>
  <c r="S39" i="37"/>
  <c r="F29" i="36"/>
  <c r="AA29" i="36"/>
  <c r="W8" i="36"/>
  <c r="F16" i="36"/>
  <c r="AA16" i="36"/>
  <c r="W28" i="36"/>
  <c r="AA31" i="36"/>
  <c r="AC31" i="36"/>
  <c r="W31" i="36"/>
  <c r="J33" i="36"/>
  <c r="W33" i="36"/>
  <c r="H22" i="35"/>
  <c r="AB22" i="35"/>
  <c r="AC27" i="35"/>
  <c r="U31" i="35"/>
  <c r="W22" i="35"/>
  <c r="F36" i="34"/>
  <c r="J35" i="34"/>
  <c r="S34" i="34"/>
  <c r="U34" i="34"/>
  <c r="H39" i="33"/>
  <c r="AB39" i="33"/>
  <c r="U33" i="33"/>
  <c r="U35" i="33"/>
  <c r="W33" i="33"/>
  <c r="W39" i="33"/>
  <c r="H39" i="37"/>
  <c r="W8" i="40"/>
  <c r="S34" i="40"/>
  <c r="S40" i="40"/>
  <c r="S38" i="40"/>
  <c r="U40" i="40"/>
  <c r="F42" i="39"/>
  <c r="AA42" i="39"/>
  <c r="F41" i="39"/>
  <c r="S41" i="39"/>
  <c r="H40" i="39"/>
  <c r="AB40" i="39"/>
  <c r="H39" i="39"/>
  <c r="U39" i="39"/>
  <c r="S38" i="39"/>
  <c r="S34" i="39"/>
  <c r="H34" i="39"/>
  <c r="U34" i="39"/>
  <c r="H31" i="39"/>
  <c r="AB31" i="39"/>
  <c r="F31" i="39"/>
  <c r="AA31" i="39"/>
  <c r="E101" i="39"/>
  <c r="F101" i="39"/>
  <c r="G101" i="39"/>
  <c r="H19" i="39"/>
  <c r="AB19" i="39"/>
  <c r="F19" i="39"/>
  <c r="AA19" i="39"/>
  <c r="H17" i="39"/>
  <c r="AB17" i="39"/>
  <c r="F17" i="39"/>
  <c r="AA17" i="39"/>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7" i="39"/>
  <c r="C21" i="39"/>
  <c r="H11" i="39"/>
  <c r="C15" i="39"/>
  <c r="H32" i="33"/>
  <c r="AB32" i="33"/>
  <c r="H11" i="21"/>
  <c r="J11" i="21"/>
  <c r="W11" i="21"/>
  <c r="H37" i="40"/>
  <c r="U37" i="40"/>
  <c r="H36" i="40"/>
  <c r="AB36" i="40"/>
  <c r="H17" i="40"/>
  <c r="U17" i="40"/>
  <c r="W15" i="40"/>
  <c r="W11" i="40"/>
  <c r="AB8" i="39"/>
  <c r="AB12" i="33"/>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34" i="36"/>
  <c r="S34" i="36"/>
  <c r="AB8" i="36"/>
  <c r="S8" i="36"/>
  <c r="U8" i="35"/>
  <c r="F14" i="35"/>
  <c r="AA14" i="35"/>
  <c r="F23" i="35"/>
  <c r="AA23" i="35"/>
  <c r="J32" i="35"/>
  <c r="AC32" i="35"/>
  <c r="J16" i="35"/>
  <c r="AC16" i="35"/>
  <c r="H16" i="35"/>
  <c r="U16" i="35"/>
  <c r="F16" i="35"/>
  <c r="S16" i="35"/>
  <c r="H14" i="35"/>
  <c r="AB14" i="35"/>
  <c r="J29" i="35"/>
  <c r="AC29" i="35"/>
  <c r="H33" i="35"/>
  <c r="AB33" i="35"/>
  <c r="AC8" i="35"/>
  <c r="J20" i="35"/>
  <c r="W20" i="35"/>
  <c r="F35" i="37"/>
  <c r="S35" i="37"/>
  <c r="E101" i="37"/>
  <c r="F101" i="37"/>
  <c r="G101" i="37"/>
  <c r="H101" i="37"/>
  <c r="I101" i="37"/>
  <c r="J101" i="37"/>
  <c r="K101" i="37"/>
  <c r="L101" i="37"/>
  <c r="M101" i="37"/>
  <c r="J34" i="37"/>
  <c r="W34"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H28" i="40"/>
  <c r="U28" i="40"/>
  <c r="S15" i="40"/>
  <c r="H15" i="40"/>
  <c r="AB15" i="40"/>
  <c r="AB30" i="36"/>
  <c r="AC34" i="36"/>
  <c r="U33" i="35"/>
  <c r="F29" i="35"/>
  <c r="S29" i="35"/>
  <c r="H29" i="35"/>
  <c r="AB29" i="35"/>
  <c r="H33" i="37"/>
  <c r="AB33" i="37"/>
  <c r="F33" i="37"/>
  <c r="AA33" i="37"/>
  <c r="W33" i="37"/>
  <c r="AA34" i="37"/>
  <c r="J43" i="34"/>
  <c r="AB42" i="34"/>
  <c r="J40" i="34"/>
  <c r="F114" i="34"/>
  <c r="G114" i="34"/>
  <c r="H114" i="34"/>
  <c r="I114" i="34"/>
  <c r="J114" i="34"/>
  <c r="K114" i="34"/>
  <c r="L114" i="34"/>
  <c r="M114" i="34"/>
  <c r="H38" i="34"/>
  <c r="AB38" i="34"/>
  <c r="J36" i="34"/>
  <c r="H37" i="34"/>
  <c r="U37" i="34"/>
  <c r="H25" i="34"/>
  <c r="AB25" i="34"/>
  <c r="J25" i="34"/>
  <c r="AC25" i="34"/>
  <c r="F23" i="34"/>
  <c r="AA23" i="34"/>
  <c r="J19" i="34"/>
  <c r="AC19" i="34"/>
  <c r="F17" i="34"/>
  <c r="AA17" i="34"/>
  <c r="J17" i="34"/>
  <c r="W17" i="34"/>
  <c r="S41"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J10" i="35"/>
  <c r="W10" i="35"/>
  <c r="F14" i="21"/>
  <c r="S14" i="21"/>
  <c r="H28" i="21"/>
  <c r="AB28" i="21"/>
  <c r="J28" i="21"/>
  <c r="W28" i="21"/>
  <c r="F30" i="21"/>
  <c r="S30" i="21"/>
  <c r="J44" i="21"/>
  <c r="AC44" i="21"/>
  <c r="F44" i="21"/>
  <c r="AA44" i="21"/>
  <c r="J46" i="21"/>
  <c r="W46" i="21"/>
  <c r="E119" i="21"/>
  <c r="F119" i="21"/>
  <c r="G119" i="21"/>
  <c r="H119" i="21"/>
  <c r="I119" i="21"/>
  <c r="J119" i="21"/>
  <c r="K119" i="21"/>
  <c r="L119" i="21"/>
  <c r="M119" i="21"/>
  <c r="H28" i="33"/>
  <c r="U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H13" i="33"/>
  <c r="J29" i="33"/>
  <c r="AC29" i="33"/>
  <c r="F29" i="33"/>
  <c r="S29" i="33"/>
  <c r="H31" i="33"/>
  <c r="U31" i="33"/>
  <c r="H45" i="33"/>
  <c r="F45" i="33"/>
  <c r="AA45" i="33"/>
  <c r="F14" i="34"/>
  <c r="H30" i="34"/>
  <c r="J30" i="34"/>
  <c r="W30" i="34"/>
  <c r="F32" i="34"/>
  <c r="H46" i="34"/>
  <c r="J46" i="34"/>
  <c r="J11" i="35"/>
  <c r="AC11" i="35"/>
  <c r="J26" i="36"/>
  <c r="W26" i="36"/>
  <c r="H28" i="36"/>
  <c r="U28" i="36"/>
  <c r="H32" i="36"/>
  <c r="AB32" i="36"/>
  <c r="J32" i="36"/>
  <c r="W32" i="36"/>
  <c r="H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F44" i="33"/>
  <c r="S44" i="33"/>
  <c r="J46" i="33"/>
  <c r="AC46" i="33"/>
  <c r="F46" i="33"/>
  <c r="AA46" i="33"/>
  <c r="H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H12" i="40"/>
  <c r="AB12" i="40"/>
  <c r="H30" i="40"/>
  <c r="AB30" i="40"/>
  <c r="H33" i="40"/>
  <c r="H13" i="40"/>
  <c r="U13" i="40"/>
  <c r="W13" i="40"/>
  <c r="F14" i="37"/>
  <c r="S14" i="37"/>
  <c r="F27" i="37"/>
  <c r="AA27" i="37"/>
  <c r="F13" i="39"/>
  <c r="J13" i="39"/>
  <c r="W13" i="39"/>
  <c r="H13" i="39"/>
  <c r="H14" i="40"/>
  <c r="AB14" i="40"/>
  <c r="W14" i="40"/>
  <c r="J14" i="37"/>
  <c r="AC14" i="37"/>
  <c r="J27" i="37"/>
  <c r="AC27" i="37"/>
  <c r="AA44" i="33"/>
  <c r="AA14" i="33"/>
  <c r="J36" i="37"/>
  <c r="AC36" i="37"/>
  <c r="G105" i="37"/>
  <c r="J10" i="36"/>
  <c r="AC10" i="36"/>
  <c r="AA14" i="37"/>
  <c r="W31" i="34"/>
  <c r="W13" i="36"/>
  <c r="S45" i="33"/>
  <c r="AB31" i="33"/>
  <c r="W29" i="33"/>
  <c r="F17" i="21"/>
  <c r="AA17" i="21"/>
  <c r="H17" i="21"/>
  <c r="AB17" i="21"/>
  <c r="F15" i="21"/>
  <c r="S15" i="21"/>
  <c r="J41" i="39"/>
  <c r="W41" i="39"/>
  <c r="W44" i="39"/>
  <c r="W36" i="39"/>
  <c r="W35" i="39"/>
  <c r="S35" i="39"/>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H31" i="40"/>
  <c r="U31" i="40"/>
  <c r="S32" i="40"/>
  <c r="H32" i="40"/>
  <c r="AB32"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AA12" i="35"/>
  <c r="AB28" i="37"/>
  <c r="U33" i="37"/>
  <c r="W26" i="37"/>
  <c r="AC8" i="37"/>
  <c r="U26" i="37"/>
  <c r="AB13" i="34"/>
  <c r="W37" i="34"/>
  <c r="AB37" i="34"/>
  <c r="U11" i="33"/>
  <c r="U19"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S19" i="40"/>
  <c r="S14" i="40"/>
  <c r="W23" i="39"/>
  <c r="AC43" i="39"/>
  <c r="W43" i="39"/>
  <c r="U45" i="39"/>
  <c r="AB45" i="39"/>
  <c r="AB44" i="39"/>
  <c r="H37" i="39"/>
  <c r="AB37" i="39"/>
  <c r="AC37" i="39"/>
  <c r="H25" i="39"/>
  <c r="AB25" i="39"/>
  <c r="J25" i="39"/>
  <c r="F25" i="39"/>
  <c r="AA25" i="39"/>
  <c r="F15" i="39"/>
  <c r="AA15" i="39"/>
  <c r="H15" i="39"/>
  <c r="U15" i="39"/>
  <c r="J15" i="39"/>
  <c r="W15" i="39"/>
  <c r="H41" i="39"/>
  <c r="W27" i="39"/>
  <c r="AB34" i="39"/>
  <c r="S42" i="39"/>
  <c r="W14" i="39"/>
  <c r="AA41" i="39"/>
  <c r="W9" i="39"/>
  <c r="W8" i="39"/>
  <c r="J50" i="40"/>
  <c r="B54" i="72"/>
  <c r="H103" i="9"/>
  <c r="D8" i="53"/>
  <c r="B16" i="53"/>
  <c r="B33" i="72"/>
  <c r="C7" i="34"/>
  <c r="C7" i="36"/>
  <c r="W35" i="40"/>
  <c r="A118" i="9"/>
  <c r="A4" i="52"/>
  <c r="B41" i="72"/>
  <c r="J11" i="39"/>
  <c r="W11" i="39"/>
  <c r="F11" i="39"/>
  <c r="AA11" i="39"/>
  <c r="A12" i="52"/>
  <c r="B56" i="72"/>
  <c r="S11" i="39"/>
  <c r="G4" i="4"/>
  <c r="I4" i="4"/>
  <c r="K5" i="4"/>
  <c r="B47" i="48"/>
  <c r="A2" i="9"/>
  <c r="N2" i="43"/>
  <c r="F59" i="4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W37" i="37"/>
  <c r="W44" i="34"/>
  <c r="AC44" i="34"/>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F111" i="40"/>
  <c r="G111" i="40"/>
  <c r="H111" i="40"/>
  <c r="I111" i="40"/>
  <c r="J111" i="40"/>
  <c r="K111" i="40"/>
  <c r="L111" i="40"/>
  <c r="M111" i="40"/>
  <c r="H35" i="40"/>
  <c r="AB35" i="40"/>
  <c r="W29" i="35"/>
  <c r="H35" i="37"/>
  <c r="U35" i="37"/>
  <c r="AC14" i="35"/>
  <c r="H20" i="35"/>
  <c r="U20" i="35"/>
  <c r="F20" i="35"/>
  <c r="AA20" i="35"/>
  <c r="AB23" i="35"/>
  <c r="AB29" i="36"/>
  <c r="U29" i="36"/>
  <c r="H32" i="37"/>
  <c r="AB32" i="37"/>
  <c r="F96" i="37"/>
  <c r="H27" i="40"/>
  <c r="U27" i="40"/>
  <c r="S27"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O9" i="1"/>
  <c r="P9" i="1"/>
  <c r="AE9" i="1"/>
  <c r="U11" i="21"/>
  <c r="AB11" i="21"/>
  <c r="AB39" i="37"/>
  <c r="U39" i="37"/>
  <c r="AB36" i="39"/>
  <c r="U36" i="39"/>
  <c r="AB26" i="21"/>
  <c r="U26" i="21"/>
  <c r="U30" i="21"/>
  <c r="AB30" i="21"/>
  <c r="W31" i="33"/>
  <c r="AC31" i="33"/>
  <c r="W12" i="34"/>
  <c r="AC12" i="34"/>
  <c r="U12" i="35"/>
  <c r="AB12" i="35"/>
  <c r="U33" i="40"/>
  <c r="AB33" i="40"/>
  <c r="AB35" i="35"/>
  <c r="U35" i="35"/>
  <c r="S13" i="35"/>
  <c r="AA13" i="35"/>
  <c r="AB46" i="33"/>
  <c r="U46" i="33"/>
  <c r="AC44" i="33"/>
  <c r="W44" i="33"/>
  <c r="U11" i="36"/>
  <c r="AB11" i="36"/>
  <c r="U46" i="34"/>
  <c r="AB46" i="34"/>
  <c r="S14" i="34"/>
  <c r="AA14" i="34"/>
  <c r="U45" i="33"/>
  <c r="AB45" i="33"/>
  <c r="AB13" i="33"/>
  <c r="U13" i="33"/>
  <c r="H87" i="43"/>
  <c r="H49" i="43"/>
  <c r="S15" i="37"/>
  <c r="AC11" i="39"/>
  <c r="F29" i="6"/>
  <c r="G29" i="6"/>
  <c r="E29" i="6"/>
  <c r="K15" i="1"/>
  <c r="U40" i="39"/>
  <c r="AC46" i="21"/>
  <c r="AC45" i="33"/>
  <c r="W11" i="35"/>
  <c r="AB11" i="35"/>
  <c r="U31" i="34"/>
  <c r="AA44" i="34"/>
  <c r="S44" i="34"/>
  <c r="AA15" i="34"/>
  <c r="AB23" i="34"/>
  <c r="W36" i="34"/>
  <c r="AC36" i="34"/>
  <c r="AA12" i="36"/>
  <c r="U34" i="35"/>
  <c r="AB9" i="36"/>
  <c r="U9" i="36"/>
  <c r="AC11" i="36"/>
  <c r="W11" i="36"/>
  <c r="F11" i="36"/>
  <c r="F11" i="35"/>
  <c r="S11" i="35"/>
  <c r="J32" i="34"/>
  <c r="W32" i="34"/>
  <c r="H14" i="34"/>
  <c r="F31" i="33"/>
  <c r="F13" i="33"/>
  <c r="H26" i="33"/>
  <c r="F46" i="21"/>
  <c r="AA46" i="21"/>
  <c r="J30" i="21"/>
  <c r="AC30" i="21"/>
  <c r="H14" i="21"/>
  <c r="U14" i="21"/>
  <c r="U34" i="37"/>
  <c r="W17" i="40"/>
  <c r="S9" i="34"/>
  <c r="S10" i="37"/>
  <c r="S10" i="36"/>
  <c r="F24" i="36"/>
  <c r="AA24" i="36"/>
  <c r="F33" i="36"/>
  <c r="AA33" i="36"/>
  <c r="F37" i="39"/>
  <c r="AA37" i="39"/>
  <c r="W32" i="40"/>
  <c r="H23" i="40"/>
  <c r="AB23" i="40"/>
  <c r="S40" i="39"/>
  <c r="C25" i="39"/>
  <c r="W31" i="40"/>
  <c r="U38" i="40"/>
  <c r="U9" i="40"/>
  <c r="S27" i="35"/>
  <c r="S40" i="33"/>
  <c r="F26" i="33"/>
  <c r="W9" i="34"/>
  <c r="W28" i="35"/>
  <c r="U31" i="36"/>
  <c r="S30" i="36"/>
  <c r="U14" i="37"/>
  <c r="J45" i="39"/>
  <c r="AB41" i="21"/>
  <c r="J12" i="21"/>
  <c r="AC12" i="21"/>
  <c r="F12" i="34"/>
  <c r="J23" i="35"/>
  <c r="J36" i="35"/>
  <c r="H12" i="36"/>
  <c r="H24" i="36"/>
  <c r="AB24" i="36"/>
  <c r="H39" i="40"/>
  <c r="M20" i="15"/>
  <c r="M20" i="78"/>
  <c r="F3" i="35"/>
  <c r="E59" i="43"/>
  <c r="B57" i="43"/>
  <c r="C24" i="43"/>
  <c r="L100" i="43"/>
  <c r="U34" i="40"/>
  <c r="U23" i="40"/>
  <c r="D93" i="9"/>
  <c r="G30" i="6"/>
  <c r="G31" i="6"/>
  <c r="AC26" i="33"/>
  <c r="W26" i="33"/>
  <c r="W27" i="34"/>
  <c r="AC27" i="34"/>
  <c r="AB34" i="36"/>
  <c r="U34" i="36"/>
  <c r="AB33" i="36"/>
  <c r="U33" i="36"/>
  <c r="AC12" i="39"/>
  <c r="W12" i="39"/>
  <c r="W39" i="40"/>
  <c r="F22" i="43"/>
  <c r="B113" i="43"/>
  <c r="B115" i="43"/>
  <c r="K101" i="43"/>
  <c r="K103" i="43"/>
  <c r="F101" i="43"/>
  <c r="F104" i="43"/>
  <c r="N101" i="43"/>
  <c r="N102" i="43"/>
  <c r="E22" i="43"/>
  <c r="G101" i="43"/>
  <c r="G105" i="43"/>
  <c r="C101" i="43"/>
  <c r="C104" i="43"/>
  <c r="J101" i="43"/>
  <c r="J104" i="43"/>
  <c r="N104" i="46"/>
  <c r="W12" i="33"/>
  <c r="AC12" i="33"/>
  <c r="AA32" i="36"/>
  <c r="S32" i="36"/>
  <c r="U30" i="33"/>
  <c r="AC13" i="34"/>
  <c r="AA47" i="34"/>
  <c r="W28" i="37"/>
  <c r="S19" i="39"/>
  <c r="F12" i="33"/>
  <c r="H12" i="39"/>
  <c r="AB12" i="39"/>
  <c r="S12" i="1"/>
  <c r="AR12" i="1"/>
  <c r="R12" i="1"/>
  <c r="B12" i="1"/>
  <c r="E12" i="1"/>
  <c r="S10" i="1"/>
  <c r="AQ10" i="1"/>
  <c r="R10" i="1"/>
  <c r="B10" i="1"/>
  <c r="E10" i="1"/>
  <c r="D1" i="66"/>
  <c r="E10" i="66"/>
  <c r="O12" i="1"/>
  <c r="P12" i="1"/>
  <c r="S13" i="1"/>
  <c r="AR13" i="1"/>
  <c r="R13" i="1"/>
  <c r="S11" i="1"/>
  <c r="AQ11" i="1"/>
  <c r="R11" i="1"/>
  <c r="S9" i="1"/>
  <c r="AR9" i="1"/>
  <c r="R9" i="1"/>
  <c r="H100" i="43"/>
  <c r="C30" i="66"/>
  <c r="E26" i="66"/>
  <c r="AC34" i="33"/>
  <c r="AA34" i="33"/>
  <c r="S22" i="31"/>
  <c r="J100" i="43"/>
  <c r="AB37" i="40"/>
  <c r="S35" i="40"/>
  <c r="U35" i="40"/>
  <c r="W38" i="40"/>
  <c r="S17" i="40"/>
  <c r="AB27" i="40"/>
  <c r="S30" i="40"/>
  <c r="S28" i="40"/>
  <c r="U21" i="40"/>
  <c r="AB19" i="40"/>
  <c r="W42" i="39"/>
  <c r="U37" i="39"/>
  <c r="W39" i="39"/>
  <c r="S43" i="39"/>
  <c r="S37" i="39"/>
  <c r="U35" i="39"/>
  <c r="F32" i="39"/>
  <c r="F107" i="39"/>
  <c r="G107" i="39"/>
  <c r="U25" i="39"/>
  <c r="AB27" i="39"/>
  <c r="U31" i="39"/>
  <c r="S25" i="39"/>
  <c r="J21" i="39"/>
  <c r="AC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S9" i="35"/>
  <c r="H9" i="35"/>
  <c r="F26" i="35"/>
  <c r="AA26" i="35"/>
  <c r="J26" i="35"/>
  <c r="W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AA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c r="F70" i="34"/>
  <c r="G70" i="34"/>
  <c r="W42" i="33"/>
  <c r="AA35" i="33"/>
  <c r="S27" i="33"/>
  <c r="S32" i="33"/>
  <c r="AA29" i="33"/>
  <c r="AB29" i="33"/>
  <c r="W38" i="33"/>
  <c r="H41" i="33"/>
  <c r="AB41" i="33"/>
  <c r="F121" i="33"/>
  <c r="G121" i="33"/>
  <c r="H121" i="33"/>
  <c r="I121" i="33"/>
  <c r="J121" i="33"/>
  <c r="K121" i="33"/>
  <c r="L121" i="33"/>
  <c r="M121" i="33"/>
  <c r="U42" i="33"/>
  <c r="S42" i="33"/>
  <c r="F36" i="33"/>
  <c r="G111" i="33"/>
  <c r="H111" i="33"/>
  <c r="G108" i="33"/>
  <c r="H108" i="33"/>
  <c r="I108" i="33"/>
  <c r="J108" i="33"/>
  <c r="K108" i="33"/>
  <c r="L108" i="33"/>
  <c r="M108" i="33"/>
  <c r="J35" i="33"/>
  <c r="W35" i="33"/>
  <c r="S37" i="33"/>
  <c r="AA37" i="33"/>
  <c r="S39" i="33"/>
  <c r="F101" i="33"/>
  <c r="G101" i="33"/>
  <c r="H101" i="33"/>
  <c r="I101" i="33"/>
  <c r="J101" i="33"/>
  <c r="K101" i="33"/>
  <c r="L101" i="33"/>
  <c r="M101" i="33"/>
  <c r="J32" i="33"/>
  <c r="AC32" i="33"/>
  <c r="S46" i="33"/>
  <c r="W43" i="33"/>
  <c r="S43" i="33"/>
  <c r="F91" i="33"/>
  <c r="G91" i="33"/>
  <c r="H27" i="33"/>
  <c r="F87" i="33"/>
  <c r="G87" i="33"/>
  <c r="H25" i="33"/>
  <c r="F25" i="33"/>
  <c r="S25" i="33"/>
  <c r="J23" i="33"/>
  <c r="F85" i="33"/>
  <c r="H23" i="33"/>
  <c r="F81" i="33"/>
  <c r="G81" i="33"/>
  <c r="F19" i="33"/>
  <c r="S19" i="33"/>
  <c r="W19" i="33"/>
  <c r="J17" i="33"/>
  <c r="W17" i="33"/>
  <c r="F79" i="33"/>
  <c r="S15" i="33"/>
  <c r="W15" i="33"/>
  <c r="I66" i="33"/>
  <c r="J10" i="33"/>
  <c r="AC10" i="33"/>
  <c r="H10" i="33"/>
  <c r="AA10" i="33"/>
  <c r="AC11" i="33"/>
  <c r="AB14" i="33"/>
  <c r="W43" i="21"/>
  <c r="W36" i="21"/>
  <c r="W41" i="21"/>
  <c r="AB39" i="21"/>
  <c r="AA43" i="21"/>
  <c r="S39" i="21"/>
  <c r="AA38" i="21"/>
  <c r="AA36" i="21"/>
  <c r="AC40" i="21"/>
  <c r="J15" i="21"/>
  <c r="W15" i="21"/>
  <c r="F77" i="21"/>
  <c r="G77" i="21"/>
  <c r="F23" i="21"/>
  <c r="S23" i="21"/>
  <c r="E85" i="21"/>
  <c r="F85" i="21"/>
  <c r="AC11" i="21"/>
  <c r="AA14" i="21"/>
  <c r="AB8" i="21"/>
  <c r="S8" i="21"/>
  <c r="M3" i="43"/>
  <c r="N10" i="43"/>
  <c r="M1" i="43"/>
  <c r="M8" i="43"/>
  <c r="N8" i="43"/>
  <c r="N9" i="43"/>
  <c r="D120" i="9"/>
  <c r="C18" i="9"/>
  <c r="D18" i="9"/>
  <c r="F62" i="67"/>
  <c r="M20" i="67"/>
  <c r="F62" i="15"/>
  <c r="J56" i="9"/>
  <c r="J57" i="9"/>
  <c r="J59" i="9"/>
  <c r="A24" i="51"/>
  <c r="B18" i="72"/>
  <c r="U29" i="34"/>
  <c r="C106" i="43"/>
  <c r="D9" i="11"/>
  <c r="C9" i="11"/>
  <c r="I115" i="43"/>
  <c r="J115" i="43"/>
  <c r="K115" i="43"/>
  <c r="L115" i="43"/>
  <c r="M115" i="43"/>
  <c r="P10" i="1"/>
  <c r="H22" i="43"/>
  <c r="L101" i="43"/>
  <c r="L109" i="43"/>
  <c r="H101" i="43"/>
  <c r="H107" i="43"/>
  <c r="D101" i="43"/>
  <c r="D109" i="43"/>
  <c r="M101" i="43"/>
  <c r="M109" i="43"/>
  <c r="I101" i="43"/>
  <c r="I109" i="43"/>
  <c r="E101" i="43"/>
  <c r="G22" i="43"/>
  <c r="E32" i="6"/>
  <c r="G1" i="68"/>
  <c r="K1" i="12"/>
  <c r="F30" i="6"/>
  <c r="F31" i="6"/>
  <c r="N103" i="43"/>
  <c r="N105" i="43"/>
  <c r="N106" i="43"/>
  <c r="J103" i="43"/>
  <c r="F107" i="43"/>
  <c r="F102" i="43"/>
  <c r="F106" i="43"/>
  <c r="C105" i="43"/>
  <c r="K107" i="43"/>
  <c r="K102" i="43"/>
  <c r="K104" i="43"/>
  <c r="G103" i="43"/>
  <c r="I118" i="43"/>
  <c r="J118" i="43"/>
  <c r="K118" i="43"/>
  <c r="L118" i="43"/>
  <c r="M118" i="43"/>
  <c r="D118" i="43"/>
  <c r="E118" i="43"/>
  <c r="F118" i="43"/>
  <c r="D115" i="43"/>
  <c r="E115" i="43"/>
  <c r="F115" i="43"/>
  <c r="G115" i="43"/>
  <c r="H115" i="43"/>
  <c r="K106" i="43"/>
  <c r="K105" i="43"/>
  <c r="C102" i="43"/>
  <c r="F103" i="43"/>
  <c r="F105" i="43"/>
  <c r="N104" i="43"/>
  <c r="N107" i="43"/>
  <c r="AQ12" i="1"/>
  <c r="AR10" i="1"/>
  <c r="E19" i="69"/>
  <c r="E19" i="11"/>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M10" i="43"/>
  <c r="N3" i="43"/>
  <c r="N11" i="43"/>
  <c r="F38" i="43"/>
  <c r="F37" i="43"/>
  <c r="M9" i="43"/>
  <c r="C6" i="43"/>
  <c r="N12" i="43"/>
  <c r="N5" i="43"/>
  <c r="M5" i="43"/>
  <c r="M12" i="43"/>
  <c r="M4" i="43"/>
  <c r="B19" i="53"/>
  <c r="B37" i="72"/>
  <c r="C7" i="39"/>
  <c r="C68" i="39"/>
  <c r="C70" i="39"/>
  <c r="C7" i="35"/>
  <c r="C7" i="33"/>
  <c r="C58" i="33"/>
  <c r="C7" i="21"/>
  <c r="C58" i="21"/>
  <c r="M47" i="9"/>
  <c r="T35" i="4"/>
  <c r="A19" i="51"/>
  <c r="B14" i="72"/>
  <c r="C46" i="36"/>
  <c r="C59" i="34"/>
  <c r="D59" i="34"/>
  <c r="A4" i="51"/>
  <c r="B6" i="72"/>
  <c r="C48" i="35"/>
  <c r="D48" i="35"/>
  <c r="D58" i="21"/>
  <c r="E58" i="21"/>
  <c r="C94" i="9"/>
  <c r="C4" i="12"/>
  <c r="C92" i="9"/>
  <c r="H62" i="43"/>
  <c r="H66" i="43"/>
  <c r="H61" i="43"/>
  <c r="H65" i="43"/>
  <c r="H60" i="43"/>
  <c r="H64" i="43"/>
  <c r="H59" i="43"/>
  <c r="H63" i="43"/>
  <c r="H67" i="43"/>
  <c r="H55" i="43"/>
  <c r="H51" i="43"/>
  <c r="H56" i="43"/>
  <c r="H76" i="43"/>
  <c r="H72" i="43"/>
  <c r="H77" i="43"/>
  <c r="E56" i="39"/>
  <c r="E51" i="40"/>
  <c r="B6" i="1"/>
  <c r="E6" i="1"/>
  <c r="S8" i="1"/>
  <c r="AQ8" i="1"/>
  <c r="O11" i="1"/>
  <c r="P11" i="1"/>
  <c r="AP6" i="1"/>
  <c r="B9" i="1"/>
  <c r="E9" i="1"/>
  <c r="G1" i="69"/>
  <c r="U32" i="40"/>
  <c r="AB31" i="40"/>
  <c r="S37" i="40"/>
  <c r="AB28" i="40"/>
  <c r="W28" i="40"/>
  <c r="W34" i="40"/>
  <c r="W19" i="40"/>
  <c r="W27" i="40"/>
  <c r="S36" i="40"/>
  <c r="W37"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J101" i="21"/>
  <c r="K101" i="21"/>
  <c r="L101" i="21"/>
  <c r="M101" i="21"/>
  <c r="F33" i="21"/>
  <c r="AA33" i="21"/>
  <c r="J33" i="21"/>
  <c r="H33" i="21"/>
  <c r="AB33" i="21"/>
  <c r="F37" i="21"/>
  <c r="AA26" i="21"/>
  <c r="AB14" i="21"/>
  <c r="AB46" i="21"/>
  <c r="U40" i="21"/>
  <c r="AB31" i="21"/>
  <c r="U31" i="21"/>
  <c r="AC15" i="21"/>
  <c r="U13" i="21"/>
  <c r="AB13" i="21"/>
  <c r="W8" i="21"/>
  <c r="S35" i="21"/>
  <c r="AB37" i="21"/>
  <c r="J37" i="21"/>
  <c r="H15" i="21"/>
  <c r="J17" i="21"/>
  <c r="AC19" i="21"/>
  <c r="W39" i="21"/>
  <c r="AC14" i="21"/>
  <c r="W30" i="21"/>
  <c r="S46" i="21"/>
  <c r="H45" i="21"/>
  <c r="U45" i="21"/>
  <c r="F29" i="21"/>
  <c r="S29" i="21"/>
  <c r="F13" i="21"/>
  <c r="AA13" i="21"/>
  <c r="AC38" i="21"/>
  <c r="H32" i="21"/>
  <c r="U32" i="21"/>
  <c r="H9" i="21"/>
  <c r="J9" i="21"/>
  <c r="AC9" i="21"/>
  <c r="J32" i="21"/>
  <c r="F32" i="21"/>
  <c r="S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9"/>
  <c r="U39" i="40"/>
  <c r="AB39" i="40"/>
  <c r="U12" i="36"/>
  <c r="AB12" i="36"/>
  <c r="AC23" i="35"/>
  <c r="W23" i="35"/>
  <c r="W45" i="39"/>
  <c r="AC45" i="39"/>
  <c r="S13" i="33"/>
  <c r="AA13" i="33"/>
  <c r="AC36" i="35"/>
  <c r="W36" i="35"/>
  <c r="S12" i="34"/>
  <c r="AA12" i="34"/>
  <c r="AA26" i="33"/>
  <c r="S26" i="33"/>
  <c r="U26" i="33"/>
  <c r="AB26" i="33"/>
  <c r="AA11" i="36"/>
  <c r="S11" i="36"/>
  <c r="F53" i="9"/>
  <c r="M18" i="78"/>
  <c r="D22" i="43"/>
  <c r="AQ13" i="1"/>
  <c r="O6" i="1"/>
  <c r="P6" i="1"/>
  <c r="F30" i="68"/>
  <c r="C30" i="68"/>
  <c r="F30" i="11"/>
  <c r="F31" i="12"/>
  <c r="F52" i="9"/>
  <c r="C31" i="12"/>
  <c r="M18" i="67"/>
  <c r="F30" i="69"/>
  <c r="C48" i="69"/>
  <c r="M18" i="15"/>
  <c r="T11" i="1"/>
  <c r="D9" i="69"/>
  <c r="C9" i="69"/>
  <c r="D19" i="12"/>
  <c r="C19" i="12"/>
  <c r="AQ9" i="1"/>
  <c r="AR11" i="1"/>
  <c r="D68" i="39"/>
  <c r="D70" i="39"/>
  <c r="E30" i="6"/>
  <c r="T9" i="1"/>
  <c r="T13" i="1"/>
  <c r="C48" i="68"/>
  <c r="C77" i="9"/>
  <c r="C74" i="9"/>
  <c r="C24" i="12"/>
  <c r="S39" i="40"/>
  <c r="S12" i="33"/>
  <c r="AA12" i="33"/>
  <c r="C16" i="43"/>
  <c r="D68" i="9"/>
  <c r="F54" i="9"/>
  <c r="J32" i="39"/>
  <c r="H107" i="39"/>
  <c r="I107" i="39"/>
  <c r="J107" i="39"/>
  <c r="K107" i="39"/>
  <c r="L107" i="39"/>
  <c r="M107" i="39"/>
  <c r="H32" i="39"/>
  <c r="U32" i="39"/>
  <c r="AA32" i="39"/>
  <c r="S32" i="39"/>
  <c r="AB21" i="39"/>
  <c r="U21" i="39"/>
  <c r="AA21" i="39"/>
  <c r="S21" i="39"/>
  <c r="W21" i="39"/>
  <c r="U9" i="35"/>
  <c r="AB9" i="35"/>
  <c r="AA9" i="35"/>
  <c r="AC26" i="35"/>
  <c r="AB26" i="35"/>
  <c r="U26" i="35"/>
  <c r="AC17" i="37"/>
  <c r="J19" i="37"/>
  <c r="W19" i="37"/>
  <c r="G75" i="37"/>
  <c r="S19" i="37"/>
  <c r="AA23" i="37"/>
  <c r="J23" i="37"/>
  <c r="G79" i="37"/>
  <c r="J10" i="37"/>
  <c r="I60" i="37"/>
  <c r="G63" i="37"/>
  <c r="H11" i="37"/>
  <c r="AB11" i="37"/>
  <c r="AB10" i="37"/>
  <c r="U10" i="37"/>
  <c r="H11" i="34"/>
  <c r="AB11" i="34"/>
  <c r="AB10" i="34"/>
  <c r="U10" i="34"/>
  <c r="J10" i="34"/>
  <c r="I67" i="34"/>
  <c r="U41" i="33"/>
  <c r="AC35" i="33"/>
  <c r="I111" i="33"/>
  <c r="J111" i="33"/>
  <c r="K111" i="33"/>
  <c r="L111" i="33"/>
  <c r="M111" i="33"/>
  <c r="J36" i="33"/>
  <c r="H36" i="33"/>
  <c r="U36" i="33"/>
  <c r="S36" i="33"/>
  <c r="AA36" i="33"/>
  <c r="W32" i="33"/>
  <c r="U27" i="33"/>
  <c r="AB27" i="33"/>
  <c r="H91" i="33"/>
  <c r="I91" i="33"/>
  <c r="J91" i="33"/>
  <c r="K91" i="33"/>
  <c r="L91" i="33"/>
  <c r="M91" i="33"/>
  <c r="J27" i="33"/>
  <c r="W27" i="33"/>
  <c r="U25" i="33"/>
  <c r="AB25" i="33"/>
  <c r="AA25" i="33"/>
  <c r="H87" i="33"/>
  <c r="I87" i="33"/>
  <c r="J87" i="33"/>
  <c r="K87" i="33"/>
  <c r="L87" i="33"/>
  <c r="M87" i="33"/>
  <c r="J25" i="33"/>
  <c r="W25" i="33"/>
  <c r="AB23" i="33"/>
  <c r="U23" i="33"/>
  <c r="F23" i="33"/>
  <c r="G85" i="33"/>
  <c r="AC23" i="33"/>
  <c r="W23" i="33"/>
  <c r="AA19" i="33"/>
  <c r="H19" i="33"/>
  <c r="AB19" i="33"/>
  <c r="G79" i="33"/>
  <c r="H17" i="33"/>
  <c r="F17" i="33"/>
  <c r="AA17" i="33"/>
  <c r="AC17" i="33"/>
  <c r="U10" i="33"/>
  <c r="AB10" i="33"/>
  <c r="W10" i="33"/>
  <c r="U33" i="21"/>
  <c r="AA23" i="21"/>
  <c r="J23" i="21"/>
  <c r="AC23" i="21"/>
  <c r="G85" i="21"/>
  <c r="H23" i="21"/>
  <c r="S13" i="21"/>
  <c r="D6" i="52"/>
  <c r="D121" i="9"/>
  <c r="D7" i="52"/>
  <c r="K120" i="9"/>
  <c r="J22" i="43"/>
  <c r="O14" i="1"/>
  <c r="P14" i="1"/>
  <c r="J61" i="9"/>
  <c r="E102" i="43"/>
  <c r="E104" i="43"/>
  <c r="E106" i="43"/>
  <c r="E107" i="43"/>
  <c r="E103" i="43"/>
  <c r="E105" i="43"/>
  <c r="M102" i="43"/>
  <c r="M104" i="43"/>
  <c r="M106" i="43"/>
  <c r="M107" i="43"/>
  <c r="M103" i="43"/>
  <c r="M105" i="43"/>
  <c r="H102" i="43"/>
  <c r="H103" i="43"/>
  <c r="H104" i="43"/>
  <c r="E109" i="43"/>
  <c r="H109" i="43"/>
  <c r="I102" i="43"/>
  <c r="I104" i="43"/>
  <c r="I106" i="43"/>
  <c r="I107" i="43"/>
  <c r="I103" i="43"/>
  <c r="I105" i="43"/>
  <c r="D103" i="43"/>
  <c r="D105" i="43"/>
  <c r="D104" i="43"/>
  <c r="D106" i="43"/>
  <c r="D107" i="43"/>
  <c r="D102" i="43"/>
  <c r="L106" i="43"/>
  <c r="L107" i="43"/>
  <c r="L103" i="43"/>
  <c r="AR8" i="1"/>
  <c r="T8" i="1"/>
  <c r="R22" i="31"/>
  <c r="B21" i="31"/>
  <c r="O19" i="43"/>
  <c r="C5" i="43"/>
  <c r="F58" i="21"/>
  <c r="E59" i="34"/>
  <c r="F59" i="34"/>
  <c r="G59" i="34"/>
  <c r="L27" i="6"/>
  <c r="AP7" i="1"/>
  <c r="C36" i="69"/>
  <c r="H16" i="1"/>
  <c r="AB45" i="21"/>
  <c r="AC33" i="21"/>
  <c r="W33" i="21"/>
  <c r="S33" i="21"/>
  <c r="W32" i="21"/>
  <c r="AC32" i="21"/>
  <c r="AB9" i="21"/>
  <c r="U9" i="21"/>
  <c r="AA32" i="21"/>
  <c r="W9" i="21"/>
  <c r="AB32" i="21"/>
  <c r="AA10" i="21"/>
  <c r="S10" i="21"/>
  <c r="C30" i="69"/>
  <c r="O7" i="1"/>
  <c r="A18" i="62"/>
  <c r="B64" i="72"/>
  <c r="AB32" i="39"/>
  <c r="AC32" i="39"/>
  <c r="W32" i="39"/>
  <c r="AC19" i="37"/>
  <c r="W23" i="37"/>
  <c r="AC23" i="37"/>
  <c r="U11" i="37"/>
  <c r="H63" i="37"/>
  <c r="I63" i="37"/>
  <c r="J63" i="37"/>
  <c r="K63" i="37"/>
  <c r="L63" i="37"/>
  <c r="M63" i="37"/>
  <c r="J11" i="37"/>
  <c r="W10" i="37"/>
  <c r="AC10" i="37"/>
  <c r="U11" i="34"/>
  <c r="AC10" i="34"/>
  <c r="W10" i="34"/>
  <c r="H70" i="34"/>
  <c r="I70" i="34"/>
  <c r="J70" i="34"/>
  <c r="K70" i="34"/>
  <c r="L70" i="34"/>
  <c r="M70" i="34"/>
  <c r="J11" i="34"/>
  <c r="W11" i="34"/>
  <c r="AC36" i="33"/>
  <c r="W36" i="33"/>
  <c r="AB36" i="33"/>
  <c r="AC27" i="33"/>
  <c r="AC25" i="33"/>
  <c r="AA23" i="33"/>
  <c r="S23" i="33"/>
  <c r="U19" i="33"/>
  <c r="S17" i="33"/>
  <c r="U17" i="33"/>
  <c r="AB17" i="33"/>
  <c r="U23" i="21"/>
  <c r="AB23" i="21"/>
  <c r="W23" i="21"/>
  <c r="H7" i="37"/>
  <c r="U7" i="37"/>
  <c r="P7" i="1"/>
  <c r="P16" i="1"/>
  <c r="C11" i="12"/>
  <c r="J7" i="37"/>
  <c r="W7" i="37"/>
  <c r="H59" i="34"/>
  <c r="I59" i="34"/>
  <c r="J59" i="34"/>
  <c r="G58" i="21"/>
  <c r="H58" i="21"/>
  <c r="I58" i="21"/>
  <c r="G39" i="43"/>
  <c r="I39" i="43"/>
  <c r="E68" i="39"/>
  <c r="AC11" i="37"/>
  <c r="W11" i="37"/>
  <c r="AB7" i="37"/>
  <c r="T42" i="37"/>
  <c r="G42" i="37"/>
  <c r="AC11" i="34"/>
  <c r="C13" i="12"/>
  <c r="F34" i="11"/>
  <c r="F11" i="12"/>
  <c r="AC7" i="37"/>
  <c r="V42" i="37"/>
  <c r="I42" i="37"/>
  <c r="R8" i="1"/>
  <c r="AE8" i="1"/>
  <c r="AG6" i="1"/>
  <c r="H109" i="9"/>
  <c r="H110" i="9"/>
  <c r="D18" i="53"/>
  <c r="B35" i="72"/>
  <c r="D16" i="53"/>
  <c r="H112" i="9"/>
  <c r="D21" i="53"/>
  <c r="B39" i="72"/>
  <c r="H111" i="9"/>
  <c r="D126" i="9"/>
  <c r="D19" i="53"/>
  <c r="D59" i="9"/>
  <c r="M55" i="9"/>
  <c r="B38" i="72"/>
  <c r="D20" i="53"/>
  <c r="B40" i="72"/>
  <c r="P21" i="43"/>
  <c r="P22" i="43"/>
  <c r="P23" i="43"/>
  <c r="B71" i="39"/>
  <c r="P25" i="43"/>
  <c r="F16" i="74"/>
  <c r="E16" i="74"/>
  <c r="H4" i="79"/>
  <c r="H2" i="79"/>
  <c r="Q16" i="1"/>
  <c r="F27" i="68"/>
  <c r="C29" i="68"/>
  <c r="D27" i="68"/>
  <c r="F27" i="69"/>
  <c r="C29" i="69"/>
  <c r="D27" i="69"/>
  <c r="F28" i="12"/>
  <c r="C29" i="12"/>
  <c r="D28" i="12"/>
  <c r="F27" i="11"/>
  <c r="C29" i="11"/>
  <c r="D27" i="11"/>
  <c r="C47" i="11"/>
  <c r="D45" i="11"/>
  <c r="F38" i="67"/>
  <c r="D4" i="73"/>
  <c r="F40" i="67"/>
  <c r="E8" i="76"/>
  <c r="F6" i="78"/>
  <c r="E10" i="76"/>
  <c r="M24" i="78"/>
  <c r="F6" i="67"/>
  <c r="F42" i="67"/>
  <c r="AO9" i="1"/>
  <c r="M8" i="78"/>
  <c r="E9" i="76"/>
  <c r="M26" i="67"/>
  <c r="AO12" i="1"/>
  <c r="F37" i="78"/>
  <c r="B9" i="76"/>
  <c r="M23" i="78"/>
  <c r="C76" i="67"/>
  <c r="F40" i="78"/>
  <c r="L48" i="78"/>
  <c r="M26" i="78"/>
  <c r="F7" i="67"/>
  <c r="B8" i="76"/>
  <c r="F26" i="78"/>
  <c r="M29" i="67"/>
  <c r="F37" i="67"/>
  <c r="AO13" i="1"/>
  <c r="M24" i="67"/>
  <c r="F36" i="78"/>
  <c r="M22" i="78"/>
  <c r="D2" i="36"/>
  <c r="F20" i="31"/>
  <c r="M9" i="78"/>
  <c r="D3" i="73"/>
  <c r="AO10" i="1"/>
  <c r="B13" i="76"/>
  <c r="F31" i="78"/>
  <c r="D2" i="21"/>
  <c r="F16" i="67"/>
  <c r="M6" i="78"/>
  <c r="M8" i="67"/>
  <c r="B12" i="76"/>
  <c r="F42" i="78"/>
  <c r="L47" i="78"/>
  <c r="M21" i="78"/>
  <c r="J15" i="78"/>
  <c r="E11" i="76"/>
  <c r="F9" i="67"/>
  <c r="M9" i="67"/>
  <c r="L47" i="67"/>
  <c r="F16" i="78"/>
  <c r="M28" i="78"/>
  <c r="F38" i="78"/>
  <c r="D7" i="73"/>
  <c r="D2" i="34"/>
  <c r="F43" i="67"/>
  <c r="M6" i="67"/>
  <c r="F9" i="78"/>
  <c r="E13" i="76"/>
  <c r="M28" i="67"/>
  <c r="F26" i="67"/>
  <c r="C14" i="78"/>
  <c r="F41" i="78"/>
  <c r="E12" i="76"/>
  <c r="F8" i="67"/>
  <c r="E7" i="76"/>
  <c r="J15" i="67"/>
  <c r="M23" i="67"/>
  <c r="M27" i="67"/>
  <c r="L48" i="67"/>
  <c r="C76" i="78"/>
  <c r="D6" i="73"/>
  <c r="D5" i="73"/>
  <c r="F36" i="67"/>
  <c r="D2" i="37"/>
  <c r="AO8" i="1"/>
  <c r="B10" i="76"/>
  <c r="M17" i="78"/>
  <c r="D2" i="33"/>
  <c r="F8" i="78"/>
  <c r="B7" i="76"/>
  <c r="M27" i="78"/>
  <c r="F13" i="78"/>
  <c r="M22" i="67"/>
  <c r="E2" i="69"/>
  <c r="F13" i="67"/>
  <c r="AO11" i="1"/>
  <c r="D2" i="35"/>
  <c r="F43" i="78"/>
  <c r="F7" i="78"/>
  <c r="M29" i="78"/>
  <c r="E2" i="68"/>
  <c r="B11" i="76"/>
  <c r="F35" i="78"/>
  <c r="F59" i="78"/>
  <c r="K59" i="34"/>
  <c r="L59" i="34"/>
  <c r="M59" i="34"/>
  <c r="N59" i="34"/>
  <c r="O59" i="34"/>
  <c r="F7" i="34"/>
  <c r="G46" i="37"/>
  <c r="H46" i="37"/>
  <c r="G47" i="37"/>
  <c r="H47" i="37"/>
  <c r="J58" i="21"/>
  <c r="K58" i="21"/>
  <c r="L58" i="21"/>
  <c r="M58" i="21"/>
  <c r="N58" i="21"/>
  <c r="O58" i="21"/>
  <c r="H7" i="21"/>
  <c r="M49" i="9"/>
  <c r="D124" i="9"/>
  <c r="I46" i="37"/>
  <c r="J46" i="37"/>
  <c r="O16" i="1"/>
  <c r="AC17" i="21"/>
  <c r="W17" i="21"/>
  <c r="W37" i="21"/>
  <c r="AC37" i="21"/>
  <c r="D46" i="36"/>
  <c r="F7" i="21"/>
  <c r="I14" i="74"/>
  <c r="B8" i="74"/>
  <c r="D127" i="9"/>
  <c r="D13" i="52"/>
  <c r="D12" i="52"/>
  <c r="B34" i="72"/>
  <c r="D17" i="53"/>
  <c r="B36" i="72"/>
  <c r="C36" i="11"/>
  <c r="F68" i="39"/>
  <c r="E70" i="39"/>
  <c r="C48" i="11"/>
  <c r="C30" i="11"/>
  <c r="U15" i="21"/>
  <c r="AB15" i="21"/>
  <c r="AA37" i="21"/>
  <c r="S37" i="21"/>
  <c r="E48" i="35"/>
  <c r="J7" i="34"/>
  <c r="H7" i="34"/>
  <c r="D58" i="33"/>
  <c r="E58" i="33"/>
  <c r="F58" i="33"/>
  <c r="G58" i="33"/>
  <c r="H58" i="33"/>
  <c r="I58" i="33"/>
  <c r="J58" i="33"/>
  <c r="K58" i="33"/>
  <c r="L58" i="33"/>
  <c r="M58" i="33"/>
  <c r="N58" i="33"/>
  <c r="O58" i="33"/>
  <c r="J7" i="33"/>
  <c r="F7" i="33"/>
  <c r="H7" i="33"/>
  <c r="C115" i="43"/>
  <c r="C23" i="12"/>
  <c r="L104" i="43"/>
  <c r="L105" i="43"/>
  <c r="L102" i="43"/>
  <c r="H105" i="43"/>
  <c r="H106" i="43"/>
  <c r="S17" i="37"/>
  <c r="S26" i="35"/>
  <c r="AA11" i="34"/>
  <c r="C109" i="43"/>
  <c r="T10" i="1"/>
  <c r="T12" i="1"/>
  <c r="J106" i="43"/>
  <c r="G106" i="43"/>
  <c r="I116" i="43"/>
  <c r="J116" i="43"/>
  <c r="K116" i="43"/>
  <c r="L116" i="43"/>
  <c r="M116" i="43"/>
  <c r="B117" i="43"/>
  <c r="C117" i="43"/>
  <c r="I117" i="43"/>
  <c r="J117" i="43"/>
  <c r="K117" i="43"/>
  <c r="L117" i="43"/>
  <c r="M117" i="43"/>
  <c r="B118" i="43"/>
  <c r="C118" i="43"/>
  <c r="B116" i="43"/>
  <c r="C116" i="43"/>
  <c r="G118" i="43"/>
  <c r="H118" i="43"/>
  <c r="D116" i="43"/>
  <c r="E116" i="43"/>
  <c r="F116" i="43"/>
  <c r="G116" i="43"/>
  <c r="H116" i="43"/>
  <c r="G104" i="43"/>
  <c r="G107" i="43"/>
  <c r="C103" i="43"/>
  <c r="C107" i="43"/>
  <c r="J102" i="43"/>
  <c r="J107" i="43"/>
  <c r="G102" i="43"/>
  <c r="J105" i="43"/>
  <c r="S43" i="34"/>
  <c r="S20" i="35"/>
  <c r="U24" i="36"/>
  <c r="D117" i="43"/>
  <c r="E117" i="43"/>
  <c r="F117" i="43"/>
  <c r="G117" i="43"/>
  <c r="H117" i="43"/>
  <c r="AA39" i="34"/>
  <c r="H74" i="43"/>
  <c r="H86" i="43"/>
  <c r="H75" i="43"/>
  <c r="W44" i="21"/>
  <c r="W47" i="34"/>
  <c r="W14" i="37"/>
  <c r="AC28" i="34"/>
  <c r="AC28" i="21"/>
  <c r="AC30" i="34"/>
  <c r="AB17" i="34"/>
  <c r="U30" i="35"/>
  <c r="D16" i="71"/>
  <c r="C17" i="71"/>
  <c r="D12" i="71"/>
  <c r="C13" i="71"/>
  <c r="Q47" i="71"/>
  <c r="Q46" i="71"/>
  <c r="I48" i="40"/>
  <c r="J48" i="40"/>
  <c r="V41" i="40"/>
  <c r="G48" i="40"/>
  <c r="H48" i="40"/>
  <c r="E48" i="40"/>
  <c r="F48" i="40"/>
  <c r="T41" i="40"/>
  <c r="K14" i="1"/>
  <c r="M6" i="1"/>
  <c r="F90" i="40"/>
  <c r="G90" i="40"/>
  <c r="F21" i="40"/>
  <c r="J21" i="40"/>
  <c r="P24" i="43"/>
  <c r="B66" i="40"/>
  <c r="F12" i="21"/>
  <c r="H12" i="21"/>
  <c r="H9" i="33"/>
  <c r="J9" i="33"/>
  <c r="F9" i="33"/>
  <c r="C5" i="71"/>
  <c r="D6" i="71"/>
  <c r="P46" i="71"/>
  <c r="P47" i="71"/>
  <c r="C36" i="71"/>
  <c r="D35" i="71"/>
  <c r="C44" i="71"/>
  <c r="D43" i="71"/>
  <c r="F28" i="67"/>
  <c r="C28" i="67"/>
  <c r="F28" i="15"/>
  <c r="C28" i="15"/>
  <c r="F32" i="78"/>
  <c r="F60" i="78"/>
  <c r="F32" i="67"/>
  <c r="F60" i="67"/>
  <c r="F32" i="15"/>
  <c r="F60" i="15"/>
  <c r="F28" i="78"/>
  <c r="C28" i="78"/>
  <c r="M7" i="1"/>
  <c r="F92" i="40"/>
  <c r="G92" i="40"/>
  <c r="F23" i="40"/>
  <c r="J23" i="40"/>
  <c r="AA31" i="35"/>
  <c r="F34" i="35"/>
  <c r="J34" i="35"/>
  <c r="F44" i="39"/>
  <c r="C36" i="68"/>
  <c r="K100" i="43"/>
  <c r="G100" i="43"/>
  <c r="D100" i="43"/>
  <c r="S29" i="39"/>
  <c r="C29" i="39"/>
  <c r="B66" i="43"/>
  <c r="O46" i="71"/>
  <c r="AA9" i="71"/>
  <c r="AA7" i="71"/>
  <c r="AB9" i="71"/>
  <c r="AB7" i="71"/>
  <c r="AB3" i="71"/>
  <c r="D15" i="71"/>
  <c r="X3" i="71"/>
  <c r="X7" i="71"/>
  <c r="Y9" i="71"/>
  <c r="Z9" i="71"/>
  <c r="Y8" i="71"/>
  <c r="Z8" i="71"/>
  <c r="Y7" i="71"/>
  <c r="Z7" i="71"/>
  <c r="Y6" i="71"/>
  <c r="Z6" i="71"/>
  <c r="Y3" i="71"/>
  <c r="Z3" i="71"/>
  <c r="X17" i="71"/>
  <c r="AA13" i="71"/>
  <c r="AB10" i="71"/>
  <c r="Y10" i="71"/>
  <c r="Z10" i="71"/>
  <c r="AA14" i="71"/>
  <c r="AA18" i="71"/>
  <c r="X14" i="71"/>
  <c r="X10" i="71"/>
  <c r="B48" i="71"/>
  <c r="AH10" i="43"/>
  <c r="AD10" i="43"/>
  <c r="Z10" i="43"/>
  <c r="AG10" i="43"/>
  <c r="AC10" i="43"/>
  <c r="P74" i="67"/>
  <c r="F7" i="37"/>
  <c r="F34" i="78"/>
  <c r="F62" i="78"/>
  <c r="F7" i="1"/>
  <c r="G7" i="1"/>
  <c r="G16" i="1"/>
  <c r="H10" i="40"/>
  <c r="G1" i="15"/>
  <c r="L1" i="73"/>
  <c r="F63" i="40"/>
  <c r="C9" i="68"/>
  <c r="BL386" i="3"/>
  <c r="AZ386" i="3"/>
  <c r="BA385" i="3"/>
  <c r="AZ385" i="3"/>
  <c r="BL382" i="3"/>
  <c r="AZ382" i="3"/>
  <c r="BA381" i="3"/>
  <c r="AZ381" i="3"/>
  <c r="BL378" i="3"/>
  <c r="AZ378" i="3"/>
  <c r="BA377" i="3"/>
  <c r="AZ377" i="3"/>
  <c r="BL374" i="3"/>
  <c r="AZ374" i="3"/>
  <c r="BA373" i="3"/>
  <c r="AZ373" i="3"/>
  <c r="BL370" i="3"/>
  <c r="AZ370" i="3"/>
  <c r="BA369" i="3"/>
  <c r="AZ369" i="3"/>
  <c r="BL366" i="3"/>
  <c r="AZ366" i="3"/>
  <c r="BA365" i="3"/>
  <c r="AZ365" i="3"/>
  <c r="BL362" i="3"/>
  <c r="AZ362" i="3"/>
  <c r="BA361" i="3"/>
  <c r="AZ361" i="3"/>
  <c r="BC5" i="3"/>
  <c r="BL388" i="3"/>
  <c r="AZ388" i="3"/>
  <c r="BA387" i="3"/>
  <c r="AZ387" i="3"/>
  <c r="BL384" i="3"/>
  <c r="AZ384" i="3"/>
  <c r="BA383" i="3"/>
  <c r="AZ383" i="3"/>
  <c r="BL380" i="3"/>
  <c r="AZ380" i="3"/>
  <c r="BA379" i="3"/>
  <c r="AZ379" i="3"/>
  <c r="BL376" i="3"/>
  <c r="AZ376" i="3"/>
  <c r="BA375" i="3"/>
  <c r="AZ375" i="3"/>
  <c r="BL372" i="3"/>
  <c r="AZ372" i="3"/>
  <c r="BA371" i="3"/>
  <c r="AZ371" i="3"/>
  <c r="BL368" i="3"/>
  <c r="AZ368" i="3"/>
  <c r="BA367" i="3"/>
  <c r="AZ367" i="3"/>
  <c r="BL364" i="3"/>
  <c r="AZ364" i="3"/>
  <c r="BA363" i="3"/>
  <c r="AZ363" i="3"/>
  <c r="BL163" i="3"/>
  <c r="AZ163" i="3"/>
  <c r="BA162" i="3"/>
  <c r="AZ162" i="3"/>
  <c r="BL159" i="3"/>
  <c r="AZ159" i="3"/>
  <c r="BA158" i="3"/>
  <c r="AZ158" i="3"/>
  <c r="BL165" i="3"/>
  <c r="AZ165" i="3"/>
  <c r="BA164" i="3"/>
  <c r="AZ164" i="3"/>
  <c r="BL161" i="3"/>
  <c r="AZ161" i="3"/>
  <c r="BA160" i="3"/>
  <c r="AZ160" i="3"/>
  <c r="BL157" i="3"/>
  <c r="AZ157" i="3"/>
  <c r="AZ50" i="3"/>
  <c r="BL56" i="3"/>
  <c r="AZ56" i="3"/>
  <c r="BA55" i="3"/>
  <c r="AZ55" i="3"/>
  <c r="BL52" i="3"/>
  <c r="AZ52" i="3"/>
  <c r="BA51" i="3"/>
  <c r="AZ51" i="3"/>
  <c r="G5" i="3"/>
  <c r="B3" i="3"/>
  <c r="BA57" i="3"/>
  <c r="AZ57" i="3"/>
  <c r="BL54" i="3"/>
  <c r="AZ54" i="3"/>
  <c r="BA53" i="3"/>
  <c r="AZ53" i="3"/>
  <c r="BL50" i="3"/>
  <c r="BA49" i="3"/>
  <c r="AB10" i="40"/>
  <c r="U10" i="40"/>
  <c r="J10" i="39"/>
  <c r="W10" i="39"/>
  <c r="J10" i="40"/>
  <c r="F10" i="40"/>
  <c r="AA10" i="40"/>
  <c r="F10" i="39"/>
  <c r="AA10" i="39"/>
  <c r="H10" i="39"/>
  <c r="S10" i="40"/>
  <c r="AC10" i="39"/>
  <c r="C15" i="12"/>
  <c r="C12" i="12"/>
  <c r="B6" i="49"/>
  <c r="B13" i="49"/>
  <c r="C4" i="4"/>
  <c r="E6" i="49"/>
  <c r="E21" i="49"/>
  <c r="B16" i="49"/>
  <c r="E9" i="49"/>
  <c r="B11" i="49"/>
  <c r="E7" i="49"/>
  <c r="B10" i="49"/>
  <c r="E11" i="49"/>
  <c r="B8" i="49"/>
  <c r="B4" i="49"/>
  <c r="E5" i="49"/>
  <c r="E10" i="49"/>
  <c r="E8" i="49"/>
  <c r="E16" i="49"/>
  <c r="B9" i="49"/>
  <c r="E4" i="4"/>
  <c r="B5" i="62"/>
  <c r="B73" i="72"/>
  <c r="B5" i="49"/>
  <c r="E22" i="49"/>
  <c r="B14" i="49"/>
  <c r="B7" i="49"/>
  <c r="B22" i="49"/>
  <c r="C47" i="68"/>
  <c r="D45" i="68"/>
  <c r="C47" i="69"/>
  <c r="D45" i="69"/>
  <c r="B20" i="31"/>
  <c r="J20" i="78"/>
  <c r="N59" i="78"/>
  <c r="L59" i="78"/>
  <c r="L58" i="78"/>
  <c r="M59" i="78"/>
  <c r="F69" i="78"/>
  <c r="L46" i="78"/>
  <c r="J53" i="78"/>
  <c r="J60" i="78"/>
  <c r="Q48" i="78"/>
  <c r="L56" i="78"/>
  <c r="L60" i="78"/>
  <c r="J59" i="78"/>
  <c r="J57" i="78"/>
  <c r="J55" i="78"/>
  <c r="J58" i="78"/>
  <c r="Q50" i="78"/>
  <c r="L57" i="78"/>
  <c r="I54" i="78"/>
  <c r="F66" i="78"/>
  <c r="F65" i="78"/>
  <c r="F64" i="78"/>
  <c r="C27" i="78"/>
  <c r="C18" i="78"/>
  <c r="C15" i="78"/>
  <c r="C19" i="78"/>
  <c r="C34" i="78"/>
  <c r="F63" i="78"/>
  <c r="C62" i="78"/>
  <c r="M7" i="78"/>
  <c r="F50" i="78"/>
  <c r="C6" i="78"/>
  <c r="B12" i="70"/>
  <c r="B10" i="70"/>
  <c r="B8" i="70"/>
  <c r="C27" i="67"/>
  <c r="Q71" i="78"/>
  <c r="F68" i="78"/>
  <c r="F71" i="78"/>
  <c r="F51" i="78"/>
  <c r="B13" i="70"/>
  <c r="B11" i="70"/>
  <c r="B9" i="70"/>
  <c r="F68" i="67"/>
  <c r="F64" i="67"/>
  <c r="L59" i="67"/>
  <c r="L58" i="67"/>
  <c r="M59" i="67"/>
  <c r="N59" i="67"/>
  <c r="Q71" i="67"/>
  <c r="E20" i="43"/>
  <c r="J53" i="67"/>
  <c r="L57" i="67"/>
  <c r="J60" i="67"/>
  <c r="Q48" i="67"/>
  <c r="L60" i="67"/>
  <c r="L56" i="67"/>
  <c r="J57" i="67"/>
  <c r="J55" i="67"/>
  <c r="J58" i="67"/>
  <c r="Q50" i="67"/>
  <c r="I54" i="67"/>
  <c r="J59" i="67"/>
  <c r="F70" i="67"/>
  <c r="F66" i="67"/>
  <c r="F65" i="67"/>
  <c r="F71" i="67"/>
  <c r="F51" i="67"/>
  <c r="M7" i="67"/>
  <c r="F50" i="67"/>
  <c r="C6" i="67"/>
  <c r="F31" i="67"/>
  <c r="G1" i="73"/>
  <c r="F59" i="67"/>
  <c r="C17" i="78"/>
  <c r="C16" i="78"/>
  <c r="M17" i="67"/>
  <c r="C16" i="67"/>
  <c r="C49" i="78"/>
  <c r="B40" i="1"/>
  <c r="F22" i="68"/>
  <c r="AZ49" i="3"/>
  <c r="AZ5" i="3"/>
  <c r="BA5" i="3"/>
  <c r="E27" i="6"/>
  <c r="AA7" i="37"/>
  <c r="R42" i="37"/>
  <c r="S7" i="37"/>
  <c r="AA44" i="39"/>
  <c r="S44" i="39"/>
  <c r="AA34" i="35"/>
  <c r="S34" i="35"/>
  <c r="AC23" i="40"/>
  <c r="W23" i="40"/>
  <c r="C45" i="71"/>
  <c r="D44" i="71"/>
  <c r="D36" i="71"/>
  <c r="C37" i="71"/>
  <c r="D5" i="71"/>
  <c r="AC9" i="33"/>
  <c r="W9" i="33"/>
  <c r="U12" i="21"/>
  <c r="AB12" i="21"/>
  <c r="AA21" i="40"/>
  <c r="S21" i="40"/>
  <c r="M14" i="1"/>
  <c r="K16" i="1"/>
  <c r="C34" i="69"/>
  <c r="S4" i="43"/>
  <c r="S3" i="43"/>
  <c r="S2" i="43"/>
  <c r="S5" i="43"/>
  <c r="C23" i="43"/>
  <c r="C21" i="43"/>
  <c r="D113" i="43"/>
  <c r="AA7" i="33"/>
  <c r="R48" i="33"/>
  <c r="S7" i="33"/>
  <c r="W7" i="34"/>
  <c r="AC7" i="34"/>
  <c r="V49" i="34"/>
  <c r="I49" i="34"/>
  <c r="F48" i="35"/>
  <c r="AA7" i="21"/>
  <c r="R48" i="21"/>
  <c r="S7" i="21"/>
  <c r="L68" i="9"/>
  <c r="M68" i="9"/>
  <c r="L66" i="9"/>
  <c r="M66" i="9"/>
  <c r="L63" i="9"/>
  <c r="M63" i="9"/>
  <c r="M69" i="9"/>
  <c r="N69" i="9"/>
  <c r="L65" i="9"/>
  <c r="M65" i="9"/>
  <c r="L64" i="9"/>
  <c r="M64" i="9"/>
  <c r="L67" i="9"/>
  <c r="M67" i="9"/>
  <c r="J7" i="21"/>
  <c r="BL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AP6" i="3"/>
  <c r="AC6" i="3"/>
  <c r="E499" i="3"/>
  <c r="E542" i="3"/>
  <c r="R6" i="3"/>
  <c r="E552" i="3"/>
  <c r="E502" i="3"/>
  <c r="E421" i="3"/>
  <c r="E442" i="3"/>
  <c r="E464" i="3"/>
  <c r="E466" i="3"/>
  <c r="E487" i="3"/>
  <c r="E541" i="3"/>
  <c r="E398" i="3"/>
  <c r="E430" i="3"/>
  <c r="E416" i="3"/>
  <c r="E449" i="3"/>
  <c r="E459" i="3"/>
  <c r="E255" i="3"/>
  <c r="E374" i="3"/>
  <c r="I3" i="6"/>
  <c r="E56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5" i="6"/>
  <c r="E13" i="6"/>
  <c r="E11" i="6"/>
  <c r="E12" i="6"/>
  <c r="E10" i="6"/>
  <c r="E14" i="6"/>
  <c r="F65" i="40"/>
  <c r="G63" i="40"/>
  <c r="N48" i="71"/>
  <c r="B47" i="71"/>
  <c r="AC34" i="35"/>
  <c r="W34" i="35"/>
  <c r="AA23" i="40"/>
  <c r="S23" i="40"/>
  <c r="AA9" i="33"/>
  <c r="S9" i="33"/>
  <c r="U9" i="33"/>
  <c r="AB9" i="33"/>
  <c r="S12" i="21"/>
  <c r="AA12" i="21"/>
  <c r="AC21" i="40"/>
  <c r="W21" i="40"/>
  <c r="M16" i="1"/>
  <c r="D13" i="71"/>
  <c r="M20" i="43"/>
  <c r="C19" i="43"/>
  <c r="T13" i="71"/>
  <c r="D17" i="71"/>
  <c r="T17" i="71"/>
  <c r="S6" i="43"/>
  <c r="U7" i="33"/>
  <c r="AB7" i="33"/>
  <c r="T48" i="33"/>
  <c r="G48" i="33"/>
  <c r="W7" i="33"/>
  <c r="AC7" i="33"/>
  <c r="V48" i="33"/>
  <c r="I48" i="33"/>
  <c r="U7" i="34"/>
  <c r="AB7" i="34"/>
  <c r="T49" i="34"/>
  <c r="G49" i="34"/>
  <c r="G68" i="39"/>
  <c r="F70" i="39"/>
  <c r="S7" i="43"/>
  <c r="E46" i="36"/>
  <c r="D10" i="52"/>
  <c r="D125" i="9"/>
  <c r="D11" i="52"/>
  <c r="H14" i="74"/>
  <c r="B7" i="74"/>
  <c r="AB7" i="21"/>
  <c r="T48" i="21"/>
  <c r="G48" i="21"/>
  <c r="U7" i="21"/>
  <c r="S7" i="34"/>
  <c r="AA7" i="34"/>
  <c r="R49" i="34"/>
  <c r="U10" i="39"/>
  <c r="AB10" i="39"/>
  <c r="S10" i="39"/>
  <c r="AC10" i="40"/>
  <c r="W10" i="40"/>
  <c r="B4" i="62"/>
  <c r="B71" i="72"/>
  <c r="K4" i="4"/>
  <c r="B46" i="48"/>
  <c r="B4" i="72"/>
  <c r="L46" i="67"/>
  <c r="F24" i="67"/>
  <c r="C24" i="67"/>
  <c r="F24" i="15"/>
  <c r="C24" i="15"/>
  <c r="F22" i="69"/>
  <c r="F1" i="67"/>
  <c r="Q52" i="67"/>
  <c r="O17" i="43"/>
  <c r="P17" i="43"/>
  <c r="N17" i="43"/>
  <c r="M17" i="43"/>
  <c r="Q74" i="67"/>
  <c r="Q61" i="67"/>
  <c r="F1" i="78"/>
  <c r="Q52" i="78"/>
  <c r="J6" i="78"/>
  <c r="Q60" i="78"/>
  <c r="Q73" i="78"/>
  <c r="C49" i="67"/>
  <c r="Q66" i="67"/>
  <c r="Q57" i="67"/>
  <c r="Q73" i="67"/>
  <c r="Q60" i="67"/>
  <c r="J6" i="67"/>
  <c r="C20" i="78"/>
  <c r="Q66" i="78"/>
  <c r="Q57" i="78"/>
  <c r="Q74" i="78"/>
  <c r="Q61" i="78"/>
  <c r="F7" i="73"/>
  <c r="M8" i="15"/>
  <c r="F38" i="15"/>
  <c r="M28" i="15"/>
  <c r="F40" i="15"/>
  <c r="M26" i="15"/>
  <c r="F42" i="15"/>
  <c r="M24" i="15"/>
  <c r="F6" i="73"/>
  <c r="F37" i="15"/>
  <c r="F26" i="15"/>
  <c r="L48" i="15"/>
  <c r="M22" i="15"/>
  <c r="F9" i="15"/>
  <c r="M23" i="15"/>
  <c r="F13" i="15"/>
  <c r="F5" i="73"/>
  <c r="F4" i="73"/>
  <c r="F6" i="15"/>
  <c r="M29" i="15"/>
  <c r="M9" i="15"/>
  <c r="L47" i="15"/>
  <c r="M27" i="15"/>
  <c r="F16" i="15"/>
  <c r="AE6" i="1"/>
  <c r="F3" i="73"/>
  <c r="F8" i="15"/>
  <c r="C76" i="15"/>
  <c r="J15" i="15"/>
  <c r="F36" i="15"/>
  <c r="M6" i="15"/>
  <c r="F7" i="15"/>
  <c r="F31" i="15"/>
  <c r="F43" i="15"/>
  <c r="F25" i="12"/>
  <c r="C26" i="12"/>
  <c r="D25" i="12"/>
  <c r="F22" i="11"/>
  <c r="F24" i="78"/>
  <c r="C24" i="78"/>
  <c r="F71" i="15"/>
  <c r="M7" i="15"/>
  <c r="F50" i="15"/>
  <c r="F64" i="15"/>
  <c r="L57" i="15"/>
  <c r="L60" i="15"/>
  <c r="J57" i="15"/>
  <c r="J55" i="15"/>
  <c r="J58" i="15"/>
  <c r="Q50" i="15"/>
  <c r="J59" i="15"/>
  <c r="J60" i="15"/>
  <c r="Q48" i="15"/>
  <c r="J53" i="15"/>
  <c r="L56" i="15"/>
  <c r="I54" i="15"/>
  <c r="L46" i="15"/>
  <c r="Q71" i="15"/>
  <c r="C27" i="15"/>
  <c r="F51" i="15"/>
  <c r="F65" i="15"/>
  <c r="L58" i="15"/>
  <c r="M59" i="15"/>
  <c r="L59" i="15"/>
  <c r="N59" i="15"/>
  <c r="F68" i="15"/>
  <c r="F66" i="15"/>
  <c r="C6" i="15"/>
  <c r="I1" i="73"/>
  <c r="B39" i="1"/>
  <c r="C36" i="43"/>
  <c r="C34" i="43"/>
  <c r="C33" i="43"/>
  <c r="C38" i="43"/>
  <c r="T6" i="43"/>
  <c r="V6" i="43"/>
  <c r="C35" i="43"/>
  <c r="C29" i="43"/>
  <c r="T16" i="43"/>
  <c r="V16" i="43"/>
  <c r="T12" i="43"/>
  <c r="V12" i="43"/>
  <c r="T3" i="43"/>
  <c r="V3" i="43"/>
  <c r="T2" i="43"/>
  <c r="V2" i="43"/>
  <c r="T15" i="43"/>
  <c r="V15" i="43"/>
  <c r="T10" i="43"/>
  <c r="V10" i="43"/>
  <c r="T4" i="43"/>
  <c r="V4" i="43"/>
  <c r="C37" i="43"/>
  <c r="T11" i="43"/>
  <c r="V11" i="43"/>
  <c r="T14" i="43"/>
  <c r="V14" i="43"/>
  <c r="T9" i="43"/>
  <c r="V9" i="43"/>
  <c r="T7" i="43"/>
  <c r="V7" i="43"/>
  <c r="T8" i="43"/>
  <c r="V8" i="43"/>
  <c r="T13" i="43"/>
  <c r="V13" i="43"/>
  <c r="T5" i="43"/>
  <c r="V5" i="43"/>
  <c r="C39" i="43"/>
  <c r="E39" i="43"/>
  <c r="G52" i="21"/>
  <c r="H52" i="21"/>
  <c r="H68" i="39"/>
  <c r="G70" i="39"/>
  <c r="N16" i="1"/>
  <c r="L16" i="1"/>
  <c r="C34" i="11"/>
  <c r="C34" i="68"/>
  <c r="G65" i="40"/>
  <c r="H63" i="40"/>
  <c r="E64" i="39"/>
  <c r="E59" i="40"/>
  <c r="E57" i="40"/>
  <c r="E62" i="39"/>
  <c r="E58" i="40"/>
  <c r="E63" i="39"/>
  <c r="AC7" i="21"/>
  <c r="V48" i="21"/>
  <c r="I48" i="21"/>
  <c r="W7" i="21"/>
  <c r="R49" i="21"/>
  <c r="E48" i="21"/>
  <c r="I53" i="34"/>
  <c r="J53" i="34"/>
  <c r="C38" i="69"/>
  <c r="C35" i="69"/>
  <c r="D45" i="71"/>
  <c r="T45" i="71"/>
  <c r="R43" i="37"/>
  <c r="E42" i="37"/>
  <c r="E31" i="6"/>
  <c r="K21" i="6"/>
  <c r="M21" i="6"/>
  <c r="I21" i="6"/>
  <c r="S21" i="6"/>
  <c r="K26" i="6"/>
  <c r="M26" i="6"/>
  <c r="I26" i="6"/>
  <c r="S26" i="6"/>
  <c r="K25" i="6"/>
  <c r="M25" i="6"/>
  <c r="I25" i="6"/>
  <c r="S25" i="6"/>
  <c r="K23" i="6"/>
  <c r="M23" i="6"/>
  <c r="I23" i="6"/>
  <c r="S23" i="6"/>
  <c r="K24" i="6"/>
  <c r="M24" i="6"/>
  <c r="I24" i="6"/>
  <c r="S24" i="6"/>
  <c r="K22" i="6"/>
  <c r="M22" i="6"/>
  <c r="I22" i="6"/>
  <c r="S22" i="6"/>
  <c r="K20" i="6"/>
  <c r="K19" i="6"/>
  <c r="R50" i="34"/>
  <c r="E49" i="34"/>
  <c r="F46" i="36"/>
  <c r="G53" i="34"/>
  <c r="H53" i="34"/>
  <c r="G54" i="34"/>
  <c r="H54" i="34"/>
  <c r="I52" i="33"/>
  <c r="J52" i="33"/>
  <c r="G52" i="33"/>
  <c r="H52" i="33"/>
  <c r="G53" i="33"/>
  <c r="H53" i="33"/>
  <c r="N46" i="71"/>
  <c r="N47" i="71"/>
  <c r="E16" i="6"/>
  <c r="E56" i="40"/>
  <c r="E61" i="39"/>
  <c r="E65" i="39"/>
  <c r="E66" i="39"/>
  <c r="E60" i="40"/>
  <c r="H6" i="3"/>
  <c r="E6" i="3"/>
  <c r="G48" i="35"/>
  <c r="R49" i="33"/>
  <c r="E48" i="33"/>
  <c r="D37" i="71"/>
  <c r="T37" i="71"/>
  <c r="E3" i="6"/>
  <c r="AY6" i="3"/>
  <c r="C26" i="78"/>
  <c r="C26" i="11"/>
  <c r="D22" i="11"/>
  <c r="C44" i="11"/>
  <c r="D41" i="11"/>
  <c r="C23" i="11"/>
  <c r="C26" i="68"/>
  <c r="D22" i="68"/>
  <c r="C44" i="68"/>
  <c r="D41" i="68"/>
  <c r="C23" i="78"/>
  <c r="C26" i="69"/>
  <c r="D22" i="69"/>
  <c r="C44" i="69"/>
  <c r="D41" i="69"/>
  <c r="M17" i="15"/>
  <c r="F41" i="67"/>
  <c r="C16" i="15"/>
  <c r="F59" i="15"/>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53" i="33"/>
  <c r="F53" i="33"/>
  <c r="E52" i="33"/>
  <c r="F52" i="33"/>
  <c r="I53" i="33"/>
  <c r="J53" i="33"/>
  <c r="G46" i="36"/>
  <c r="H46" i="36"/>
  <c r="I46" i="36"/>
  <c r="J46" i="36"/>
  <c r="K46" i="36"/>
  <c r="L46" i="36"/>
  <c r="M46" i="36"/>
  <c r="N46" i="36"/>
  <c r="O46" i="36"/>
  <c r="F7" i="36"/>
  <c r="C50" i="34"/>
  <c r="D3" i="34"/>
  <c r="B2" i="34"/>
  <c r="B3" i="34"/>
  <c r="C49" i="34"/>
  <c r="M20" i="6"/>
  <c r="I20" i="6"/>
  <c r="S20" i="6"/>
  <c r="S7" i="1"/>
  <c r="E47" i="37"/>
  <c r="F47" i="37"/>
  <c r="E46" i="37"/>
  <c r="F46" i="37"/>
  <c r="I47" i="37"/>
  <c r="J47" i="37"/>
  <c r="C48" i="21"/>
  <c r="C49" i="21"/>
  <c r="D3" i="21"/>
  <c r="B2" i="21"/>
  <c r="B3" i="21"/>
  <c r="I52" i="21"/>
  <c r="J52" i="21"/>
  <c r="I53" i="21"/>
  <c r="J53" i="21"/>
  <c r="C38" i="11"/>
  <c r="C35" i="11"/>
  <c r="F50" i="11"/>
  <c r="F50" i="69"/>
  <c r="F50" i="68"/>
  <c r="I68" i="39"/>
  <c r="H70" i="39"/>
  <c r="G35" i="43"/>
  <c r="I35" i="43"/>
  <c r="E35" i="43"/>
  <c r="G38" i="43"/>
  <c r="I38" i="43"/>
  <c r="E38" i="43"/>
  <c r="G34" i="43"/>
  <c r="I34" i="43"/>
  <c r="E34" i="43"/>
  <c r="Q61" i="15"/>
  <c r="Q74" i="15"/>
  <c r="Q73" i="15"/>
  <c r="Q60" i="15"/>
  <c r="E6" i="6"/>
  <c r="D3" i="37"/>
  <c r="M18" i="9"/>
  <c r="B118" i="9"/>
  <c r="B14" i="74"/>
  <c r="D3" i="33"/>
  <c r="D19" i="11"/>
  <c r="C19" i="11"/>
  <c r="D37" i="11"/>
  <c r="C37" i="11"/>
  <c r="D14" i="12"/>
  <c r="C17" i="4"/>
  <c r="B4" i="52"/>
  <c r="B43" i="72"/>
  <c r="L18" i="9"/>
  <c r="C48" i="33"/>
  <c r="C49" i="33"/>
  <c r="H48" i="35"/>
  <c r="J7" i="36"/>
  <c r="E54" i="34"/>
  <c r="F54" i="34"/>
  <c r="E53" i="34"/>
  <c r="F53" i="34"/>
  <c r="M19" i="6"/>
  <c r="S6" i="1"/>
  <c r="K27" i="6"/>
  <c r="C43" i="37"/>
  <c r="B2" i="37"/>
  <c r="B3" i="37"/>
  <c r="C42" i="37"/>
  <c r="I54" i="34"/>
  <c r="J54" i="34"/>
  <c r="E52" i="21"/>
  <c r="F52" i="21"/>
  <c r="E53" i="21"/>
  <c r="F53" i="21"/>
  <c r="H65" i="40"/>
  <c r="I63" i="40"/>
  <c r="C35" i="68"/>
  <c r="C38" i="68"/>
  <c r="G53" i="21"/>
  <c r="H53" i="21"/>
  <c r="G37" i="43"/>
  <c r="I37" i="43"/>
  <c r="E37" i="43"/>
  <c r="C30" i="43"/>
  <c r="E30" i="43"/>
  <c r="E29" i="43"/>
  <c r="G33" i="43"/>
  <c r="I33" i="43"/>
  <c r="E33" i="43"/>
  <c r="G36" i="43"/>
  <c r="I36" i="43"/>
  <c r="E36" i="43"/>
  <c r="F11" i="67"/>
  <c r="M11" i="15"/>
  <c r="J10" i="15"/>
  <c r="M11" i="78"/>
  <c r="J10" i="78"/>
  <c r="J5" i="78"/>
  <c r="J24" i="78"/>
  <c r="M11" i="67"/>
  <c r="J10" i="67"/>
  <c r="J5" i="67"/>
  <c r="J26" i="67"/>
  <c r="J29" i="67"/>
  <c r="F11" i="15"/>
  <c r="F11" i="78"/>
  <c r="C49" i="15"/>
  <c r="Q52" i="15"/>
  <c r="F1" i="15"/>
  <c r="Q66" i="15"/>
  <c r="Q57" i="15"/>
  <c r="J6" i="15"/>
  <c r="F69" i="67"/>
  <c r="C29" i="78"/>
  <c r="C36" i="78"/>
  <c r="J26" i="78"/>
  <c r="J29" i="78"/>
  <c r="J24" i="67"/>
  <c r="AE7" i="1"/>
  <c r="C14" i="67"/>
  <c r="C17" i="67"/>
  <c r="C17" i="15"/>
  <c r="J18" i="78"/>
  <c r="C13" i="78"/>
  <c r="C18" i="67"/>
  <c r="C15" i="67"/>
  <c r="C53" i="78"/>
  <c r="C48" i="78"/>
  <c r="C10" i="78"/>
  <c r="C5" i="78"/>
  <c r="J5" i="15"/>
  <c r="C26" i="43"/>
  <c r="T6" i="1"/>
  <c r="AR6" i="1"/>
  <c r="AQ6" i="1"/>
  <c r="S16" i="1"/>
  <c r="E6" i="70"/>
  <c r="J18" i="67"/>
  <c r="C10" i="15"/>
  <c r="C5" i="15"/>
  <c r="C53" i="15"/>
  <c r="C48" i="15"/>
  <c r="C53" i="67"/>
  <c r="C48" i="67"/>
  <c r="C10" i="67"/>
  <c r="C5" i="67"/>
  <c r="C27" i="43"/>
  <c r="I65" i="40"/>
  <c r="J63" i="40"/>
  <c r="I19" i="6"/>
  <c r="M27" i="6"/>
  <c r="B2" i="33"/>
  <c r="B3" i="33"/>
  <c r="D17" i="12"/>
  <c r="C17" i="12"/>
  <c r="C14" i="12"/>
  <c r="C16" i="12"/>
  <c r="C20" i="11"/>
  <c r="C25" i="11"/>
  <c r="C24" i="11"/>
  <c r="T7" i="1"/>
  <c r="AQ7" i="1"/>
  <c r="AR7" i="1"/>
  <c r="E7" i="70"/>
  <c r="H7" i="36"/>
  <c r="D19" i="6"/>
  <c r="H19" i="6"/>
  <c r="H20" i="6"/>
  <c r="E61" i="40"/>
  <c r="D20" i="6"/>
  <c r="R20" i="6"/>
  <c r="R7" i="1"/>
  <c r="M19" i="9"/>
  <c r="C118" i="9"/>
  <c r="C14" i="74"/>
  <c r="D25" i="6"/>
  <c r="D15" i="6"/>
  <c r="D22" i="6"/>
  <c r="D21" i="6"/>
  <c r="H21" i="6"/>
  <c r="R21" i="6"/>
  <c r="D24" i="6"/>
  <c r="D5" i="6"/>
  <c r="D12" i="6"/>
  <c r="D11" i="6"/>
  <c r="D13" i="6"/>
  <c r="D28" i="6"/>
  <c r="D29" i="6"/>
  <c r="D30" i="6"/>
  <c r="H25" i="6"/>
  <c r="H22" i="6"/>
  <c r="H24" i="6"/>
  <c r="D26" i="6"/>
  <c r="D8" i="6"/>
  <c r="D14" i="6"/>
  <c r="D9" i="6"/>
  <c r="L19" i="9"/>
  <c r="H26" i="6"/>
  <c r="C18" i="4"/>
  <c r="D23" i="6"/>
  <c r="D6" i="6"/>
  <c r="D10" i="6"/>
  <c r="H23" i="6"/>
  <c r="AC7" i="36"/>
  <c r="V36" i="36"/>
  <c r="I36" i="36"/>
  <c r="W7" i="36"/>
  <c r="I48" i="35"/>
  <c r="B2" i="79"/>
  <c r="B1" i="74"/>
  <c r="D10" i="68"/>
  <c r="D10" i="11"/>
  <c r="C10" i="11"/>
  <c r="D20" i="12"/>
  <c r="C20" i="12"/>
  <c r="C18" i="12"/>
  <c r="D10" i="69"/>
  <c r="J68" i="39"/>
  <c r="I70" i="39"/>
  <c r="C33" i="11"/>
  <c r="AA7" i="36"/>
  <c r="R36" i="36"/>
  <c r="S7" i="36"/>
  <c r="J14" i="78"/>
  <c r="J22" i="78"/>
  <c r="Q49" i="78"/>
  <c r="C57" i="78"/>
  <c r="C61" i="78"/>
  <c r="J19" i="78"/>
  <c r="J17" i="78"/>
  <c r="C37" i="78"/>
  <c r="C56" i="78"/>
  <c r="C65" i="78"/>
  <c r="Q70" i="78"/>
  <c r="C75" i="78"/>
  <c r="F41" i="15"/>
  <c r="E6" i="76"/>
  <c r="F35" i="15"/>
  <c r="C14" i="15"/>
  <c r="M21" i="15"/>
  <c r="C22" i="11"/>
  <c r="F69" i="15"/>
  <c r="C19" i="67"/>
  <c r="C20" i="67"/>
  <c r="C23" i="67"/>
  <c r="F63" i="15"/>
  <c r="C62" i="15"/>
  <c r="C34" i="15"/>
  <c r="J20" i="15"/>
  <c r="E2" i="76"/>
  <c r="C18" i="15"/>
  <c r="C15" i="15"/>
  <c r="C8" i="74"/>
  <c r="C7" i="74"/>
  <c r="C39" i="11"/>
  <c r="C42" i="11"/>
  <c r="J70" i="39"/>
  <c r="K68" i="39"/>
  <c r="D19" i="68"/>
  <c r="C10" i="68"/>
  <c r="B5" i="79"/>
  <c r="E2" i="79"/>
  <c r="J48" i="35"/>
  <c r="I40" i="36"/>
  <c r="J40" i="36"/>
  <c r="A7" i="51"/>
  <c r="B7" i="72"/>
  <c r="C4" i="52"/>
  <c r="B45" i="72"/>
  <c r="A10" i="51"/>
  <c r="B9" i="72"/>
  <c r="R26" i="6"/>
  <c r="R24" i="6"/>
  <c r="R22" i="6"/>
  <c r="R25" i="6"/>
  <c r="R19" i="6"/>
  <c r="D27" i="6"/>
  <c r="D31" i="6"/>
  <c r="C28" i="11"/>
  <c r="C27" i="11"/>
  <c r="C21" i="12"/>
  <c r="S19" i="6"/>
  <c r="S27" i="6"/>
  <c r="I27" i="6"/>
  <c r="C32" i="67"/>
  <c r="C38" i="67"/>
  <c r="C33" i="67"/>
  <c r="C66" i="15"/>
  <c r="C60" i="15"/>
  <c r="B2" i="43"/>
  <c r="C33" i="78"/>
  <c r="C32" i="78"/>
  <c r="C38" i="78"/>
  <c r="E36" i="36"/>
  <c r="R37" i="36"/>
  <c r="C10" i="69"/>
  <c r="C8" i="69"/>
  <c r="D19" i="69"/>
  <c r="R23" i="6"/>
  <c r="D16" i="6"/>
  <c r="C2" i="79"/>
  <c r="C5" i="79"/>
  <c r="B2" i="74"/>
  <c r="H27" i="6"/>
  <c r="U7" i="36"/>
  <c r="AB7" i="36"/>
  <c r="T36" i="36"/>
  <c r="G36" i="36"/>
  <c r="C31" i="11"/>
  <c r="J65" i="40"/>
  <c r="K63" i="40"/>
  <c r="C60" i="67"/>
  <c r="C66" i="67"/>
  <c r="C33" i="15"/>
  <c r="C32" i="15"/>
  <c r="C38" i="15"/>
  <c r="E2" i="70"/>
  <c r="T16" i="1"/>
  <c r="J26" i="15"/>
  <c r="J29" i="15"/>
  <c r="J18" i="15"/>
  <c r="J24" i="15"/>
  <c r="C60" i="78"/>
  <c r="C59" i="78"/>
  <c r="C66" i="78"/>
  <c r="J13" i="78"/>
  <c r="J23" i="78"/>
  <c r="C64" i="78"/>
  <c r="J16" i="78"/>
  <c r="J25" i="78"/>
  <c r="B6" i="76"/>
  <c r="C31" i="78"/>
  <c r="C30" i="78"/>
  <c r="C39" i="78"/>
  <c r="C40" i="78"/>
  <c r="C26" i="67"/>
  <c r="C29" i="67"/>
  <c r="C57" i="67"/>
  <c r="C31" i="15"/>
  <c r="C19" i="15"/>
  <c r="B2" i="76"/>
  <c r="B3" i="76"/>
  <c r="C20" i="15"/>
  <c r="C26" i="15"/>
  <c r="K65" i="40"/>
  <c r="L63" i="40"/>
  <c r="D8" i="74"/>
  <c r="D7" i="74"/>
  <c r="C19" i="69"/>
  <c r="C24" i="69"/>
  <c r="D37" i="69"/>
  <c r="C37" i="69"/>
  <c r="C33" i="69"/>
  <c r="C36" i="36"/>
  <c r="C37" i="36"/>
  <c r="B2" i="36"/>
  <c r="B3" i="36"/>
  <c r="G40" i="36"/>
  <c r="H40" i="36"/>
  <c r="G41" i="36"/>
  <c r="H41" i="36"/>
  <c r="E40" i="36"/>
  <c r="F40" i="36"/>
  <c r="E41" i="36"/>
  <c r="F41" i="36"/>
  <c r="I6" i="6"/>
  <c r="I5" i="6"/>
  <c r="K48" i="35"/>
  <c r="L48" i="35"/>
  <c r="M48" i="35"/>
  <c r="N48" i="35"/>
  <c r="O48" i="35"/>
  <c r="F7" i="35"/>
  <c r="C19" i="68"/>
  <c r="C24" i="68"/>
  <c r="D37" i="68"/>
  <c r="C37" i="68"/>
  <c r="C33" i="68"/>
  <c r="C46" i="11"/>
  <c r="C45" i="11"/>
  <c r="C43" i="11"/>
  <c r="C58" i="78"/>
  <c r="C67" i="78"/>
  <c r="C68" i="78"/>
  <c r="C71" i="78"/>
  <c r="J14" i="67"/>
  <c r="Q49" i="67"/>
  <c r="B3" i="43"/>
  <c r="C22" i="12"/>
  <c r="C30" i="12"/>
  <c r="C28" i="12"/>
  <c r="R6" i="1"/>
  <c r="R27" i="6"/>
  <c r="I41" i="36"/>
  <c r="J41" i="36"/>
  <c r="H7" i="35"/>
  <c r="L68" i="39"/>
  <c r="K70" i="39"/>
  <c r="C41" i="11"/>
  <c r="Q69" i="78"/>
  <c r="Q68" i="78"/>
  <c r="F35" i="67"/>
  <c r="L51" i="78"/>
  <c r="M21" i="67"/>
  <c r="C80" i="78"/>
  <c r="C79" i="78"/>
  <c r="C27" i="12"/>
  <c r="C25" i="12"/>
  <c r="C32" i="12"/>
  <c r="B2" i="12"/>
  <c r="B3" i="12"/>
  <c r="C23" i="15"/>
  <c r="C29" i="15"/>
  <c r="Q49" i="15"/>
  <c r="J19" i="67"/>
  <c r="C13" i="67"/>
  <c r="C75" i="67"/>
  <c r="C36" i="67"/>
  <c r="J20" i="67"/>
  <c r="J17" i="67"/>
  <c r="C34" i="67"/>
  <c r="C31" i="67"/>
  <c r="F63" i="67"/>
  <c r="C62" i="67"/>
  <c r="AA7" i="35"/>
  <c r="R38" i="35"/>
  <c r="S7" i="35"/>
  <c r="U7" i="35"/>
  <c r="AB7" i="35"/>
  <c r="T38" i="35"/>
  <c r="G38" i="35"/>
  <c r="C37" i="67"/>
  <c r="C30" i="67"/>
  <c r="C39" i="67"/>
  <c r="C61" i="67"/>
  <c r="C59" i="67"/>
  <c r="C64" i="67"/>
  <c r="C49" i="11"/>
  <c r="C51" i="11"/>
  <c r="L70" i="39"/>
  <c r="M68" i="39"/>
  <c r="R16" i="1"/>
  <c r="J13" i="67"/>
  <c r="J23" i="67"/>
  <c r="J22" i="67"/>
  <c r="C39" i="68"/>
  <c r="C42" i="68"/>
  <c r="J7" i="35"/>
  <c r="C39" i="69"/>
  <c r="C42" i="69"/>
  <c r="L65" i="40"/>
  <c r="M63" i="40"/>
  <c r="C57" i="15"/>
  <c r="C36" i="15"/>
  <c r="J14" i="15"/>
  <c r="Q67" i="78"/>
  <c r="B2" i="78"/>
  <c r="B3" i="78"/>
  <c r="Q65" i="78"/>
  <c r="Q75" i="78"/>
  <c r="Q56" i="78"/>
  <c r="Q62" i="78"/>
  <c r="Q47" i="78"/>
  <c r="Q53" i="78"/>
  <c r="C43" i="78"/>
  <c r="C83" i="78"/>
  <c r="C82" i="78"/>
  <c r="C46" i="78"/>
  <c r="C56" i="67"/>
  <c r="C65" i="67"/>
  <c r="C58" i="67"/>
  <c r="C67" i="67"/>
  <c r="C68" i="67"/>
  <c r="C71" i="67"/>
  <c r="C13" i="15"/>
  <c r="J19" i="15"/>
  <c r="J17" i="15"/>
  <c r="Q70" i="67"/>
  <c r="W7" i="35"/>
  <c r="AC7" i="35"/>
  <c r="V38" i="35"/>
  <c r="I38" i="35"/>
  <c r="C46" i="68"/>
  <c r="C45" i="68"/>
  <c r="C43" i="68"/>
  <c r="N68" i="39"/>
  <c r="M70" i="39"/>
  <c r="C52" i="11"/>
  <c r="B2" i="11"/>
  <c r="B3" i="11"/>
  <c r="C40" i="67"/>
  <c r="Q69" i="67"/>
  <c r="G42" i="35"/>
  <c r="H42" i="35"/>
  <c r="G43" i="35"/>
  <c r="H43" i="35"/>
  <c r="J22" i="15"/>
  <c r="J13" i="15"/>
  <c r="J23" i="15"/>
  <c r="C64" i="15"/>
  <c r="C61" i="15"/>
  <c r="C59" i="15"/>
  <c r="M65" i="40"/>
  <c r="N63" i="40"/>
  <c r="C56" i="15"/>
  <c r="C65" i="15"/>
  <c r="C37" i="15"/>
  <c r="C30" i="15"/>
  <c r="C39" i="15"/>
  <c r="C75" i="15"/>
  <c r="Q70" i="15"/>
  <c r="C46" i="69"/>
  <c r="C45" i="69"/>
  <c r="C43" i="69"/>
  <c r="C41" i="69"/>
  <c r="C41" i="68"/>
  <c r="C49" i="68"/>
  <c r="C51" i="68"/>
  <c r="C80" i="67"/>
  <c r="C79" i="67"/>
  <c r="J16" i="67"/>
  <c r="J25" i="67"/>
  <c r="E38" i="35"/>
  <c r="R39" i="35"/>
  <c r="L51" i="67"/>
  <c r="C49" i="69"/>
  <c r="C51" i="69"/>
  <c r="Q68" i="67"/>
  <c r="Q67" i="67"/>
  <c r="E42" i="35"/>
  <c r="F42" i="35"/>
  <c r="E43" i="35"/>
  <c r="F43" i="35"/>
  <c r="C38" i="35"/>
  <c r="C39" i="35"/>
  <c r="B2" i="35"/>
  <c r="B3" i="35"/>
  <c r="Q69" i="15"/>
  <c r="Q68" i="15"/>
  <c r="C40" i="15"/>
  <c r="I42" i="35"/>
  <c r="J42" i="35"/>
  <c r="I43" i="35"/>
  <c r="J43" i="35"/>
  <c r="C80" i="15"/>
  <c r="C79" i="15"/>
  <c r="O63" i="40"/>
  <c r="O65" i="40"/>
  <c r="N65" i="40"/>
  <c r="C58" i="15"/>
  <c r="C67" i="15"/>
  <c r="C68" i="15"/>
  <c r="J16" i="15"/>
  <c r="J25" i="15"/>
  <c r="C45" i="67"/>
  <c r="C46" i="67"/>
  <c r="Q65" i="67"/>
  <c r="Q75" i="67"/>
  <c r="Q47" i="67"/>
  <c r="Q53" i="67"/>
  <c r="C83" i="67"/>
  <c r="C82" i="67"/>
  <c r="D2" i="67"/>
  <c r="Q56" i="67"/>
  <c r="Q62" i="67"/>
  <c r="C43" i="67"/>
  <c r="C56" i="11"/>
  <c r="C57" i="11"/>
  <c r="N70" i="39"/>
  <c r="O68" i="39"/>
  <c r="O70" i="39"/>
  <c r="L51" i="15"/>
  <c r="Q67" i="15"/>
  <c r="B3" i="67"/>
  <c r="B2" i="67"/>
  <c r="C71" i="15"/>
  <c r="C46" i="15"/>
  <c r="J7" i="40"/>
  <c r="F7" i="40"/>
  <c r="H7" i="40"/>
  <c r="B2" i="15"/>
  <c r="Q47" i="15"/>
  <c r="Q53" i="15"/>
  <c r="C43" i="15"/>
  <c r="Q65" i="15"/>
  <c r="Q75" i="15"/>
  <c r="Q56" i="15"/>
  <c r="Q62" i="15"/>
  <c r="C83" i="15"/>
  <c r="C82" i="15"/>
  <c r="J7" i="39"/>
  <c r="H7" i="39"/>
  <c r="F7" i="39"/>
  <c r="AO7" i="1"/>
  <c r="AO6" i="1"/>
  <c r="B7" i="70"/>
  <c r="B6" i="70"/>
  <c r="AB7" i="39"/>
  <c r="T47" i="39"/>
  <c r="G47" i="39"/>
  <c r="U7" i="39"/>
  <c r="AB7" i="40"/>
  <c r="T42" i="40"/>
  <c r="G42" i="40"/>
  <c r="U7" i="40"/>
  <c r="AC7" i="40"/>
  <c r="V42" i="40"/>
  <c r="I42" i="40"/>
  <c r="W7" i="40"/>
  <c r="S7" i="39"/>
  <c r="AA7" i="39"/>
  <c r="R47" i="39"/>
  <c r="W7" i="39"/>
  <c r="AC7" i="39"/>
  <c r="V47" i="39"/>
  <c r="I47" i="39"/>
  <c r="B3" i="15"/>
  <c r="AA7" i="40"/>
  <c r="R42" i="40"/>
  <c r="S7" i="40"/>
  <c r="B2" i="70"/>
  <c r="B3" i="70"/>
  <c r="E42" i="40"/>
  <c r="R43" i="40"/>
  <c r="I51" i="39"/>
  <c r="J51" i="39"/>
  <c r="R48" i="39"/>
  <c r="E47" i="39"/>
  <c r="I47" i="40"/>
  <c r="J47" i="40"/>
  <c r="I46" i="40"/>
  <c r="J46" i="40"/>
  <c r="G46" i="40"/>
  <c r="H46" i="40"/>
  <c r="G47" i="40"/>
  <c r="H47" i="40"/>
  <c r="G51" i="39"/>
  <c r="H51" i="39"/>
  <c r="G52" i="39"/>
  <c r="H52" i="39"/>
  <c r="D20" i="9"/>
  <c r="D19" i="9"/>
  <c r="D102" i="9"/>
  <c r="D21" i="9"/>
  <c r="D103" i="9"/>
  <c r="E51" i="39"/>
  <c r="F51" i="39"/>
  <c r="E52" i="39"/>
  <c r="F52" i="39"/>
  <c r="I52" i="39"/>
  <c r="J52" i="39"/>
  <c r="C43" i="40"/>
  <c r="C42" i="40"/>
  <c r="C47" i="39"/>
  <c r="C48" i="39"/>
  <c r="E47" i="40"/>
  <c r="F47" i="40"/>
  <c r="E46" i="40"/>
  <c r="F46" i="40"/>
  <c r="D9" i="79"/>
  <c r="B60" i="39"/>
  <c r="F60" i="39"/>
  <c r="B61" i="39"/>
  <c r="F61" i="39"/>
  <c r="B63" i="39"/>
  <c r="F63" i="39"/>
  <c r="B59" i="39"/>
  <c r="F59" i="39"/>
  <c r="B65" i="39"/>
  <c r="F65" i="39"/>
  <c r="B57" i="39"/>
  <c r="F57" i="39"/>
  <c r="B58" i="39"/>
  <c r="F58" i="39"/>
  <c r="B56" i="39"/>
  <c r="F56" i="39"/>
  <c r="F66" i="39"/>
  <c r="B2" i="39"/>
  <c r="B3" i="39"/>
  <c r="B62" i="39"/>
  <c r="F62" i="39"/>
  <c r="B64" i="39"/>
  <c r="F64" i="39"/>
  <c r="F61" i="40"/>
  <c r="B2" i="40"/>
  <c r="B57" i="40"/>
  <c r="F57" i="40"/>
  <c r="B53" i="40"/>
  <c r="F53" i="40"/>
  <c r="B60" i="40"/>
  <c r="F60" i="40"/>
  <c r="B56" i="40"/>
  <c r="F56" i="40"/>
  <c r="B52" i="40"/>
  <c r="F52" i="40"/>
  <c r="B59" i="40"/>
  <c r="F59" i="40"/>
  <c r="B55" i="40"/>
  <c r="F55" i="40"/>
  <c r="B51" i="40"/>
  <c r="B58" i="40"/>
  <c r="F58" i="40"/>
  <c r="B54" i="40"/>
  <c r="F54" i="40"/>
  <c r="G15" i="74"/>
  <c r="D3" i="79"/>
  <c r="F15" i="74"/>
  <c r="E15" i="74"/>
  <c r="F51" i="40"/>
  <c r="C6" i="69"/>
  <c r="C6" i="68"/>
  <c r="B3" i="40"/>
  <c r="H3" i="79"/>
  <c r="H5" i="79"/>
  <c r="E3" i="79"/>
  <c r="D5" i="79"/>
  <c r="E5" i="79"/>
  <c r="C7" i="69"/>
  <c r="C5" i="69"/>
  <c r="C7" i="68"/>
  <c r="C5" i="68"/>
  <c r="C23" i="68"/>
  <c r="C20" i="68"/>
  <c r="C25" i="68"/>
  <c r="C28" i="68"/>
  <c r="C27" i="68"/>
  <c r="C23" i="69"/>
  <c r="C20" i="69"/>
  <c r="C25" i="69"/>
  <c r="C22" i="68"/>
  <c r="C28" i="69"/>
  <c r="C27" i="69"/>
  <c r="C31" i="68"/>
  <c r="C52" i="68"/>
  <c r="C57" i="68"/>
  <c r="C56" i="68"/>
  <c r="B2" i="68"/>
  <c r="C22" i="69"/>
  <c r="C31" i="69"/>
  <c r="C52" i="69"/>
  <c r="C19" i="9"/>
  <c r="C102" i="9"/>
  <c r="D22" i="9"/>
  <c r="C21" i="9"/>
  <c r="G19" i="9"/>
  <c r="B3" i="68"/>
  <c r="C57" i="69"/>
  <c r="C56" i="69"/>
  <c r="B2" i="69"/>
  <c r="B3" i="69"/>
  <c r="D34" i="9"/>
  <c r="D35" i="9"/>
  <c r="C20" i="9"/>
  <c r="G20" i="9"/>
  <c r="C103" i="9"/>
  <c r="C32" i="9"/>
  <c r="D8" i="79"/>
  <c r="G21" i="9"/>
  <c r="H118" i="9"/>
  <c r="C35" i="9"/>
  <c r="F118" i="9"/>
  <c r="E8" i="79"/>
  <c r="D10" i="79"/>
  <c r="C34" i="9"/>
  <c r="D118" i="9"/>
  <c r="G118" i="9"/>
  <c r="G4" i="52"/>
  <c r="B52" i="72"/>
  <c r="F119" i="9"/>
  <c r="F5" i="52"/>
  <c r="B53" i="72"/>
  <c r="F4" i="52"/>
  <c r="B51" i="72"/>
  <c r="D4" i="52"/>
  <c r="B47" i="72"/>
  <c r="D119" i="9"/>
  <c r="D5" i="52"/>
  <c r="B49" i="72"/>
  <c r="H119" i="9"/>
  <c r="H5" i="52"/>
  <c r="H101" i="9"/>
  <c r="H4" i="52"/>
  <c r="C104" i="9"/>
  <c r="D14" i="74"/>
  <c r="I118" i="9"/>
  <c r="B5" i="74"/>
  <c r="F14" i="74"/>
  <c r="E14" i="74"/>
  <c r="H102" i="9"/>
  <c r="D7" i="53"/>
  <c r="B21" i="72"/>
  <c r="C105" i="9"/>
  <c r="I4" i="52"/>
  <c r="E118" i="9"/>
  <c r="E4" i="52"/>
  <c r="B48" i="72"/>
  <c r="D45" i="9"/>
  <c r="M48" i="9"/>
  <c r="H107" i="9"/>
  <c r="D5" i="53"/>
  <c r="D122" i="9"/>
  <c r="D13" i="53"/>
  <c r="H108" i="9"/>
  <c r="D15" i="53"/>
  <c r="B31" i="72"/>
  <c r="D55" i="9"/>
  <c r="M53" i="9"/>
  <c r="C78" i="9"/>
  <c r="C73" i="9"/>
  <c r="C93" i="9"/>
  <c r="C86" i="9"/>
  <c r="C72" i="9"/>
  <c r="C79" i="9"/>
  <c r="C85" i="9"/>
  <c r="C95" i="9"/>
  <c r="D52" i="9"/>
  <c r="D53" i="9"/>
  <c r="C64" i="9"/>
  <c r="C63" i="9"/>
  <c r="C67" i="9"/>
  <c r="C68" i="9"/>
  <c r="D54" i="9"/>
  <c r="B20" i="72"/>
  <c r="D6" i="53"/>
  <c r="B22" i="72"/>
  <c r="C5" i="74"/>
  <c r="D5" i="74"/>
  <c r="C96" i="9"/>
  <c r="E96" i="9"/>
  <c r="E97" i="9"/>
  <c r="D14" i="53"/>
  <c r="B32" i="72"/>
  <c r="B30" i="72"/>
  <c r="C80" i="9"/>
  <c r="E80" i="9"/>
  <c r="E81" i="9"/>
  <c r="D123" i="9"/>
  <c r="D9" i="52"/>
  <c r="D8" i="52"/>
  <c r="G14" i="74"/>
  <c r="B6" i="74"/>
  <c r="C97" i="9"/>
  <c r="D58" i="9"/>
  <c r="D56" i="9"/>
  <c r="M54" i="9"/>
  <c r="N57" i="9"/>
  <c r="N58" i="9"/>
  <c r="C6" i="74"/>
  <c r="D6" i="74"/>
  <c r="C81"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<sst xmlns="http://schemas.openxmlformats.org/spreadsheetml/2006/main" count="7816" uniqueCount="3146">
  <si>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</si>
  <si>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</si>
  <si>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</si>
  <si>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</si>
  <si>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</si>
  <si>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</si>
  <si>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</si>
  <si>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</si>
  <si>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</si>
  <si>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</si>
  <si>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</si>
  <si>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</si>
  <si>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</si>
  <si>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</si>
  <si>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</si>
  <si>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</si>
  <si>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</si>
  <si>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</si>
  <si>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</si>
  <si>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</si>
  <si>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</si>
  <si>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</si>
  <si>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</si>
  <si>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</si>
  <si>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</si>
  <si>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</si>
  <si>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</si>
  <si>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</si>
  <si>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</si>
  <si>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</si>
  <si>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</si>
  <si>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</si>
  <si>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</si>
  <si>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</si>
  <si>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</si>
  <si>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</si>
  <si>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</si>
  <si>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</si>
  <si>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</si>
  <si>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</si>
  <si>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</si>
  <si>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</si>
  <si>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</si>
  <si>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</si>
  <si>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</si>
  <si>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</si>
  <si>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</si>
  <si>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</si>
  <si>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</si>
  <si>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</si>
  <si>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</si>
  <si>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</si>
  <si>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</si>
  <si>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</si>
  <si>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</si>
  <si>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</si>
  <si>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</si>
  <si>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</si>
  <si>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</si>
  <si>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</si>
  <si>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</si>
  <si>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</si>
  <si>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</si>
  <si>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</si>
  <si>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</si>
  <si>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</si>
  <si>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</si>
  <si>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</si>
  <si>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</si>
  <si>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</si>
  <si>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</si>
  <si>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</si>
  <si>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</si>
  <si>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</si>
  <si>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</si>
  <si>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</si>
  <si>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</si>
  <si>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</si>
  <si>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</si>
  <si>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</si>
  <si>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</si>
  <si>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</si>
  <si>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</si>
  <si>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</si>
  <si>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</si>
  <si>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</si>
  <si>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</si>
  <si>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</si>
  <si>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</si>
  <si>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</si>
  <si>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</si>
  <si>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</si>
  <si>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</si>
  <si>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</si>
  <si>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</si>
  <si>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</si>
  <si>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</si>
  <si>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</si>
  <si>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</si>
  <si>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</si>
  <si>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</si>
  <si>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</si>
  <si>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</si>
  <si>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</si>
  <si>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</si>
  <si>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</si>
  <si>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</si>
  <si>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</si>
  <si>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</si>
  <si>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</si>
  <si>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</si>
  <si>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</si>
  <si>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</si>
  <si>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</si>
  <si>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</si>
  <si>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</si>
  <si>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</si>
  <si>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</si>
  <si>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</si>
  <si>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</si>
  <si>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</si>
  <si>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</si>
  <si>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</si>
  <si>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</si>
  <si>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</si>
  <si>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</si>
  <si>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</si>
  <si>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</si>
  <si>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</si>
  <si>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</si>
  <si>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</si>
  <si>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</si>
  <si>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</si>
  <si>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</si>
  <si>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</si>
  <si>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</si>
  <si>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</si>
  <si>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</si>
  <si>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</si>
  <si>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</si>
  <si>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</si>
  <si>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</si>
  <si>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</si>
  <si>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</si>
  <si>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</si>
  <si>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</si>
  <si>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</si>
  <si>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</si>
  <si>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</si>
  <si>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</si>
  <si>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</si>
  <si>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</si>
  <si>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</si>
  <si>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</si>
  <si>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</si>
  <si>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</si>
  <si>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</si>
  <si>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</si>
  <si>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</si>
  <si>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</si>
  <si>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</si>
  <si>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</si>
  <si>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</si>
  <si>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</si>
  <si>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</si>
  <si>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</si>
  <si>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</si>
  <si>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</si>
  <si>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</si>
  <si>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</si>
  <si>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</si>
  <si>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</si>
  <si>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</si>
  <si>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</si>
  <si>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</si>
  <si>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</si>
  <si>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</si>
  <si>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</si>
  <si>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</si>
  <si>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</si>
  <si>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</si>
  <si>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</si>
  <si>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</si>
  <si>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</si>
  <si>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</si>
  <si>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</si>
  <si>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</si>
  <si>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</si>
  <si>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</si>
  <si>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</si>
  <si>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</si>
  <si>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</si>
  <si>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</si>
  <si>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</si>
  <si>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</si>
  <si>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</si>
  <si>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</si>
  <si>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</si>
  <si>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</si>
  <si>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</si>
  <si>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</si>
  <si>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</si>
  <si>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</si>
  <si>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</si>
  <si>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</si>
  <si>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</si>
  <si>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</si>
  <si>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</si>
  <si>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</si>
  <si>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</si>
  <si>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</si>
  <si>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</si>
  <si>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</si>
  <si>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</si>
  <si>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</si>
  <si>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</si>
  <si>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</si>
  <si>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</si>
  <si>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</si>
  <si>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</si>
  <si>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</si>
  <si>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</si>
  <si>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</si>
  <si>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</si>
  <si>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</si>
  <si>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</si>
  <si>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</si>
  <si>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</si>
  <si>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</si>
  <si>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</si>
  <si>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</si>
  <si>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</si>
  <si>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</si>
  <si>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</si>
  <si>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</si>
  <si>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</si>
  <si>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</si>
  <si>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</si>
  <si>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</si>
  <si>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</si>
  <si>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</si>
  <si>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</si>
  <si>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</si>
  <si>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</si>
  <si>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</si>
  <si>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</si>
  <si>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</si>
  <si>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</si>
  <si>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</si>
  <si>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</si>
  <si>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</si>
  <si>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</si>
  <si>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</si>
  <si>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</si>
  <si>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</si>
  <si>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</si>
  <si>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</si>
  <si>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</si>
  <si>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</si>
  <si>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</si>
  <si>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</si>
  <si>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</si>
  <si>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</si>
  <si>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</si>
  <si>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</si>
  <si>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</si>
  <si>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</si>
  <si>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</si>
  <si>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</si>
  <si>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</si>
  <si>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</si>
  <si>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</si>
  <si>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</si>
  <si>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</si>
  <si>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</si>
  <si>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</si>
  <si>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</si>
  <si>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</si>
  <si>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</si>
  <si>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</si>
  <si>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</si>
  <si>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</si>
  <si>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</si>
  <si>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</si>
  <si>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</si>
  <si>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</si>
  <si>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</si>
  <si>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</si>
  <si>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</si>
  <si>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</si>
  <si>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</si>
  <si>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</si>
  <si>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</si>
  <si>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</si>
  <si>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</si>
  <si>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</si>
  <si>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</si>
  <si>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</si>
  <si>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</si>
  <si>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</si>
  <si>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</si>
  <si>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</si>
  <si>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</si>
  <si>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</si>
  <si>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</si>
  <si>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</si>
  <si>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</si>
  <si>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</si>
  <si>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</si>
  <si>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</si>
  <si>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</si>
  <si>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</si>
  <si>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</si>
  <si>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</si>
  <si>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</si>
  <si>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</si>
  <si>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</si>
  <si>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</si>
  <si>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</si>
  <si>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</si>
  <si>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</si>
  <si>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</si>
  <si>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</si>
  <si>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</si>
  <si>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</si>
  <si>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</si>
  <si>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</si>
  <si>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</si>
  <si>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</si>
  <si>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</si>
  <si>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</si>
  <si>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</si>
  <si>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</si>
  <si>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</si>
  <si>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</si>
  <si>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</si>
  <si>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</si>
  <si>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</si>
  <si>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</si>
  <si>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</si>
  <si>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</si>
  <si>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</si>
  <si>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</si>
  <si>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</si>
  <si>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</si>
  <si>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</si>
  <si>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</si>
  <si>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</si>
  <si>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</si>
  <si>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</si>
  <si>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</si>
  <si>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</si>
  <si>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</si>
  <si>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</si>
  <si>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</si>
  <si>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</si>
  <si>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</si>
  <si>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</si>
  <si>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</si>
  <si>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</si>
  <si>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</si>
  <si>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</si>
  <si>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</si>
  <si>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</si>
  <si>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</si>
  <si>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</si>
  <si>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</si>
  <si>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</si>
  <si>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</si>
  <si>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</si>
  <si>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</si>
  <si>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</si>
  <si>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</si>
  <si>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</si>
  <si>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</si>
  <si>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</si>
  <si>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</si>
  <si>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</si>
  <si>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</si>
  <si>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</si>
  <si>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</si>
  <si>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</si>
  <si>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</si>
  <si>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</si>
  <si>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</si>
  <si>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</si>
  <si>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</si>
  <si>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</si>
  <si>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</si>
  <si>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</si>
  <si>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</si>
  <si>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</si>
  <si>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</si>
  <si>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</si>
  <si>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</si>
  <si>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</si>
  <si>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</si>
  <si>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</si>
  <si>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</si>
  <si>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</si>
  <si>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</si>
  <si>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</si>
  <si>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</si>
  <si>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</si>
  <si>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</si>
  <si>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</si>
  <si>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</si>
  <si>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</si>
  <si>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</si>
  <si>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</si>
  <si>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</si>
  <si>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</si>
  <si>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</si>
  <si>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</si>
  <si>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</si>
  <si>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</si>
  <si>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</si>
  <si>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</si>
  <si>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</si>
  <si>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</si>
  <si>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</si>
  <si>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</si>
  <si>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</si>
  <si>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</si>
  <si>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</si>
  <si>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</si>
  <si>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</si>
  <si>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</si>
  <si>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</si>
  <si>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</si>
  <si>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</si>
  <si>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</si>
  <si>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</si>
  <si>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</si>
  <si>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</si>
  <si>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</si>
  <si>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</si>
  <si>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</si>
  <si>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</si>
  <si>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</si>
  <si>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</si>
  <si>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</si>
  <si>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</si>
  <si>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</si>
  <si>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</si>
  <si>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</si>
  <si>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</si>
  <si>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</si>
  <si>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</si>
  <si>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</si>
  <si>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</si>
  <si>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</si>
  <si>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</si>
  <si>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</si>
  <si>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</si>
  <si>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</si>
  <si>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</si>
  <si>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</si>
  <si>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</si>
  <si>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</si>
  <si>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</si>
  <si>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</si>
  <si>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</si>
  <si>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</si>
  <si>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</si>
  <si>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</si>
  <si>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</si>
  <si>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</si>
  <si>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</si>
  <si>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</si>
  <si>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</si>
  <si>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</si>
  <si>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</si>
  <si>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</si>
  <si>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</si>
  <si>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</si>
  <si>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</si>
  <si>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</si>
  <si>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</si>
  <si>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</si>
  <si>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</si>
  <si>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</si>
  <si>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</si>
  <si>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</si>
  <si>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</si>
  <si>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</si>
  <si>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</si>
  <si>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</si>
  <si>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</si>
  <si>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</si>
  <si>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</si>
  <si>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</si>
  <si>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</si>
  <si>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</si>
  <si>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</si>
  <si>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</si>
  <si>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</si>
  <si>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</si>
  <si>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</si>
  <si>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</si>
  <si>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</si>
  <si>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</si>
  <si>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</si>
  <si>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</si>
  <si>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</si>
  <si>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</si>
  <si>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</si>
  <si>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</si>
  <si>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</si>
  <si>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</si>
  <si>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</si>
  <si>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</si>
  <si>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</si>
  <si>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</si>
  <si>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</si>
  <si>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</si>
  <si>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</si>
  <si>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</si>
  <si>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</si>
  <si>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</si>
  <si>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</si>
  <si>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</si>
  <si>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</si>
  <si>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</si>
  <si>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</si>
  <si>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</si>
  <si>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</si>
  <si>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</si>
  <si>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</si>
  <si>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</si>
  <si>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</si>
  <si>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</si>
  <si>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</si>
  <si>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</si>
  <si>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</si>
  <si>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</si>
  <si>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</si>
  <si>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</si>
  <si>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</si>
  <si>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</si>
  <si>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</si>
  <si>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</si>
  <si>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</si>
  <si>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</si>
  <si>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</si>
  <si>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</si>
  <si>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</si>
  <si>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</si>
  <si>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</si>
  <si>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</si>
  <si>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</si>
  <si>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</si>
  <si>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</si>
  <si>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</si>
  <si>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</si>
  <si>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</si>
  <si>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</si>
  <si>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</si>
  <si>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</si>
  <si>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</si>
  <si>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</si>
  <si>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</si>
  <si>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</si>
  <si>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</si>
  <si>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</si>
  <si>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</si>
  <si>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</si>
  <si>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</si>
  <si>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</si>
  <si>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</si>
  <si>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</si>
  <si>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</si>
  <si>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</si>
  <si>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</si>
  <si>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</si>
  <si>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</si>
  <si>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</si>
  <si>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</si>
  <si>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</si>
  <si>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</si>
  <si>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</si>
  <si>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</si>
  <si>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</si>
  <si>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</si>
  <si>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</si>
  <si>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</si>
  <si>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</si>
  <si>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</si>
  <si>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</si>
  <si>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</si>
  <si>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</si>
  <si>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</si>
  <si>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</si>
  <si>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</si>
  <si>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</si>
  <si>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</si>
  <si>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</si>
  <si>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</si>
  <si>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</si>
  <si>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</si>
  <si>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</si>
  <si>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</si>
  <si>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</si>
  <si>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</si>
  <si>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</si>
  <si>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</si>
  <si>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</si>
  <si>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</si>
  <si>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</si>
  <si>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</si>
  <si>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</si>
  <si>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</si>
  <si>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</si>
  <si>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</si>
  <si>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</si>
  <si>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</si>
  <si>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</si>
  <si>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</si>
  <si>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</si>
  <si>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</si>
  <si>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</si>
  <si>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</si>
  <si>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</si>
  <si>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</si>
  <si>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</si>
  <si>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</si>
  <si>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</si>
  <si>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</si>
  <si>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</si>
  <si>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</si>
  <si>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</si>
  <si>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</si>
  <si>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</si>
  <si>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</si>
  <si>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</si>
  <si>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</si>
  <si>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</si>
  <si>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</si>
  <si>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</si>
  <si>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</si>
  <si>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</si>
  <si>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</si>
  <si>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</si>
  <si>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</si>
  <si>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</si>
  <si>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</si>
  <si>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</si>
  <si>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</si>
  <si>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</si>
  <si>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</si>
  <si>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</si>
  <si>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</si>
  <si>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</si>
  <si>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</si>
  <si>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</si>
  <si>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</si>
  <si>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</si>
  <si>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</si>
  <si>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</si>
  <si>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</si>
  <si>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</si>
  <si>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</si>
  <si>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</si>
  <si>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</si>
  <si>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</si>
  <si>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</si>
  <si>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</si>
  <si>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</si>
  <si>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</si>
  <si>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</si>
  <si>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</si>
  <si>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</si>
  <si>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</si>
  <si>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</si>
  <si>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</si>
  <si>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</si>
  <si>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</si>
  <si>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</si>
  <si>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</si>
  <si>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</si>
  <si>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</si>
  <si>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</si>
  <si>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</si>
  <si>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</si>
  <si>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</si>
  <si>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</si>
  <si>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</si>
  <si>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</si>
  <si>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</si>
  <si>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</si>
  <si>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</si>
  <si>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</si>
  <si>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</si>
  <si>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</si>
  <si>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</si>
  <si>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</si>
  <si>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</si>
  <si>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</si>
  <si>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</si>
  <si>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</si>
  <si>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</si>
  <si>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</si>
  <si>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</si>
  <si>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</si>
  <si>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</si>
  <si>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</si>
  <si>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</si>
  <si>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</si>
  <si>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</si>
  <si>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</si>
  <si>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</si>
  <si>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</si>
  <si>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</si>
  <si>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</si>
  <si>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</si>
  <si>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</si>
  <si>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</si>
  <si>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</si>
  <si>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</si>
  <si>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</si>
  <si>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</si>
  <si>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</si>
  <si>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</si>
  <si>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</si>
  <si>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</si>
  <si>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</si>
  <si>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</si>
  <si>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</si>
  <si>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</si>
  <si>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</si>
  <si>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</si>
  <si>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</si>
  <si>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</si>
  <si>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</si>
  <si>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</si>
  <si>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</si>
  <si>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</si>
  <si>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</si>
  <si>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</si>
  <si>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</si>
  <si>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</si>
  <si>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</si>
  <si>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</si>
  <si>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</si>
  <si>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</si>
  <si>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</si>
  <si>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</si>
  <si>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</si>
  <si>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</si>
  <si>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</si>
  <si>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</si>
  <si>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</si>
  <si>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</si>
  <si>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</si>
  <si>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</si>
  <si>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</si>
  <si>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</si>
  <si>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</si>
  <si>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</si>
  <si>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</si>
  <si>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</si>
  <si>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</si>
  <si>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</si>
  <si>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</si>
  <si>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</si>
  <si>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</si>
  <si>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</si>
  <si>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</si>
  <si>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</si>
  <si>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</si>
  <si>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</si>
  <si>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</si>
  <si>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</si>
  <si>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</si>
  <si>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</si>
  <si>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</si>
  <si>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</si>
  <si>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</si>
  <si>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</si>
  <si>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</si>
  <si>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</si>
  <si>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</si>
  <si>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</si>
  <si>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</si>
  <si>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</si>
  <si>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</si>
  <si>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</si>
  <si>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</si>
  <si>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</si>
  <si>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</si>
  <si>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</si>
  <si>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</si>
  <si>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</si>
  <si>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</si>
  <si>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</si>
  <si>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</si>
  <si>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</si>
  <si>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</si>
  <si>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</si>
  <si>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</si>
  <si>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</si>
  <si>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</si>
  <si>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</si>
  <si>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</si>
  <si>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</si>
  <si>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</si>
  <si>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</si>
  <si>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</si>
  <si>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</si>
  <si>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</si>
  <si>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</si>
  <si>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</si>
  <si>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</si>
  <si>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</si>
  <si>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</si>
  <si>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</si>
  <si>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</si>
  <si>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</si>
  <si>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</si>
  <si>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</si>
  <si>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</si>
  <si>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</si>
  <si>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</si>
  <si>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</si>
  <si>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</si>
  <si>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</si>
  <si>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</si>
  <si>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</si>
  <si>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</si>
  <si>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</si>
  <si>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</si>
  <si>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</si>
  <si>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</si>
  <si>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</si>
  <si>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</si>
  <si>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</si>
  <si>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</si>
  <si>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</si>
  <si>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</si>
  <si>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</si>
  <si>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</si>
  <si>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</si>
  <si>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</si>
  <si>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</si>
  <si>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</si>
  <si>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</si>
  <si>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</si>
  <si>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</si>
  <si>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</si>
  <si>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</si>
  <si>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</si>
  <si>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</si>
  <si>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</si>
  <si>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</si>
  <si>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</si>
  <si>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</si>
  <si>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</si>
  <si>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</si>
  <si>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</si>
  <si>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</si>
  <si>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</si>
  <si>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</si>
  <si>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</si>
  <si>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</si>
  <si>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</si>
  <si>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</si>
  <si>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</si>
  <si>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</si>
  <si>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</si>
  <si>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</si>
  <si>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</si>
  <si>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</si>
  <si>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</si>
  <si>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</si>
  <si>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</si>
  <si>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</si>
  <si>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</si>
  <si>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</si>
  <si>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</si>
  <si>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</si>
  <si>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</si>
  <si>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</si>
  <si>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</si>
  <si>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</si>
  <si>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</si>
  <si>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</si>
  <si>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</si>
  <si>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</si>
  <si>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</si>
  <si>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</si>
  <si>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</si>
  <si>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</si>
  <si>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</si>
  <si>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</si>
  <si>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</si>
  <si>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</si>
  <si>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</si>
  <si>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</si>
  <si>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</si>
  <si>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</si>
  <si>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</si>
  <si>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</si>
  <si>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</si>
  <si>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</si>
  <si>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</si>
  <si>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</si>
  <si>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</si>
  <si>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</si>
  <si>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</si>
  <si>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</si>
  <si>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</si>
  <si>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</si>
  <si>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</si>
  <si>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</si>
  <si>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</si>
  <si>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</si>
  <si>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</si>
  <si>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</si>
  <si>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</si>
  <si>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</si>
  <si>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</si>
  <si>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</si>
  <si>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</si>
  <si>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</si>
  <si>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</si>
  <si>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</si>
  <si>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</si>
  <si>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</si>
  <si>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</si>
  <si>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</si>
  <si>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</si>
  <si>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</si>
  <si>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</si>
  <si>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</si>
  <si>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</si>
  <si>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</si>
  <si>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</si>
  <si>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</si>
  <si>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</si>
  <si>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</si>
  <si>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</si>
  <si>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</si>
  <si>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</si>
  <si>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</si>
  <si>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</si>
  <si>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</si>
  <si>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</si>
  <si>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</si>
  <si>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</si>
  <si>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</si>
  <si>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</si>
  <si>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</si>
  <si>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</si>
  <si>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</si>
  <si>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</si>
  <si>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</si>
  <si>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</si>
  <si>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</si>
  <si>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</si>
  <si>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</si>
  <si>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</si>
  <si>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</si>
  <si>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</si>
  <si>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</si>
  <si>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</si>
  <si>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</si>
  <si>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</si>
  <si>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</si>
  <si>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</si>
  <si>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</si>
  <si>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</si>
  <si>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</si>
  <si>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</si>
  <si>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</si>
  <si>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</si>
  <si>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</si>
  <si>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</si>
  <si>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</si>
  <si>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</si>
  <si>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</si>
  <si>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</si>
  <si>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</si>
  <si>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</si>
  <si>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</si>
  <si>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</si>
  <si>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</si>
  <si>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</si>
  <si>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</si>
  <si>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</si>
  <si>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</si>
  <si>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</si>
  <si>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</si>
  <si>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</si>
  <si>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</si>
  <si>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</si>
  <si>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</si>
  <si>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</si>
  <si>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</si>
  <si>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</si>
  <si>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</si>
  <si>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</si>
  <si>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</si>
  <si>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</si>
  <si>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</si>
  <si>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</si>
  <si>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</si>
  <si>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</si>
  <si>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</si>
  <si>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</si>
  <si>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</si>
  <si>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</si>
  <si>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</si>
  <si>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</si>
  <si>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</si>
  <si>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</si>
  <si>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</si>
  <si>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</si>
  <si>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</si>
  <si>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</si>
  <si>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</si>
  <si>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</si>
  <si>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</si>
  <si>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</si>
  <si>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</si>
  <si>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</si>
  <si>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</si>
  <si>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</si>
  <si>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</si>
  <si>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</si>
  <si>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</si>
  <si>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</si>
  <si>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</si>
  <si>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</si>
  <si>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</si>
  <si>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</si>
  <si>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</si>
  <si>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</si>
  <si>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</si>
  <si>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</si>
  <si>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</si>
  <si>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</si>
  <si>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</si>
  <si>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</si>
  <si>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</si>
  <si>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</si>
  <si>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</si>
  <si>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</si>
  <si>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</si>
  <si>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</si>
  <si>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</si>
  <si>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</si>
  <si>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</si>
  <si>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</si>
  <si>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</si>
  <si>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</si>
  <si>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</si>
  <si>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</si>
  <si>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</si>
  <si>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</si>
  <si>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</si>
  <si>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</si>
  <si>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</si>
  <si>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</si>
  <si>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</si>
  <si>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</si>
  <si>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</si>
  <si>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</si>
  <si>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</si>
  <si>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</si>
  <si>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</si>
  <si>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</si>
  <si>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</si>
  <si>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</si>
  <si>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</si>
  <si>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</si>
  <si>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</si>
  <si>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</si>
  <si>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</si>
  <si>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</si>
  <si>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</si>
  <si>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</si>
  <si>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</si>
  <si>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</si>
  <si>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</si>
  <si>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</si>
  <si>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</si>
  <si>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</si>
  <si>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</si>
  <si>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</si>
  <si>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</si>
  <si>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</si>
  <si>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</si>
  <si>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</si>
  <si>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</si>
  <si>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</si>
  <si>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</si>
  <si>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</si>
  <si>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</si>
  <si>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</si>
  <si>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</si>
  <si>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</si>
  <si>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</si>
  <si>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</si>
  <si>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</si>
  <si>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</si>
  <si>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</si>
  <si>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</si>
  <si>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</si>
  <si>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</si>
  <si>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</si>
  <si>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</si>
  <si>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</si>
  <si>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</si>
  <si>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</si>
  <si>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</si>
  <si>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</si>
  <si>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</si>
  <si>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</si>
  <si>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</si>
  <si>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</si>
  <si>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</si>
  <si>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</si>
  <si>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</si>
  <si>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</si>
  <si>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</si>
  <si>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</si>
  <si>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</si>
  <si>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</si>
  <si>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</si>
  <si>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</si>
  <si>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</si>
  <si>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</si>
  <si>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</si>
  <si>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</si>
  <si>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</si>
  <si>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</si>
  <si>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</si>
  <si>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</si>
  <si>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</si>
  <si>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</si>
  <si>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</si>
  <si>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</si>
  <si>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</si>
  <si>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</si>
  <si>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</si>
  <si>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</si>
  <si>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</si>
  <si>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</si>
  <si>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</si>
  <si>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</si>
  <si>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</si>
  <si>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</si>
  <si>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</si>
  <si>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</si>
  <si>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</si>
  <si>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</si>
  <si>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</si>
  <si>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</si>
  <si>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</si>
  <si>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</si>
  <si>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</si>
  <si>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</si>
  <si>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</si>
  <si>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</si>
  <si>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</si>
  <si>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</si>
  <si>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</si>
  <si>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</si>
  <si>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</si>
  <si>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</si>
  <si>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</si>
  <si>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</si>
  <si>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</si>
  <si>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</si>
  <si>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</si>
  <si>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</si>
  <si>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</si>
  <si>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</si>
  <si>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</si>
  <si>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</si>
  <si>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</si>
  <si>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</si>
  <si>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</si>
  <si>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</si>
  <si>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</si>
  <si>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</si>
  <si>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</si>
  <si>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</si>
  <si>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</si>
  <si>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</si>
  <si>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</si>
  <si>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</si>
  <si>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</si>
  <si>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</si>
  <si>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</si>
  <si>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</si>
  <si>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</si>
  <si>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</si>
  <si>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</si>
  <si>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</si>
  <si>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</si>
  <si>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</si>
  <si>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</si>
  <si>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</si>
  <si>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</si>
  <si>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</si>
  <si>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</si>
  <si>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</si>
  <si>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</si>
  <si>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</si>
  <si>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</si>
  <si>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</si>
  <si>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</si>
  <si>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</si>
  <si>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</si>
  <si>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</si>
  <si>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</si>
  <si>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</si>
  <si>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</si>
  <si>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</si>
  <si>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</si>
  <si>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</si>
  <si>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</si>
  <si>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</si>
  <si>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</si>
  <si>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</si>
  <si>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</si>
  <si>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</si>
  <si>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</si>
  <si>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</si>
  <si>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</si>
  <si>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</si>
  <si>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</si>
  <si>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</si>
  <si>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</si>
  <si>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</si>
  <si>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</si>
  <si>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</si>
  <si>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</si>
  <si>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</si>
  <si>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</si>
  <si>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</si>
  <si>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</si>
  <si>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</si>
  <si>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</si>
  <si>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</si>
  <si>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</si>
  <si>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</si>
  <si>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</si>
  <si>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</si>
  <si>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</si>
  <si>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</si>
  <si>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</si>
  <si>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</si>
  <si>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</si>
  <si>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</si>
  <si>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</si>
  <si>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</si>
  <si>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</si>
  <si>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</si>
  <si>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</si>
  <si>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</si>
  <si>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</si>
  <si>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</si>
  <si>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</si>
  <si>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</si>
  <si>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</si>
  <si>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</si>
  <si>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</si>
  <si>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</si>
  <si>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</si>
  <si>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</si>
  <si>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</si>
  <si>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</si>
  <si>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</si>
  <si>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</si>
  <si>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</si>
  <si>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</si>
  <si>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</si>
  <si>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</si>
  <si>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</si>
  <si>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</si>
  <si>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</si>
  <si>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</si>
  <si>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</si>
  <si>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</si>
  <si>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</si>
  <si>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</si>
  <si>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</si>
  <si>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</si>
  <si>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</si>
  <si>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</si>
  <si>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</si>
  <si>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</si>
  <si>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</si>
  <si>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</si>
  <si>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</si>
  <si>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</si>
  <si>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</si>
  <si>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</si>
  <si>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</si>
  <si>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</si>
  <si>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</si>
  <si>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</si>
  <si>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</si>
  <si>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</si>
  <si>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</si>
  <si>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</si>
  <si>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</si>
  <si>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</si>
  <si>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</si>
  <si>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</si>
  <si>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</si>
  <si>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</si>
  <si>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</si>
  <si>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</si>
  <si>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</si>
  <si>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</si>
  <si>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</si>
  <si>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</si>
  <si>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</si>
  <si>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</si>
  <si>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</si>
  <si>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</si>
  <si>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</si>
  <si>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</si>
  <si>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</si>
  <si>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</si>
  <si>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</si>
  <si>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</si>
  <si>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</si>
  <si>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</si>
  <si>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</si>
  <si>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</si>
  <si>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</si>
  <si>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</si>
  <si>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</si>
  <si>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</si>
  <si>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</si>
  <si>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</si>
  <si>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</si>
  <si>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</si>
  <si>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</si>
  <si>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</si>
  <si>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</si>
  <si>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</si>
  <si>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</si>
  <si>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</si>
  <si>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</si>
  <si>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</si>
  <si>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</si>
  <si>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</si>
  <si>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</si>
  <si>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</si>
  <si>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</si>
  <si>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</si>
  <si>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</si>
  <si>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</si>
  <si>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</si>
  <si>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</si>
  <si>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</si>
  <si>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</si>
  <si>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</si>
  <si>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</si>
  <si>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</si>
  <si>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</si>
  <si>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</si>
  <si>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</si>
  <si>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</si>
  <si>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</si>
  <si>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</si>
  <si>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</si>
  <si>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</si>
  <si>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</si>
  <si>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</si>
  <si>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</si>
  <si>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</si>
  <si>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</si>
  <si>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</si>
  <si>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</si>
  <si>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</si>
  <si>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</si>
  <si>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</si>
  <si>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</si>
  <si>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</si>
  <si>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</si>
  <si>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</si>
  <si>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</si>
  <si>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</si>
  <si>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</si>
  <si>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</si>
  <si>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</si>
  <si>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</si>
  <si>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</si>
  <si>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</si>
  <si>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</si>
  <si>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</si>
  <si>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</si>
  <si>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</si>
  <si>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</si>
  <si>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</si>
  <si>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</si>
  <si>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</si>
  <si>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</si>
  <si>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</si>
  <si>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</si>
  <si>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</si>
  <si>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</si>
  <si>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</si>
  <si>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</si>
  <si>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</si>
  <si>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</si>
  <si>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</si>
  <si>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</si>
  <si>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</si>
  <si>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</si>
  <si>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</si>
  <si>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</si>
  <si>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</si>
  <si>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</si>
  <si>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</si>
  <si>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</si>
  <si>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</si>
  <si>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</si>
  <si>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</si>
  <si>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</si>
  <si>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</si>
  <si>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</si>
  <si>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</si>
  <si>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</si>
  <si>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</si>
  <si>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</si>
  <si>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</si>
  <si>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</si>
  <si>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</si>
  <si>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</si>
  <si>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</si>
  <si>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</si>
  <si>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</si>
  <si>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</si>
  <si>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</si>
  <si>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</si>
  <si>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</si>
  <si>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</si>
  <si>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</si>
  <si>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</si>
  <si>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</si>
  <si>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</si>
  <si>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</si>
  <si>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</si>
  <si>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</si>
  <si>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</si>
  <si>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</si>
  <si>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</si>
  <si>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</si>
  <si>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</si>
  <si>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</si>
  <si>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</si>
  <si>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</si>
  <si>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</si>
  <si>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</si>
  <si>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</si>
  <si>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</si>
  <si>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</si>
  <si>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</si>
  <si>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</si>
  <si>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</si>
  <si>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</si>
  <si>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</si>
  <si>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</si>
  <si>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</si>
  <si>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</si>
  <si>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</si>
  <si>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</si>
  <si>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</si>
  <si>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</si>
  <si>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</si>
  <si>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</si>
  <si>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</si>
  <si>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</si>
  <si>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</si>
  <si>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</si>
  <si>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</si>
  <si>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</si>
  <si>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</si>
  <si>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</si>
  <si>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</si>
  <si>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</si>
  <si>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</si>
  <si>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</si>
  <si>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</si>
  <si>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</si>
  <si>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</si>
  <si>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</si>
  <si>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</si>
  <si>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</si>
  <si>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</si>
  <si>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</si>
  <si>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</si>
  <si>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</si>
  <si>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</si>
  <si>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</si>
  <si>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</si>
  <si>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</si>
  <si>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</si>
  <si>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</si>
  <si>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</si>
  <si>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</si>
  <si>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</si>
  <si>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</si>
  <si>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</si>
  <si>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</si>
  <si>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</si>
  <si>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</si>
  <si>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</si>
  <si>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</si>
  <si>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</si>
  <si>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</si>
  <si>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</si>
  <si>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</si>
  <si>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</si>
  <si>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</si>
  <si>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</si>
  <si>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</si>
  <si>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</si>
  <si>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</si>
  <si>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</si>
  <si>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</si>
  <si>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</si>
  <si>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</si>
  <si>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</si>
  <si>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</si>
  <si>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</si>
  <si>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</si>
  <si>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</si>
  <si>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</si>
  <si>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</si>
  <si>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</si>
  <si>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</si>
  <si>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</si>
  <si>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</si>
  <si>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</si>
  <si>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</si>
  <si>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</si>
  <si>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</si>
  <si>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</si>
  <si>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</si>
  <si>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</si>
  <si>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</si>
  <si>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</si>
  <si>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</si>
  <si>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</si>
  <si>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</si>
  <si>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</si>
  <si>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</si>
  <si>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</si>
  <si>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</si>
  <si>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</si>
  <si>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</si>
  <si>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</si>
  <si>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</si>
  <si>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</si>
  <si>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</si>
  <si>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</si>
  <si>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</si>
  <si>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</si>
  <si>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</si>
  <si>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</si>
  <si>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</si>
  <si>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</si>
  <si>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</si>
  <si>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</si>
  <si>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</si>
  <si>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</si>
  <si>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</si>
  <si>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</si>
  <si>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</si>
  <si>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</si>
  <si>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</si>
  <si>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</si>
  <si>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</si>
  <si>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</si>
  <si>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</si>
  <si>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</si>
  <si>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</si>
  <si>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</si>
  <si>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</si>
  <si>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</si>
  <si>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</si>
  <si>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</si>
  <si>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</si>
  <si>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</si>
  <si>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</si>
  <si>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</si>
  <si>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</si>
  <si>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</si>
  <si>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</si>
  <si>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</si>
  <si>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</si>
  <si>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</si>
  <si>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</si>
  <si>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</si>
  <si>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</si>
  <si>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</si>
  <si>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</si>
  <si>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</si>
  <si>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</si>
  <si>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</si>
  <si>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</si>
  <si>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</si>
  <si>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</si>
  <si>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</si>
  <si>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</si>
  <si>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</si>
  <si>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</si>
  <si>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</si>
  <si>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</si>
  <si>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</si>
  <si>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</si>
  <si>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</si>
  <si>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</si>
  <si>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</si>
  <si>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</si>
  <si>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</si>
  <si>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</si>
  <si>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</si>
  <si>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</si>
  <si>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</si>
  <si>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</si>
  <si>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</si>
  <si>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</si>
  <si>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</si>
  <si>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</si>
  <si>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</si>
  <si>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</si>
  <si>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</si>
  <si>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</si>
  <si>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</si>
  <si>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</si>
  <si>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</si>
  <si>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</si>
  <si>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</si>
  <si>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</si>
  <si>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</si>
  <si>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</si>
  <si>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</si>
  <si>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</si>
  <si>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</si>
  <si>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</si>
  <si>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</si>
  <si>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</si>
  <si>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</si>
  <si>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</si>
  <si>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</si>
  <si>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</si>
  <si>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</si>
  <si>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</si>
  <si>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</si>
  <si>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</si>
  <si>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</si>
  <si>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</si>
  <si>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</si>
  <si>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</si>
  <si>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</si>
  <si>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</si>
  <si>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</si>
  <si>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</si>
  <si>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</si>
  <si>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</si>
  <si>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</si>
  <si>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</si>
  <si>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</si>
  <si>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</si>
  <si>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</si>
  <si>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</si>
  <si>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</si>
  <si>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</si>
  <si>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</si>
  <si>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</si>
  <si>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</si>
  <si>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</si>
  <si>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</si>
  <si>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</si>
  <si>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</si>
  <si>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</si>
  <si>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</si>
  <si>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</si>
  <si>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</si>
  <si>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</si>
  <si>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</si>
  <si>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</si>
  <si>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</si>
  <si>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</si>
  <si>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</si>
  <si>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</si>
  <si>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</si>
  <si>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</si>
  <si>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</si>
  <si>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</si>
  <si>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</si>
  <si>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</si>
  <si>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</si>
  <si>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</si>
  <si>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</si>
  <si>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</si>
  <si>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</si>
  <si>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</si>
  <si>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</si>
  <si>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</si>
  <si>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</si>
  <si>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</si>
  <si>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</si>
  <si>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</si>
  <si>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</si>
  <si>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</si>
  <si>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</si>
  <si>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</si>
  <si>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</si>
  <si>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</si>
  <si>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</si>
  <si>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</si>
  <si>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</si>
  <si>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</si>
  <si>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</si>
  <si>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</si>
  <si>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</si>
  <si>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</si>
  <si>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</si>
  <si>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</si>
  <si>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</si>
  <si>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</si>
  <si>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</si>
  <si>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</si>
  <si>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</si>
  <si>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</si>
  <si>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</si>
  <si>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</si>
  <si>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</si>
  <si>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</si>
  <si>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</si>
  <si>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</si>
  <si>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</si>
  <si>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</si>
  <si>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</si>
  <si>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</si>
  <si>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</si>
  <si>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</si>
  <si>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</si>
  <si>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</si>
  <si>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</si>
  <si>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</si>
  <si>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</si>
  <si>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</si>
  <si>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</si>
  <si>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</si>
  <si>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</si>
  <si>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</si>
  <si>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</si>
  <si>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</si>
  <si>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</si>
  <si>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</si>
  <si>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</si>
  <si>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</si>
  <si>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</si>
  <si>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</si>
  <si>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</si>
  <si>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</si>
  <si>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</si>
  <si>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</si>
  <si>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</si>
  <si>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</si>
  <si>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</si>
  <si>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</si>
  <si>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</si>
  <si>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</si>
  <si>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</si>
  <si>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</si>
  <si>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</si>
  <si>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</si>
  <si>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</si>
  <si>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</si>
  <si>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</si>
  <si>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</si>
  <si>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</si>
  <si>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</si>
  <si>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</si>
  <si>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</si>
  <si>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</si>
  <si>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</si>
  <si>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</si>
  <si>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</si>
  <si>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</si>
  <si>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</si>
  <si>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</si>
  <si>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</si>
  <si>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</si>
  <si>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</si>
  <si>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</si>
  <si>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</si>
  <si>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</si>
  <si>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</si>
  <si>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</si>
  <si>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</si>
  <si>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</si>
  <si>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</si>
  <si>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</si>
  <si>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</si>
  <si>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</si>
  <si>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</si>
  <si>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</si>
  <si>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</si>
  <si>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</si>
  <si>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</si>
  <si>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</si>
  <si>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</si>
  <si>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</si>
  <si>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</si>
  <si>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</si>
  <si>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</si>
  <si>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</si>
  <si>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</si>
  <si>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</si>
  <si>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</si>
  <si>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</si>
  <si>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</si>
  <si>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</si>
  <si>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</si>
  <si>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</si>
  <si>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</si>
  <si>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</si>
  <si>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</si>
  <si>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</si>
  <si>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</si>
  <si>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</si>
  <si>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</si>
  <si>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</si>
  <si>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</si>
  <si>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</si>
  <si>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</si>
  <si>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</si>
  <si>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</si>
  <si>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</si>
  <si>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</si>
  <si>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</si>
  <si>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</si>
  <si>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</si>
  <si>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</si>
  <si>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</si>
  <si>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</si>
  <si>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</si>
  <si>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</si>
  <si>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</si>
  <si>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</si>
  <si>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</si>
  <si>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</si>
  <si>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</si>
  <si>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</si>
  <si>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</si>
  <si>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</si>
  <si>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</si>
  <si>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</si>
  <si>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</si>
  <si>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</si>
  <si>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</si>
  <si>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</si>
  <si>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</si>
  <si>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</si>
  <si>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</si>
  <si>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</si>
  <si>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</si>
  <si>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</si>
  <si>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</si>
  <si>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</si>
  <si>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</si>
  <si>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</si>
  <si>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</si>
  <si>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</si>
  <si>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</si>
  <si>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</si>
  <si>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</si>
  <si>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</si>
  <si>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</si>
  <si>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</si>
  <si>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</si>
  <si>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</si>
  <si>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</si>
  <si>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</si>
  <si>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</si>
  <si>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</si>
  <si>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</si>
  <si>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</si>
  <si>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</si>
  <si>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</si>
  <si>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</si>
  <si>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</si>
  <si>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</si>
  <si>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</si>
  <si>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</si>
  <si>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</si>
  <si>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</si>
  <si>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</si>
  <si>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</si>
  <si>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</si>
  <si>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</si>
  <si>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</si>
  <si>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</si>
  <si>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</si>
  <si>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</si>
  <si>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</si>
  <si>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</si>
  <si>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</si>
  <si>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</si>
  <si>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</si>
  <si>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</si>
  <si>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</si>
  <si>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</si>
  <si>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</si>
  <si>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</si>
  <si>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</si>
  <si>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</si>
  <si>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</si>
  <si>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</si>
  <si>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</si>
  <si>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</si>
  <si>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</si>
  <si>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</si>
  <si>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</si>
  <si>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</si>
  <si>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</si>
  <si>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</si>
  <si>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</si>
  <si>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</si>
  <si>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</si>
  <si>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</si>
  <si>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</si>
  <si>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</si>
  <si>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</si>
  <si>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</si>
  <si>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</si>
  <si>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</si>
  <si>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</si>
  <si>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</si>
  <si>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</si>
  <si>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</si>
  <si>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</si>
  <si>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</si>
  <si>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</si>
  <si>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</si>
  <si>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</si>
  <si>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</si>
  <si>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</si>
  <si>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</si>
  <si>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</si>
  <si>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</si>
  <si>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</si>
  <si>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</si>
  <si>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</si>
  <si>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</si>
  <si>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</si>
  <si>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</si>
  <si>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</si>
  <si>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</si>
  <si>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</si>
  <si>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</si>
  <si>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</si>
  <si>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</si>
  <si>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</si>
  <si>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</si>
  <si>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</si>
  <si>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</si>
  <si>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</si>
  <si>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</si>
  <si>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</si>
  <si>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</si>
  <si>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</si>
  <si>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</si>
  <si>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</si>
  <si>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</si>
  <si>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</si>
  <si>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</si>
  <si>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</si>
  <si>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</si>
  <si>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</si>
  <si>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</si>
  <si>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</si>
  <si>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</si>
  <si>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</si>
  <si>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</si>
  <si>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</si>
  <si>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</si>
  <si>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</si>
  <si>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</si>
  <si>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</si>
  <si>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</si>
  <si>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</si>
  <si>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</si>
  <si>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</si>
  <si>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</si>
  <si>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</si>
  <si>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</si>
  <si>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</si>
  <si>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</si>
  <si>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</si>
  <si>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</si>
  <si>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</si>
  <si>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</si>
  <si>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</si>
  <si>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</si>
  <si>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</si>
  <si>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</si>
  <si>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</si>
  <si>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</si>
  <si>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</si>
  <si>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</si>
  <si>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</si>
  <si>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</si>
  <si>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</si>
  <si>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</si>
  <si>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</si>
  <si>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</si>
  <si>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</si>
  <si>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</si>
  <si>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</si>
  <si>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</si>
  <si>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</si>
  <si>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</si>
  <si>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</si>
  <si>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</si>
  <si>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</si>
  <si>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</si>
  <si>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</si>
  <si>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</si>
  <si>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</si>
  <si>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</si>
  <si>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</si>
  <si>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</si>
  <si>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</si>
  <si>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</si>
  <si>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</si>
  <si>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</si>
  <si>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</si>
  <si>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</si>
  <si>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</si>
  <si>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</si>
  <si>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</si>
  <si>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</si>
  <si>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</si>
  <si>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</si>
  <si>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</si>
  <si>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</si>
  <si>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</si>
  <si>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</si>
  <si>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</si>
  <si>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</si>
  <si>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</si>
  <si>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</si>
  <si>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</si>
  <si>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</si>
  <si>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</si>
  <si>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</si>
  <si>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</si>
  <si>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</si>
  <si>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</si>
  <si>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</si>
  <si>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</si>
  <si>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</si>
  <si>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</si>
  <si>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</si>
  <si>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</si>
  <si>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</si>
  <si>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</si>
  <si>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</si>
  <si>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</si>
  <si>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</si>
  <si>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</si>
  <si>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</si>
  <si>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</si>
  <si>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</si>
  <si>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</si>
  <si>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</si>
  <si>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</si>
  <si>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</si>
  <si>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</si>
  <si>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</si>
  <si>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</si>
  <si>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</si>
  <si>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</si>
  <si>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</si>
  <si>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</si>
  <si>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</si>
  <si>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</si>
  <si>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</si>
  <si>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</si>
  <si>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</si>
  <si>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</si>
  <si>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</si>
  <si>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</si>
  <si>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</si>
  <si>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</si>
  <si>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</si>
  <si>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</si>
  <si>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</si>
  <si>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</si>
  <si>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</si>
  <si>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</si>
  <si>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</si>
  <si>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</si>
  <si>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</si>
  <si>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</si>
  <si>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</si>
  <si>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</si>
  <si>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</si>
  <si>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</si>
  <si>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</si>
  <si>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</si>
  <si>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</si>
  <si>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</si>
  <si>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</si>
  <si>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</si>
  <si>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</si>
  <si>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</si>
  <si>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</si>
  <si>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</si>
  <si>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</si>
  <si>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</si>
  <si>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</si>
  <si>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</si>
  <si>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</si>
  <si>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</si>
  <si>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</si>
  <si>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</si>
  <si>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</si>
  <si>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</si>
  <si>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</si>
  <si>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</si>
  <si>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</si>
  <si>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</si>
  <si>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</si>
  <si>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</si>
  <si>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</si>
  <si>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</si>
  <si>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</si>
  <si>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</si>
  <si>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</si>
  <si>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</si>
  <si>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</si>
  <si>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</si>
  <si>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</si>
  <si>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</si>
  <si>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</si>
  <si>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</si>
  <si>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</si>
  <si>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</si>
  <si>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</si>
  <si>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</si>
  <si>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</si>
  <si>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</si>
  <si>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</si>
  <si>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</si>
  <si>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</si>
  <si>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</si>
  <si>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</si>
  <si>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</si>
  <si>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</si>
  <si>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</si>
  <si>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</si>
  <si>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</si>
  <si>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</si>
  <si>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</si>
  <si>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</si>
  <si>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</si>
  <si>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</si>
  <si>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</si>
  <si>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</si>
  <si>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</si>
  <si>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</si>
  <si>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</si>
  <si>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</si>
  <si>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</si>
  <si>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</si>
  <si>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</si>
  <si>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</si>
  <si>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</si>
  <si>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</si>
  <si>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</si>
  <si>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</si>
  <si>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</si>
  <si>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</si>
  <si>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</si>
  <si>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</si>
  <si>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</si>
  <si>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</si>
  <si>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</si>
  <si>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</si>
  <si>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</si>
  <si>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</si>
  <si>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</si>
  <si>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</si>
  <si>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</si>
  <si>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</si>
  <si>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</si>
  <si>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</si>
  <si>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</si>
  <si>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</si>
  <si>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</si>
  <si>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</si>
  <si>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</si>
  <si>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</si>
  <si>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</si>
  <si>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</si>
  <si>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</si>
  <si>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</si>
  <si>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</si>
  <si>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</si>
  <si>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</si>
  <si>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</si>
  <si>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</si>
  <si>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</si>
  <si>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</si>
  <si>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</si>
  <si>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</si>
  <si>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</si>
  <si>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</si>
  <si>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</si>
  <si>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</si>
  <si>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</si>
  <si>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</si>
  <si>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</si>
  <si>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</si>
  <si>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</si>
  <si>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</si>
  <si>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</si>
  <si>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</si>
  <si>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</si>
  <si>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</si>
  <si>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</si>
  <si>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</si>
  <si>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</si>
  <si>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</si>
  <si>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</si>
  <si>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</si>
  <si>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</si>
  <si>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</si>
  <si>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</si>
  <si>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</si>
  <si>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</si>
  <si>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</si>
  <si>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</si>
  <si>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</si>
  <si>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</si>
  <si>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</si>
  <si>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</si>
  <si>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</si>
  <si>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</si>
  <si>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</si>
  <si>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</si>
  <si>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</si>
  <si>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</si>
  <si>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</si>
  <si>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</si>
  <si>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</si>
  <si>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</si>
  <si>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</si>
  <si>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</si>
  <si>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</si>
  <si>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</si>
  <si>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</si>
  <si>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</si>
  <si>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</si>
  <si>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</si>
  <si>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</si>
  <si>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</si>
  <si>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</si>
  <si>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</si>
  <si>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</si>
  <si>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</si>
  <si>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</si>
  <si>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</si>
  <si>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</si>
  <si>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</si>
  <si>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</si>
  <si>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</si>
  <si>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</si>
  <si>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</si>
  <si>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</si>
  <si>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</si>
  <si>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</si>
  <si>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</si>
  <si>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</si>
  <si>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</si>
  <si>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</si>
  <si>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</si>
  <si>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</si>
  <si>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</si>
  <si>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</si>
  <si>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</si>
  <si>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</si>
  <si>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</si>
  <si>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</si>
  <si>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</si>
  <si>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</si>
  <si>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</si>
  <si>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</si>
  <si>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</si>
  <si>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</si>
  <si>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</si>
  <si>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</si>
  <si>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</si>
  <si>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</si>
  <si>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</si>
  <si>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</si>
  <si>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</si>
  <si>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</si>
  <si>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</si>
  <si>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</si>
  <si>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</si>
  <si>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</si>
  <si>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</si>
  <si>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</si>
  <si>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</si>
  <si>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</si>
  <si>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</si>
  <si>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</si>
  <si>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</si>
  <si>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</si>
  <si>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</si>
  <si>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</si>
  <si>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</si>
  <si>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</si>
  <si>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</si>
  <si>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</si>
  <si>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</si>
  <si>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</si>
  <si>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</si>
  <si>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</si>
  <si>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</si>
  <si>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</si>
  <si>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</si>
  <si>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</si>
  <si>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</si>
  <si>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</si>
  <si>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</si>
  <si>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</si>
  <si>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</si>
  <si>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</si>
  <si>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</si>
  <si>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</si>
  <si>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</si>
  <si>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</si>
  <si>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</si>
  <si>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</si>
  <si>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</si>
  <si>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</si>
  <si>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</si>
  <si>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</si>
  <si>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</si>
  <si>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</si>
  <si>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</si>
  <si>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</si>
  <si>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</si>
  <si>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</si>
  <si>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</si>
  <si>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</si>
  <si>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</si>
  <si>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</si>
  <si>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</si>
  <si>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</si>
  <si>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</si>
  <si>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</si>
  <si>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</si>
  <si>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</si>
  <si>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</si>
  <si>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</si>
  <si>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</si>
  <si>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</si>
  <si>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</si>
  <si>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</si>
  <si>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</si>
  <si>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</si>
  <si>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</si>
  <si>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</si>
  <si>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</si>
  <si>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</si>
  <si>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</si>
  <si>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</si>
  <si>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</si>
  <si>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</si>
  <si>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</si>
  <si>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</si>
  <si>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</si>
  <si>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</si>
  <si>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</si>
  <si>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</si>
  <si>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</si>
  <si>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</si>
  <si>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</si>
  <si>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</si>
  <si>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</si>
  <si>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</si>
  <si>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</si>
  <si>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</si>
  <si>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</si>
  <si>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</si>
  <si>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</si>
  <si>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</si>
  <si>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</si>
  <si>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</si>
  <si>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</si>
  <si>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</si>
  <si>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</si>
  <si>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</si>
  <si>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</si>
  <si>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</si>
  <si>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</si>
  <si>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</si>
  <si>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</si>
  <si>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</si>
  <si>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</si>
  <si>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</si>
  <si>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</si>
  <si>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</si>
  <si>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</si>
  <si>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</si>
  <si>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</si>
  <si>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</si>
  <si>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</si>
  <si>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</si>
  <si>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</si>
  <si>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</si>
  <si>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</si>
  <si>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</si>
  <si>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</si>
  <si>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</si>
  <si>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</si>
  <si>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</si>
  <si>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</si>
  <si>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</si>
  <si>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</si>
  <si>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</si>
  <si>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</si>
  <si>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</si>
  <si>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</si>
  <si>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</si>
  <si>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</si>
  <si>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</si>
  <si>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</si>
  <si>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</si>
  <si>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</si>
  <si>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</si>
  <si>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</si>
  <si>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</si>
  <si>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</si>
  <si>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</si>
  <si>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</si>
  <si>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</si>
  <si>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</si>
  <si>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</si>
  <si>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</si>
  <si>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</si>
  <si>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</si>
  <si>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</si>
  <si>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</si>
  <si>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</si>
  <si>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</si>
  <si>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</si>
  <si>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</si>
  <si>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</si>
  <si>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</si>
  <si>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</si>
  <si>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</si>
  <si>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</si>
  <si>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</si>
  <si>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</si>
  <si>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</si>
  <si>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</si>
  <si>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</si>
  <si>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</si>
  <si>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</si>
  <si>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</si>
  <si>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</si>
  <si>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</si>
  <si>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</si>
  <si>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</si>
  <si>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</si>
  <si>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</si>
  <si>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</si>
  <si>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</si>
  <si>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</si>
  <si>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</si>
  <si>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</si>
  <si>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</si>
  <si>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</si>
  <si>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</si>
  <si>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</si>
  <si>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</si>
  <si>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</si>
  <si>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</si>
  <si>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</si>
  <si>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</si>
  <si>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</si>
  <si>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</si>
  <si>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</si>
  <si>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</si>
  <si>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</si>
  <si>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</si>
  <si>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</si>
  <si>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</si>
  <si>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</si>
  <si>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</si>
  <si>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</si>
  <si>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</si>
  <si>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</si>
  <si>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</si>
  <si>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</si>
  <si>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</si>
  <si>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</si>
  <si>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</si>
  <si>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</si>
  <si>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</si>
  <si>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</si>
  <si>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</si>
  <si>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</si>
  <si>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</si>
  <si>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</si>
  <si>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</si>
  <si>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</si>
  <si>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</si>
  <si>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</si>
  <si>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</si>
  <si>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</si>
  <si>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</si>
  <si>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</si>
  <si>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</si>
  <si>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</si>
  <si>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</si>
  <si>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</si>
  <si>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</si>
  <si>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</si>
  <si>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</si>
  <si>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</si>
  <si>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</si>
  <si>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</si>
  <si>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</si>
  <si>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</si>
  <si>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</si>
  <si>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</si>
  <si>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</si>
  <si>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</si>
  <si>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</si>
  <si>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</si>
  <si>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</si>
  <si>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</si>
  <si>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</si>
  <si>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</si>
  <si>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</si>
  <si>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</si>
  <si>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</si>
  <si>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</si>
  <si>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</si>
  <si>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</si>
  <si>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</si>
  <si>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</si>
  <si>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</si>
  <si>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</si>
  <si>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</si>
  <si>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</si>
  <si>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</si>
  <si>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</si>
  <si>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</si>
  <si>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</si>
  <si>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</si>
  <si>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</si>
  <si>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</si>
  <si>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</si>
  <si>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</si>
  <si>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</si>
  <si>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</si>
  <si>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</si>
  <si>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</si>
  <si>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</si>
  <si>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</si>
  <si>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</si>
  <si>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</si>
  <si>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</si>
  <si>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</si>
  <si>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</si>
  <si>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</si>
  <si>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</si>
  <si>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</si>
  <si>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</si>
  <si>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</si>
  <si>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</si>
  <si>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</si>
  <si>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</si>
  <si>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</si>
  <si>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</si>
  <si>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</si>
  <si>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</si>
  <si>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</si>
  <si>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</si>
  <si>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</si>
  <si>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</si>
  <si>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</si>
  <si>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</si>
  <si>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</si>
  <si>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</si>
  <si>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</si>
  <si>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</si>
  <si>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</si>
  <si>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</si>
  <si>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</si>
  <si>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</si>
  <si>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</si>
  <si>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</si>
  <si>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</si>
  <si>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</si>
  <si>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</si>
  <si>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</si>
  <si>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</si>
  <si>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</si>
  <si>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</si>
  <si>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</si>
  <si>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</si>
  <si>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</si>
  <si>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</si>
  <si>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</si>
  <si>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</si>
  <si>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</si>
  <si>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</si>
  <si>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</si>
  <si>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</si>
  <si>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</si>
  <si>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</si>
  <si>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</si>
  <si>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</si>
  <si>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</si>
  <si>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</si>
  <si>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</si>
  <si>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</si>
  <si>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</si>
  <si>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</si>
  <si>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</si>
  <si>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</si>
  <si>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</si>
  <si>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</si>
  <si>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</si>
  <si>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</si>
  <si>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</si>
  <si>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</si>
  <si>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</si>
  <si>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</si>
  <si>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</si>
  <si>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</si>
  <si>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</si>
  <si>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</si>
  <si>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</si>
  <si>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</si>
  <si>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</si>
  <si>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</si>
  <si>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</si>
  <si>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</si>
  <si>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</si>
  <si>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</si>
  <si>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</si>
  <si>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</si>
  <si>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</si>
  <si>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</si>
  <si>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</si>
  <si>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</si>
  <si>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</si>
  <si>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</si>
  <si>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</si>
  <si>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</si>
  <si>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</si>
  <si>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</si>
  <si>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</si>
  <si>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</si>
  <si>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</si>
  <si>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</si>
  <si>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</si>
  <si>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</si>
  <si>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</si>
  <si>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</si>
  <si>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</si>
  <si>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</si>
  <si>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</si>
  <si>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</si>
  <si>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</si>
  <si>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</si>
  <si>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</si>
  <si>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</si>
  <si>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</si>
  <si>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</si>
  <si>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</si>
  <si>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</si>
  <si>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</si>
  <si>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</si>
  <si>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</si>
  <si>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</si>
  <si>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</si>
  <si>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</si>
  <si>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</si>
  <si>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</si>
  <si>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</si>
  <si>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</si>
  <si>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</si>
  <si>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</si>
  <si>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</si>
  <si>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</si>
  <si>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</si>
  <si>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</si>
  <si>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</si>
  <si>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</si>
  <si>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</si>
  <si>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</si>
  <si>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</si>
  <si>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</si>
  <si>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</si>
  <si>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</si>
  <si>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</si>
  <si>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</si>
  <si>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</si>
  <si>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</si>
  <si>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</si>
  <si>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</si>
  <si>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</si>
  <si>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</si>
  <si>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</si>
  <si>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</si>
  <si>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</si>
  <si>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</si>
  <si>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</si>
  <si>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</si>
  <si>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</si>
  <si>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</si>
  <si>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</si>
  <si>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</si>
  <si>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</si>
  <si>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</si>
  <si>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</si>
  <si>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</si>
  <si>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</si>
  <si>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</si>
  <si>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</si>
  <si>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</si>
  <si>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</si>
  <si>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</si>
  <si>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</si>
  <si>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</si>
  <si>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</si>
  <si>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</si>
  <si>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</si>
  <si>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</si>
  <si>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</si>
  <si>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</si>
  <si>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</si>
  <si>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</si>
  <si>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</si>
  <si>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</si>
  <si>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</si>
  <si>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</si>
  <si>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</si>
  <si>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</si>
  <si>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</si>
  <si>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</si>
  <si>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</si>
  <si>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</si>
  <si>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</si>
  <si>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</si>
  <si>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</si>
  <si>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</si>
  <si>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</si>
  <si>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</si>
  <si>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</si>
  <si>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</si>
  <si>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</si>
  <si>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</si>
  <si>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</si>
  <si>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</si>
  <si>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</si>
  <si>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</si>
  <si>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</si>
  <si>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</si>
  <si>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</si>
  <si>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</si>
  <si>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</si>
  <si>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</si>
  <si>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</si>
  <si>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</si>
  <si>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</si>
  <si>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</si>
  <si>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</si>
  <si>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</si>
  <si>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</si>
  <si>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</si>
  <si>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</si>
  <si>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</si>
  <si>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</si>
  <si>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</si>
  <si>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</si>
  <si>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</si>
  <si>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</si>
  <si>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</si>
  <si>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</si>
  <si>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</si>
  <si>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</si>
  <si>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</si>
  <si>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</si>
  <si>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</si>
  <si>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</si>
  <si>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</si>
  <si>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</si>
  <si>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</si>
  <si>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</si>
  <si>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</si>
  <si>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</si>
  <si>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</si>
  <si>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</si>
  <si>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</si>
  <si>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</si>
  <si>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</si>
  <si>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</si>
  <si>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</si>
  <si>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</si>
  <si>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</si>
  <si>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</si>
  <si>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</si>
  <si>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</si>
  <si>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</si>
  <si>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</si>
  <si>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</si>
  <si>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</si>
  <si>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</si>
  <si>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</si>
  <si>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</si>
  <si>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</si>
  <si>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</si>
  <si>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</si>
  <si>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</si>
  <si>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</si>
  <si>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</si>
  <si>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</si>
  <si>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</si>
  <si>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</si>
  <si>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</si>
  <si>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</si>
  <si>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</si>
  <si>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</si>
  <si>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</si>
  <si>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</si>
  <si>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</si>
  <si>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</si>
  <si>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</si>
  <si>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</si>
  <si>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</si>
  <si>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</si>
  <si>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</si>
  <si>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</si>
  <si>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</si>
  <si>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</si>
  <si>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</si>
  <si>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</si>
  <si>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</si>
  <si>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</si>
  <si>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</si>
  <si>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</si>
  <si>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</si>
  <si>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</si>
  <si>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</si>
  <si>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</si>
  <si>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</si>
  <si>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</si>
  <si>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</si>
  <si>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</si>
  <si>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</si>
  <si>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</si>
  <si>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</si>
  <si>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</si>
  <si>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</si>
  <si>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</si>
  <si>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</si>
  <si>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</si>
  <si>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</si>
  <si>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</si>
  <si>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</si>
  <si>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</si>
  <si>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</si>
  <si>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</si>
  <si>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</si>
  <si>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</si>
  <si>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</si>
  <si>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</si>
  <si>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</si>
  <si>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</si>
  <si>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</si>
  <si>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</si>
  <si>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</si>
  <si>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</si>
  <si>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</si>
  <si>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</si>
  <si>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</si>
  <si>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</si>
  <si>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</si>
  <si>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</si>
  <si>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</si>
  <si>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</si>
  <si>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</si>
  <si>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</si>
  <si>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</si>
  <si>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</si>
  <si>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</si>
  <si>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</si>
  <si>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</si>
  <si>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</si>
  <si>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</si>
  <si>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</si>
  <si>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</si>
  <si>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</si>
  <si>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</si>
  <si>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</si>
  <si>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</si>
  <si>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</si>
  <si>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</si>
  <si>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</si>
  <si>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</si>
  <si>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</si>
  <si>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</si>
  <si>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</si>
  <si>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</si>
  <si>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</si>
  <si>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</si>
  <si>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</si>
  <si>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</si>
  <si>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</si>
  <si>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</si>
  <si>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</si>
  <si>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</si>
  <si>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</si>
  <si>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</si>
  <si>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</si>
  <si>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</si>
  <si>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</si>
  <si>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</si>
  <si>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</si>
  <si>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</si>
  <si>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</si>
  <si>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</si>
  <si>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</si>
  <si>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</si>
  <si>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</si>
  <si>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</si>
  <si>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</si>
  <si>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</si>
  <si>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</si>
  <si>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</si>
  <si>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</si>
  <si>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</si>
  <si>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</si>
  <si>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</si>
  <si>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</si>
  <si>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</si>
  <si>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</si>
  <si>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</si>
  <si>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</si>
  <si>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</si>
  <si>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</si>
  <si>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</si>
  <si>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</si>
  <si>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</si>
  <si>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</si>
  <si>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</si>
  <si>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</si>
  <si>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</si>
  <si>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</si>
  <si>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</si>
  <si>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</si>
  <si>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</si>
  <si>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</si>
  <si>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</si>
  <si>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</si>
  <si>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</si>
  <si>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</si>
  <si>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</si>
  <si>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</si>
  <si>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</si>
  <si>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</si>
  <si>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</si>
  <si>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</si>
  <si>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</si>
  <si>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</si>
  <si>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</si>
  <si>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</si>
  <si>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</si>
  <si>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</si>
  <si>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</si>
  <si>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</si>
  <si>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</si>
  <si>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</si>
  <si>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</si>
  <si>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</si>
  <si>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</si>
  <si>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</si>
  <si>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</si>
  <si>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</si>
  <si>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</si>
  <si>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</si>
  <si>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</si>
  <si>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</si>
  <si>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</si>
  <si>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</si>
  <si>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</si>
  <si>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</si>
  <si>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</si>
  <si>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</si>
  <si>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</si>
  <si>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</si>
  <si>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</si>
  <si>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</si>
  <si>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</si>
  <si>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</si>
  <si>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</si>
  <si>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</si>
  <si>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</si>
  <si>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</si>
  <si>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</si>
  <si>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</si>
  <si>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</si>
  <si>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</si>
  <si>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</si>
  <si>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</si>
  <si>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</si>
  <si>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</si>
  <si>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</si>
  <si>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</si>
  <si>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</si>
  <si>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</si>
  <si>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</si>
  <si>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</si>
  <si>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</si>
  <si>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</si>
  <si>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</si>
  <si>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</si>
  <si>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</si>
  <si>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</si>
  <si>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</si>
  <si>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</si>
  <si>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</si>
  <si>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</si>
  <si>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</si>
  <si>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</si>
  <si>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</si>
  <si>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核定资产</t>
  </si>
  <si>
    <t>北京市</t>
  </si>
  <si>
    <t>阎村镇燕东路北</t>
    <phoneticPr fontId="6" type="noConversion"/>
  </si>
  <si>
    <t>出让</t>
  </si>
  <si>
    <r>
      <t>38.26</t>
    </r>
    <r>
      <rPr>
        <sz val="12"/>
        <color theme="9" tint="-0.249977111117893"/>
        <rFont val="宋体"/>
        <family val="3"/>
        <charset val="134"/>
      </rPr>
      <t>年</t>
    </r>
    <phoneticPr fontId="6" type="noConversion"/>
  </si>
  <si>
    <t>现房</t>
  </si>
  <si>
    <t>地上</t>
  </si>
  <si>
    <t>地下</t>
  </si>
  <si>
    <t>车库</t>
  </si>
  <si>
    <t>现房-科技孵化中心</t>
    <phoneticPr fontId="3" type="noConversion"/>
  </si>
  <si>
    <t>在建-综合服务中心</t>
    <phoneticPr fontId="3" type="noConversion"/>
  </si>
  <si>
    <t>在建-生产厂房</t>
    <phoneticPr fontId="3" type="noConversion"/>
  </si>
  <si>
    <t>是</t>
  </si>
  <si>
    <t>否</t>
  </si>
  <si>
    <t>成新度</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</si>
  <si>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</si>
  <si>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</si>
  <si>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</si>
  <si>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</si>
  <si>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</si>
  <si>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</si>
  <si>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</si>
  <si>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</si>
  <si>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</si>
  <si>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</si>
  <si>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</si>
  <si>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</si>
  <si>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</si>
  <si>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北京市高端制造业(房山)基地01街区01-03地块部分用地项目</t>
  </si>
  <si>
    <t>工业用地</t>
  </si>
  <si>
    <t>≤1.2</t>
  </si>
  <si>
    <t>挂牌</t>
  </si>
  <si>
    <t>2017-03-23</t>
  </si>
  <si>
    <t>北京天仁道和新材料有限公司</t>
  </si>
  <si>
    <t>≤1.0</t>
  </si>
  <si>
    <t>2016-11-24</t>
  </si>
  <si>
    <t>北京环宇京辉京城气体科技有限公司</t>
  </si>
  <si>
    <t>北京中关村前沿技术产业发展有限公司</t>
  </si>
  <si>
    <t>北京高端制造业基地03街区R区二期工业用地项目</t>
  </si>
  <si>
    <t>2016-02-01</t>
  </si>
  <si>
    <t>北京凯达恒业农业技术开发有限公司</t>
  </si>
  <si>
    <t>北京高端制造业基地03街区R区一期工业用地项目</t>
  </si>
  <si>
    <t>2016-01-28</t>
  </si>
  <si>
    <t>北京德信致远科技有限公司</t>
  </si>
  <si>
    <t>北京石化新材料科技产业基地核心区东区B5-01地块(部分用地)工业用地项目</t>
  </si>
  <si>
    <t>2016-01-25</t>
  </si>
  <si>
    <t>北京中植医药科技有限公司</t>
  </si>
  <si>
    <t>北京石化新材料科技产业基地核心区东区B2-24-04地块</t>
  </si>
  <si>
    <t>2015-12-24</t>
  </si>
  <si>
    <t>北京迅邦润泽物流有限公司</t>
  </si>
  <si>
    <t>北京石化新材料科技产业基地核心区东区B5-10(1)等地块</t>
  </si>
  <si>
    <t>≤1</t>
  </si>
  <si>
    <t>2015-09-16</t>
  </si>
  <si>
    <t>北京京燕奥得赛化学有限公司</t>
  </si>
  <si>
    <t>北京石化新材料科技产业基地核心区东区B5-13(1)等地块</t>
  </si>
  <si>
    <t>北京石化新材料科技产业基地核心区东区B5-10(2)地块工业用地项目</t>
    <phoneticPr fontId="143" type="noConversion"/>
  </si>
  <si>
    <t>北京高端制造业(房山)基地03街区F区工业用地项目</t>
    <phoneticPr fontId="143" type="noConversion"/>
  </si>
  <si>
    <t>正常</t>
    <phoneticPr fontId="33" type="noConversion"/>
  </si>
  <si>
    <t>一般</t>
  </si>
  <si>
    <t>好</t>
  </si>
  <si>
    <t>较好</t>
  </si>
  <si>
    <t>七通</t>
  </si>
  <si>
    <t>收益法-车库</t>
    <phoneticPr fontId="16" type="noConversion"/>
  </si>
  <si>
    <t>收益法-工业</t>
    <phoneticPr fontId="16" type="noConversion"/>
  </si>
  <si>
    <t>押一</t>
  </si>
  <si>
    <t>钢混</t>
  </si>
  <si>
    <t>非生产用房</t>
  </si>
  <si>
    <t>成本法</t>
  </si>
  <si>
    <t>自定义</t>
  </si>
  <si>
    <t>按租金收入计税</t>
  </si>
  <si>
    <t>项目名称</t>
    <phoneticPr fontId="143" type="noConversion"/>
  </si>
  <si>
    <t>（规划）建筑面积（㎡）</t>
    <phoneticPr fontId="143" type="noConversion"/>
  </si>
  <si>
    <t>（分摊）土地面积（㎡）</t>
    <phoneticPr fontId="143" type="noConversion"/>
  </si>
  <si>
    <t>市场价值（万元）</t>
    <phoneticPr fontId="143" type="noConversion"/>
  </si>
  <si>
    <t>上次</t>
    <phoneticPr fontId="143" type="noConversion"/>
  </si>
  <si>
    <t>差值</t>
    <phoneticPr fontId="143" type="noConversion"/>
  </si>
  <si>
    <t>估价对象1(现房）</t>
    <phoneticPr fontId="143" type="noConversion"/>
  </si>
  <si>
    <t>估价对象3（土地）</t>
    <phoneticPr fontId="143" type="noConversion"/>
  </si>
  <si>
    <t>估价对象2（在建）</t>
    <phoneticPr fontId="143" type="noConversion"/>
  </si>
  <si>
    <t>合计</t>
    <phoneticPr fontId="143" type="noConversion"/>
  </si>
  <si>
    <t>楼面单价（元/㎡）</t>
    <phoneticPr fontId="143" type="noConversion"/>
  </si>
  <si>
    <t>老旧厂房</t>
    <phoneticPr fontId="3" type="noConversion"/>
  </si>
  <si>
    <t>砖混</t>
  </si>
  <si>
    <t>收益法 (元)</t>
  </si>
  <si>
    <t>比较法</t>
  </si>
  <si>
    <t>单位面积地价</t>
  </si>
  <si>
    <t>旧厂房</t>
  </si>
  <si>
    <t>旧厂房</t>
    <phoneticPr fontId="7" type="noConversion"/>
  </si>
  <si>
    <t>孵化中心</t>
  </si>
  <si>
    <t>孵化中心</t>
    <phoneticPr fontId="7" type="noConversion"/>
  </si>
  <si>
    <t>收益法-工业</t>
  </si>
  <si>
    <t>收益法（汇总）</t>
  </si>
  <si>
    <t>郑燚</t>
  </si>
  <si>
    <t>吴薇</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</si>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</sst>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0" fillId="0" borderId="0" xfId="0" applyAlignment="1">
      <alignment wrapText="1"/>
    </xf>
    <xf numFmtId="0" fontId="0" fillId="5" borderId="0" xfId="0" applyFill="1" applyAlignment="1">
      <alignment wrapText="1"/>
    </xf>
    <xf numFmtId="0" fontId="99" fillId="5" borderId="0" xfId="0" applyFont="1" applyFill="1" applyAlignment="1">
      <alignment wrapText="1"/>
    </xf>
    <xf numFmtId="49" fontId="137" fillId="2" borderId="26"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1" xfId="0" applyFont="1" applyBorder="1">
      <alignment vertical="center"/>
    </xf>
    <xf numFmtId="0" fontId="99" fillId="0" borderId="1" xfId="0" applyFont="1" applyBorder="1" applyAlignment="1">
      <alignment vertical="center" wrapText="1"/>
    </xf>
    <xf numFmtId="0" fontId="0" fillId="0" borderId="1" xfId="0" applyBorder="1">
      <alignment vertical="center"/>
    </xf>
    <xf numFmtId="0" fontId="99" fillId="0" borderId="5" xfId="0" applyFont="1" applyBorder="1" applyAlignment="1">
      <alignment vertical="center"/>
    </xf>
    <xf numFmtId="0" fontId="0" fillId="0" borderId="54" xfId="0" applyBorder="1" applyAlignment="1">
      <alignment vertical="center"/>
    </xf>
    <xf numFmtId="0" fontId="0" fillId="0" borderId="3" xfId="0" applyBorder="1" applyAlignment="1">
      <alignment vertical="center"/>
    </xf>
    <xf numFmtId="0" fontId="99" fillId="0" borderId="0" xfId="0" applyFont="1" applyAlignment="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114300</xdr:rowOff>
    </xdr:from>
    <xdr:to>
      <xdr:col>5</xdr:col>
      <xdr:colOff>208564</xdr:colOff>
      <xdr:row>34</xdr:row>
      <xdr:rowOff>28307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71925"/>
          <a:ext cx="7895239" cy="2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7.18&#25151;&#23665;&#38379;&#26449;&#38215;&#24037;&#19994;&#39033;&#30446;-&#22312;&#2431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工业"/>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12976</v>
          </cell>
        </row>
      </sheetData>
      <sheetData sheetId="17">
        <row r="18">
          <cell r="L18">
            <v>24815.77</v>
          </cell>
        </row>
        <row r="19">
          <cell r="G19">
            <v>12976</v>
          </cell>
          <cell r="L19">
            <v>45853.06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北京市阎村镇燕东路北预评估</v>
      </c>
    </row>
    <row r="3" spans="1:2" s="1596" customFormat="1">
      <c r="A3" s="1594" t="s">
        <v>1221</v>
      </c>
      <c r="B3" s="1595">
        <f>'预评函-封皮'!B40</f>
        <v>0</v>
      </c>
    </row>
    <row r="4" spans="1:2" s="1596" customFormat="1">
      <c r="A4" s="1594" t="s">
        <v>1222</v>
      </c>
      <c r="B4" s="1595" t="str">
        <f ca="1">'预评函-封皮'!B46</f>
        <v>郑燚（注册号：1120070131)、吴薇（注册号：1419970001)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受贵公司委托，我公司对北京市阎村镇燕东路北进行了预评估。</v>
      </c>
    </row>
    <row r="7" spans="1:2" s="1596" customFormat="1">
      <c r="A7" s="1594" t="s">
        <v>1264</v>
      </c>
      <c r="B7" s="1595" t="str">
        <f>'预评函-1'!A7</f>
        <v>估价对象为北京市阎村镇燕东路北房地产，为所有。根据《国有土地使用证》[]，估价对象（分摊）出让国有建设用地使用权面积为11400.66平方米，建筑面积为6170.06平方米。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估价对象为北京市阎村镇燕东路北房地产,属开发建设的，该项目尚在开发建设中。根据《国有土地使用证》[]，估价对象（分摊）出让国有建设用地使用权面积为11400.66平方米，规划建筑面积为6170.06平方米。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2018年2月23日</v>
      </c>
    </row>
    <row r="13" spans="1:2" s="1596" customFormat="1">
      <c r="A13" s="1594" t="s">
        <v>1227</v>
      </c>
      <c r="B13" s="1595" t="str">
        <f>'预评函-1'!A18</f>
        <v>本次估价的“房地产价值”是指在正常市场情况下，在价值时点2018年2月23日，估价对象规划用途为，土地取得方式为出让，出让国有建设用地使用权剩余土地使用年限为38.26年，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38.26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1984</v>
      </c>
    </row>
    <row r="21" spans="1:2" s="1596" customFormat="1">
      <c r="A21" s="1594" t="s">
        <v>1235</v>
      </c>
      <c r="B21" s="1595">
        <f ca="1">'预评函-2'!D7</f>
        <v>3216</v>
      </c>
    </row>
    <row r="22" spans="1:2" s="1596" customFormat="1">
      <c r="A22" s="1594" t="s">
        <v>1236</v>
      </c>
      <c r="B22" s="1595" t="str">
        <f ca="1">'预评函-2'!D6</f>
        <v>壹仟玖佰捌拾肆万元整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1984</v>
      </c>
    </row>
    <row r="31" spans="1:2" s="1596" customFormat="1">
      <c r="A31" s="1594" t="s">
        <v>1274</v>
      </c>
      <c r="B31" s="1595">
        <f ca="1">'预评函-2'!D15</f>
        <v>3216</v>
      </c>
    </row>
    <row r="32" spans="1:2" s="1596" customFormat="1">
      <c r="A32" s="1594" t="s">
        <v>1241</v>
      </c>
      <c r="B32" s="1595" t="str">
        <f ca="1">'预评函-2'!D14</f>
        <v>壹仟玖佰捌拾肆万元整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北京市阎村镇燕东路北房地产</v>
      </c>
    </row>
    <row r="42" spans="1:2" s="1596" customFormat="1">
      <c r="A42" s="1594" t="s">
        <v>1288</v>
      </c>
      <c r="B42" s="1595" t="str">
        <f>'预评函-3'!B2</f>
        <v>建筑面积</v>
      </c>
    </row>
    <row r="43" spans="1:2" s="1596" customFormat="1">
      <c r="A43" s="1594" t="s">
        <v>1289</v>
      </c>
      <c r="B43" s="1595">
        <f>'预评函-3'!B4</f>
        <v>6170.06</v>
      </c>
    </row>
    <row r="44" spans="1:2" s="1596" customFormat="1">
      <c r="A44" s="1594" t="s">
        <v>1273</v>
      </c>
      <c r="B44" s="1595" t="str">
        <f>'预评函-3'!C2</f>
        <v>(分摊)土地面积</v>
      </c>
    </row>
    <row r="45" spans="1:2" s="1596" customFormat="1">
      <c r="A45" s="1594" t="s">
        <v>1245</v>
      </c>
      <c r="B45" s="1595">
        <f>'预评函-3'!C4</f>
        <v>11400.66</v>
      </c>
    </row>
    <row r="46" spans="1:2" s="1596" customFormat="1">
      <c r="A46" s="1594" t="s">
        <v>1271</v>
      </c>
      <c r="B46" s="1595" t="str">
        <f>'预评函-3'!D2</f>
        <v>出让国有建设用地使用权价值</v>
      </c>
    </row>
    <row r="47" spans="1:2" s="1596" customFormat="1">
      <c r="A47" s="1594" t="s">
        <v>1246</v>
      </c>
      <c r="B47" s="1595">
        <f ca="1">'预评函-3'!D4</f>
        <v>1875</v>
      </c>
    </row>
    <row r="48" spans="1:2" s="1596" customFormat="1">
      <c r="A48" s="1594" t="s">
        <v>1247</v>
      </c>
      <c r="B48" s="1595">
        <f ca="1">'预评函-3'!E4</f>
        <v>3039</v>
      </c>
    </row>
    <row r="49" spans="1:2" s="1596" customFormat="1">
      <c r="A49" s="1594" t="s">
        <v>1248</v>
      </c>
      <c r="B49" s="1595" t="str">
        <f ca="1">'预评函-3'!D5</f>
        <v>壹仟捌佰柒拾伍万元整</v>
      </c>
    </row>
    <row r="50" spans="1:2" s="1596" customFormat="1">
      <c r="A50" s="1594" t="s">
        <v>1272</v>
      </c>
      <c r="B50" s="1595" t="str">
        <f>'预评函-3'!F2</f>
        <v>在建建筑物价值</v>
      </c>
    </row>
    <row r="51" spans="1:2" s="1596" customFormat="1">
      <c r="A51" s="1594" t="s">
        <v>1249</v>
      </c>
      <c r="B51" s="1595">
        <f ca="1">'预评函-3'!F4</f>
        <v>109</v>
      </c>
    </row>
    <row r="52" spans="1:2" s="1596" customFormat="1">
      <c r="A52" s="1594" t="s">
        <v>1250</v>
      </c>
      <c r="B52" s="1595">
        <f ca="1">'预评函-3'!G4</f>
        <v>177</v>
      </c>
    </row>
    <row r="53" spans="1:2" s="1596" customFormat="1">
      <c r="A53" s="1594" t="s">
        <v>1278</v>
      </c>
      <c r="B53" s="1595" t="str">
        <f ca="1">'预评函-3'!F5</f>
        <v>壹佰零玖万元整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郑燚</v>
      </c>
    </row>
    <row r="71" spans="1:2">
      <c r="A71" s="1594" t="s">
        <v>1261</v>
      </c>
      <c r="B71" s="1595">
        <f ca="1">'预评函-4'!B4</f>
        <v>1120070131</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3113</v>
      </c>
      <c r="C17" s="2018"/>
    </row>
    <row r="18" spans="1:3">
      <c r="A18" s="2017" t="s">
        <v>1768</v>
      </c>
      <c r="B18" s="2017" t="s">
        <v>3114</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阎村镇燕东路北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5" t="s">
        <v>864</v>
      </c>
      <c r="C54" s="2022" t="s">
        <v>1281</v>
      </c>
    </row>
    <row r="55" spans="1:4">
      <c r="A55" s="3013"/>
      <c r="B55" s="2025" t="s">
        <v>865</v>
      </c>
      <c r="C55" s="2022" t="s">
        <v>1282</v>
      </c>
    </row>
    <row r="56" spans="1:4">
      <c r="A56" s="3013"/>
      <c r="B56" s="2025" t="s">
        <v>866</v>
      </c>
      <c r="C56" s="2022" t="s">
        <v>1286</v>
      </c>
    </row>
    <row r="57" spans="1:4">
      <c r="A57" s="301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21" sqref="I2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1777</v>
      </c>
      <c r="B1" s="3014" t="str">
        <f>IF(B10="北京市","北京市",C10)&amp;F10&amp;IF(结果表!G1="在建","出让国有建设用地使用权及在建建筑物",IF(结果表!G1="土地","出让国有建设用地使用权",))&amp;B9&amp;"预评估"</f>
        <v>北京市阎村镇燕东路北预评估</v>
      </c>
      <c r="C1" s="3015"/>
      <c r="D1" s="3015"/>
      <c r="E1" s="3015"/>
      <c r="F1" s="3015"/>
      <c r="G1" s="3015"/>
      <c r="H1" s="3015"/>
      <c r="I1" s="301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北京市阎村镇燕东路北</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北京市阎村镇燕东路北房地产</v>
      </c>
    </row>
    <row r="3" spans="1:19" ht="18" customHeight="1">
      <c r="A3" s="2038" t="s">
        <v>1779</v>
      </c>
      <c r="B3" s="2039"/>
      <c r="C3" s="2040" t="s">
        <v>1780</v>
      </c>
      <c r="D3" s="2039">
        <v>43154</v>
      </c>
      <c r="E3" s="2029"/>
      <c r="F3" s="2029"/>
      <c r="G3" s="2029"/>
      <c r="H3" s="2029"/>
      <c r="I3" s="2029"/>
      <c r="J3" s="2029"/>
      <c r="K3" s="2030"/>
      <c r="L3" s="2031"/>
      <c r="M3" s="2031"/>
      <c r="N3" s="2032"/>
      <c r="O3" s="2033"/>
      <c r="P3" s="2032"/>
      <c r="Q3" s="2032"/>
      <c r="R3" s="2032"/>
      <c r="S3" s="2034"/>
    </row>
    <row r="4" spans="1:19" ht="18" customHeight="1" thickBot="1">
      <c r="A4" s="2041" t="s">
        <v>1781</v>
      </c>
      <c r="B4" s="2042" t="s">
        <v>3143</v>
      </c>
      <c r="C4" s="1040">
        <f ca="1">SUMIF(注册房地产估价师,B4,估价师及机构信息!B3:B24)</f>
        <v>1120070131</v>
      </c>
      <c r="D4" s="2042" t="s">
        <v>3144</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郑燚（注册号：1120070131)、吴薇（注册号：1419970001)</v>
      </c>
      <c r="L4" s="2031"/>
      <c r="M4" s="2031"/>
      <c r="N4" s="2032"/>
      <c r="O4" s="2033"/>
      <c r="P4" s="2032"/>
      <c r="Q4" s="2032"/>
      <c r="R4" s="2032"/>
      <c r="S4" s="2034"/>
    </row>
    <row r="5" spans="1:19" ht="18" customHeight="1" thickTop="1">
      <c r="A5" s="2047" t="s">
        <v>1782</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1783</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1784</v>
      </c>
      <c r="B7" s="2056"/>
      <c r="C7" s="2053"/>
      <c r="D7" s="2054"/>
      <c r="E7" s="2037"/>
      <c r="F7" s="2045"/>
      <c r="G7" s="2045"/>
      <c r="H7" s="2045"/>
      <c r="I7" s="2045"/>
      <c r="J7" s="2045"/>
      <c r="K7" s="2057"/>
      <c r="L7" s="2031"/>
      <c r="M7" s="2031"/>
      <c r="N7" s="2032"/>
      <c r="O7" s="2033"/>
      <c r="P7" s="2032"/>
      <c r="Q7" s="2032"/>
      <c r="R7" s="2032"/>
    </row>
    <row r="8" spans="1:19" ht="18" customHeight="1">
      <c r="A8" s="2051" t="s">
        <v>1785</v>
      </c>
      <c r="B8" s="2058" t="s">
        <v>3051</v>
      </c>
      <c r="C8" s="2059"/>
      <c r="D8" s="3017" t="s">
        <v>1786</v>
      </c>
      <c r="E8" s="2060"/>
      <c r="F8" s="2061"/>
      <c r="G8" s="2029"/>
      <c r="H8" s="2029"/>
      <c r="I8" s="2029"/>
      <c r="J8" s="2045"/>
      <c r="K8" s="2046"/>
      <c r="L8" s="2031"/>
      <c r="M8" s="2031"/>
      <c r="N8" s="2032"/>
      <c r="O8" s="2033"/>
      <c r="P8" s="2032"/>
      <c r="Q8" s="2032"/>
      <c r="R8" s="2032"/>
    </row>
    <row r="9" spans="1:19" ht="18" customHeight="1" thickBot="1">
      <c r="A9" s="2043" t="s">
        <v>1787</v>
      </c>
      <c r="B9" s="2062"/>
      <c r="C9" s="2063"/>
      <c r="D9" s="3018"/>
      <c r="E9" s="2062"/>
      <c r="F9" s="2064"/>
      <c r="G9" s="2065"/>
      <c r="H9" s="2065"/>
      <c r="I9" s="2065"/>
      <c r="J9" s="2045"/>
      <c r="K9" s="2057"/>
      <c r="L9" s="2031"/>
      <c r="M9" s="2031"/>
      <c r="N9" s="2032"/>
      <c r="O9" s="2033"/>
      <c r="P9" s="2032"/>
      <c r="Q9" s="2032"/>
      <c r="R9" s="2032"/>
    </row>
    <row r="10" spans="1:19" ht="18" customHeight="1" thickTop="1">
      <c r="A10" s="2066" t="s">
        <v>1788</v>
      </c>
      <c r="B10" s="2067" t="s">
        <v>3052</v>
      </c>
      <c r="C10" s="2068"/>
      <c r="D10" s="2050"/>
      <c r="E10" s="2069" t="s">
        <v>1789</v>
      </c>
      <c r="F10" s="2954" t="s">
        <v>3053</v>
      </c>
      <c r="G10" s="2070"/>
      <c r="H10" s="2071"/>
      <c r="I10" s="2050"/>
      <c r="J10" s="2045"/>
      <c r="K10" s="2057"/>
      <c r="L10" s="2031"/>
      <c r="M10" s="2031"/>
      <c r="N10" s="2032"/>
      <c r="O10" s="2033"/>
      <c r="P10" s="2032"/>
      <c r="Q10" s="2032"/>
      <c r="R10" s="2032"/>
    </row>
    <row r="11" spans="1:19" ht="18" customHeight="1">
      <c r="A11" s="2072" t="s">
        <v>1790</v>
      </c>
      <c r="B11" s="2073"/>
      <c r="C11" s="2074"/>
      <c r="D11" s="2075"/>
      <c r="E11" s="2045"/>
      <c r="F11" s="2045"/>
      <c r="G11" s="2045"/>
      <c r="H11" s="2045"/>
      <c r="I11" s="2045"/>
      <c r="J11" s="2045"/>
      <c r="K11" s="2057"/>
      <c r="L11" s="2031"/>
      <c r="M11" s="2031"/>
      <c r="N11" s="2032"/>
      <c r="O11" s="2033"/>
      <c r="P11" s="2032"/>
      <c r="Q11" s="2032"/>
      <c r="R11" s="2032"/>
    </row>
    <row r="12" spans="1:19" ht="18" customHeight="1">
      <c r="A12" s="2076" t="s">
        <v>1791</v>
      </c>
      <c r="B12" s="2073" t="s">
        <v>3054</v>
      </c>
      <c r="C12" s="2077" t="s">
        <v>1792</v>
      </c>
      <c r="D12" s="2078" t="s">
        <v>1793</v>
      </c>
      <c r="E12" s="2078" t="s">
        <v>1794</v>
      </c>
      <c r="F12" s="2078" t="s">
        <v>1795</v>
      </c>
      <c r="G12" s="2078" t="s">
        <v>1796</v>
      </c>
      <c r="H12" s="2078" t="s">
        <v>1797</v>
      </c>
      <c r="I12" s="2078" t="s">
        <v>1798</v>
      </c>
      <c r="J12" s="2045"/>
      <c r="K12" s="2057"/>
      <c r="L12" s="2031"/>
      <c r="M12" s="2031"/>
      <c r="N12" s="2032"/>
      <c r="O12" s="2033"/>
      <c r="P12" s="2032"/>
      <c r="Q12" s="2032"/>
      <c r="R12" s="2032"/>
    </row>
    <row r="13" spans="1:19" ht="18" customHeight="1">
      <c r="A13" s="2079"/>
      <c r="B13" s="2080"/>
      <c r="C13" s="2081" t="s">
        <v>1799</v>
      </c>
      <c r="D13" s="2082"/>
      <c r="E13" s="2082"/>
      <c r="F13" s="2082"/>
      <c r="G13" s="1050">
        <v>57122</v>
      </c>
      <c r="H13" s="2082"/>
      <c r="I13" s="1050">
        <v>57122</v>
      </c>
      <c r="J13" s="2045"/>
      <c r="K13" s="2057"/>
      <c r="L13" s="2031"/>
      <c r="M13" s="2031"/>
      <c r="N13" s="2032"/>
      <c r="O13" s="2033"/>
      <c r="P13" s="2032"/>
      <c r="Q13" s="2032"/>
      <c r="R13" s="2032"/>
    </row>
    <row r="14" spans="1:19" ht="18" customHeight="1">
      <c r="A14" s="2079"/>
      <c r="B14" s="2080"/>
      <c r="C14" s="2081" t="s">
        <v>1800</v>
      </c>
      <c r="D14" s="1053"/>
      <c r="E14" s="1053"/>
      <c r="F14" s="1053"/>
      <c r="G14" s="1053">
        <v>50</v>
      </c>
      <c r="H14" s="1053"/>
      <c r="I14" s="1053">
        <v>50</v>
      </c>
      <c r="J14" s="2045"/>
      <c r="K14" s="2083"/>
      <c r="L14" s="2031"/>
      <c r="M14" s="2031"/>
      <c r="N14" s="2032"/>
      <c r="O14" s="2033"/>
      <c r="P14" s="2032"/>
      <c r="Q14" s="2032"/>
      <c r="R14" s="2032"/>
    </row>
    <row r="15" spans="1:19" ht="18" customHeight="1">
      <c r="A15" s="2066"/>
      <c r="B15" s="2084"/>
      <c r="C15" s="2081" t="s">
        <v>1801</v>
      </c>
      <c r="D15" s="1052" t="str">
        <f>IF(B12="出让",IF(D13="","",ROUNDDOWN(MIN((D13-$D$3)/365,D14),2)),D14)</f>
        <v/>
      </c>
      <c r="E15" s="1052" t="str">
        <f>IF(B12="出让",IF(E13="","",ROUNDDOWN(MIN((E13-$D$3)/365,E14),2)),E14)</f>
        <v/>
      </c>
      <c r="F15" s="1052" t="str">
        <f>IF(B12="出让",IF(F13="","",ROUNDDOWN(MIN((F13-$D$3)/365,F14),2)),F14)</f>
        <v/>
      </c>
      <c r="G15" s="1052">
        <f>IF(B12="出让",IF(G13="","",ROUNDDOWN(MIN((G13-$D$3)/365,G14),2)),G14)</f>
        <v>38.26</v>
      </c>
      <c r="H15" s="1052" t="str">
        <f>IF(B12="出让",IF(H13="","",ROUNDDOWN(MIN((H13-$D$3)/365,H14),2)),H14)</f>
        <v/>
      </c>
      <c r="I15" s="1052">
        <f>IF(B12="出让",IF(I13="","",ROUNDDOWN(MIN((I13-$D$3)/365,I14),2)),I14)</f>
        <v>38.26</v>
      </c>
      <c r="J15" s="2045"/>
      <c r="K15" s="2085"/>
      <c r="L15" s="2086"/>
      <c r="M15" s="2086"/>
      <c r="N15" s="2087"/>
      <c r="O15" s="2086"/>
      <c r="P15" s="2087"/>
      <c r="Q15" s="2032"/>
      <c r="R15" s="2032"/>
    </row>
    <row r="16" spans="1:19" ht="30.75" customHeight="1">
      <c r="A16" s="2069" t="s">
        <v>1802</v>
      </c>
      <c r="B16" s="3024"/>
      <c r="C16" s="3025"/>
      <c r="D16" s="3026"/>
      <c r="E16" s="2088" t="s">
        <v>1803</v>
      </c>
      <c r="F16" s="3027" t="s">
        <v>3055</v>
      </c>
      <c r="G16" s="3028"/>
      <c r="H16" s="3028"/>
      <c r="I16" s="3029"/>
      <c r="J16" s="2032"/>
      <c r="K16" s="2085"/>
      <c r="L16" s="2086"/>
      <c r="M16" s="2086"/>
      <c r="N16" s="2087"/>
      <c r="O16" s="2086"/>
      <c r="P16" s="2087"/>
      <c r="Q16" s="2032"/>
      <c r="R16" s="2032"/>
    </row>
    <row r="17" spans="1:22" ht="18" customHeight="1">
      <c r="A17" s="2089" t="s">
        <v>1804</v>
      </c>
      <c r="B17" s="2038" t="s">
        <v>1805</v>
      </c>
      <c r="C17" s="1057">
        <f>'数据-汇总表'!E3</f>
        <v>6170.06</v>
      </c>
      <c r="D17" s="2090" t="s">
        <v>1806</v>
      </c>
      <c r="E17" s="3030" t="s">
        <v>1807</v>
      </c>
      <c r="F17" s="3031"/>
      <c r="G17" s="3031"/>
      <c r="H17" s="3031"/>
      <c r="I17" s="3032"/>
      <c r="J17" s="2032"/>
      <c r="K17" s="2091"/>
      <c r="L17" s="2086"/>
      <c r="M17" s="2086"/>
      <c r="N17" s="2087"/>
      <c r="O17" s="2086"/>
      <c r="P17" s="2087"/>
      <c r="Q17" s="2032"/>
      <c r="R17" s="2032"/>
      <c r="S17" s="2032"/>
      <c r="T17" s="2032"/>
      <c r="U17" s="2032"/>
      <c r="V17" s="2032"/>
    </row>
    <row r="18" spans="1:22" ht="36" customHeight="1" thickBot="1">
      <c r="A18" s="2092" t="s">
        <v>1808</v>
      </c>
      <c r="B18" s="2041" t="s">
        <v>1809</v>
      </c>
      <c r="C18" s="1447">
        <f>'数据-汇总表'!D3</f>
        <v>11400.66</v>
      </c>
      <c r="D18" s="2093" t="s">
        <v>1806</v>
      </c>
      <c r="E18" s="3033" t="s">
        <v>1810</v>
      </c>
      <c r="F18" s="3034"/>
      <c r="G18" s="3034"/>
      <c r="H18" s="3034"/>
      <c r="I18" s="3035"/>
      <c r="J18" s="2032"/>
      <c r="K18" s="2091"/>
      <c r="L18" s="2086"/>
      <c r="M18" s="2086"/>
      <c r="N18" s="2087"/>
      <c r="O18" s="2086"/>
      <c r="P18" s="2087"/>
      <c r="Q18" s="2032"/>
      <c r="R18" s="2032"/>
      <c r="S18" s="2032"/>
      <c r="T18" s="2032"/>
      <c r="U18" s="2032"/>
      <c r="V18" s="2032"/>
    </row>
    <row r="19" spans="1:22" ht="37.5" customHeight="1" thickTop="1" thickBot="1">
      <c r="A19" s="373" t="s">
        <v>1811</v>
      </c>
      <c r="B19" s="352" t="s">
        <v>1812</v>
      </c>
      <c r="C19" s="2094"/>
      <c r="D19" s="2095" t="s">
        <v>1813</v>
      </c>
      <c r="E19" s="2096"/>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1814</v>
      </c>
      <c r="B20" s="3020" t="s">
        <v>1815</v>
      </c>
      <c r="C20" s="3021"/>
      <c r="D20" s="3022" t="s">
        <v>1816</v>
      </c>
      <c r="E20" s="3023"/>
      <c r="F20" s="2100" t="s">
        <v>1817</v>
      </c>
      <c r="G20" s="2045"/>
      <c r="H20" s="2045"/>
      <c r="I20" s="2045"/>
      <c r="J20" s="2045"/>
      <c r="K20" s="3019"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1819</v>
      </c>
      <c r="C21" s="2102" t="s">
        <v>1820</v>
      </c>
      <c r="D21" s="2103" t="s">
        <v>1821</v>
      </c>
      <c r="E21" s="2104" t="s">
        <v>1820</v>
      </c>
      <c r="F21" s="2105"/>
      <c r="G21" s="2045"/>
      <c r="H21" s="2045"/>
      <c r="I21" s="2045"/>
      <c r="J21" s="2045"/>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1822</v>
      </c>
      <c r="C22" s="2102" t="s">
        <v>1823</v>
      </c>
      <c r="D22" s="2029"/>
      <c r="E22" s="2029"/>
      <c r="F22" s="2107"/>
      <c r="G22" s="2045"/>
      <c r="H22" s="2045"/>
      <c r="I22" s="2045"/>
      <c r="J22" s="2045"/>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1824</v>
      </c>
      <c r="B23" s="183" t="s">
        <v>1825</v>
      </c>
      <c r="C23" s="2109"/>
      <c r="D23" s="2110" t="s">
        <v>1825</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1826</v>
      </c>
      <c r="C24" s="2114"/>
      <c r="D24" s="2108" t="s">
        <v>1826</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1827</v>
      </c>
      <c r="C25" s="2114"/>
      <c r="D25" s="2108" t="s">
        <v>1827</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1828</v>
      </c>
      <c r="C26" s="2118"/>
      <c r="D26" s="2119" t="s">
        <v>1829</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37" t="s">
        <v>1830</v>
      </c>
      <c r="B27" s="2066" t="s">
        <v>1831</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37"/>
      <c r="B28" s="2038" t="s">
        <v>1832</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37"/>
      <c r="B29" s="2038" t="s">
        <v>1833</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38"/>
      <c r="B30" s="2038" t="s">
        <v>1834</v>
      </c>
      <c r="C30" s="3039"/>
      <c r="D30" s="3040"/>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41" t="s">
        <v>1835</v>
      </c>
      <c r="B31" s="2129"/>
      <c r="C31" s="2130" t="str">
        <f>IF(B31="现房","成新及维护状况正常否",IF(B31="在建","工程状态是否正常",IF(B31="土地","是否闲置","-")))</f>
        <v>-</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42"/>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42"/>
      <c r="B33" s="2133"/>
      <c r="C33" s="2072"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1836</v>
      </c>
      <c r="B34" s="2136"/>
      <c r="C34" s="2136"/>
      <c r="D34" s="2136"/>
      <c r="E34" s="2136"/>
      <c r="F34" s="2136"/>
      <c r="G34" s="2136"/>
      <c r="H34" s="2136"/>
      <c r="I34" s="2045"/>
      <c r="J34" s="2045"/>
      <c r="K34" s="1798">
        <f>COUNTIF(B34:H34,"——")</f>
        <v>0</v>
      </c>
      <c r="L34" s="2077" t="s">
        <v>1837</v>
      </c>
      <c r="M34" s="2077" t="s">
        <v>1838</v>
      </c>
      <c r="N34" s="2077" t="s">
        <v>1839</v>
      </c>
      <c r="O34" s="2077" t="s">
        <v>1840</v>
      </c>
      <c r="P34" s="2077" t="s">
        <v>1841</v>
      </c>
      <c r="Q34" s="2077" t="s">
        <v>1842</v>
      </c>
      <c r="R34" s="2077" t="s">
        <v>1843</v>
      </c>
      <c r="S34" s="3036" t="s">
        <v>1844</v>
      </c>
      <c r="T34" s="2137" t="str">
        <f>NUMBERSTRING(7-K34,1)&amp;"通"</f>
        <v>七通</v>
      </c>
      <c r="U34" s="2032"/>
      <c r="V34" s="2032"/>
    </row>
    <row r="35" spans="1:22" ht="18" customHeight="1">
      <c r="A35" s="2138"/>
      <c r="B35" s="3043" t="s">
        <v>1845</v>
      </c>
      <c r="C35" s="3043"/>
      <c r="D35" s="3043"/>
      <c r="E35" s="3043"/>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6"/>
      <c r="T35" s="48" t="str">
        <f>IF(T34="一通",L35,IF(T34="二通",M35,IF(T34="三通",N35,IF(T34="四通",O35,IF(T34="五通",P35,IF(T34="六通",Q35,R35))))))</f>
        <v>、、、、、、</v>
      </c>
      <c r="U35" s="2032"/>
      <c r="V35" s="2032"/>
    </row>
    <row r="36" spans="1:22" ht="18" customHeight="1">
      <c r="A36" s="2140"/>
      <c r="B36" s="2139" t="s">
        <v>1846</v>
      </c>
      <c r="C36" s="2139" t="s">
        <v>1847</v>
      </c>
      <c r="D36" s="2139" t="s">
        <v>1848</v>
      </c>
      <c r="E36" s="2139" t="s">
        <v>1849</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1850</v>
      </c>
      <c r="B37" s="2143"/>
      <c r="C37" s="2143"/>
      <c r="D37" s="2143"/>
      <c r="E37" s="2143" t="s">
        <v>530</v>
      </c>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1851</v>
      </c>
      <c r="B38" s="2145"/>
      <c r="C38" s="2145"/>
      <c r="D38" s="2145"/>
      <c r="E38" s="2145" t="s">
        <v>255</v>
      </c>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1852</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1853</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1854</v>
      </c>
      <c r="B42" s="1798" t="s">
        <v>1855</v>
      </c>
      <c r="C42" s="1798" t="s">
        <v>1856</v>
      </c>
      <c r="D42" s="1798" t="s">
        <v>1857</v>
      </c>
      <c r="E42" s="1798" t="s">
        <v>1858</v>
      </c>
      <c r="F42" s="1798" t="s">
        <v>1859</v>
      </c>
      <c r="G42" s="1798" t="s">
        <v>1860</v>
      </c>
      <c r="H42" s="1798" t="s">
        <v>1861</v>
      </c>
      <c r="I42" s="1798" t="s">
        <v>1862</v>
      </c>
      <c r="J42" s="2155" t="s">
        <v>1863</v>
      </c>
      <c r="K42" s="2078" t="s">
        <v>1864</v>
      </c>
      <c r="L42" s="2078" t="s">
        <v>1865</v>
      </c>
      <c r="M42" s="2078" t="s">
        <v>1866</v>
      </c>
      <c r="N42" s="1798" t="s">
        <v>1867</v>
      </c>
      <c r="O42" s="1798" t="s">
        <v>1868</v>
      </c>
      <c r="P42" s="1798" t="s">
        <v>1869</v>
      </c>
      <c r="Q42" s="2077" t="s">
        <v>1870</v>
      </c>
      <c r="R42" s="2077" t="s">
        <v>1871</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1874</v>
      </c>
      <c r="B2" s="11" t="s">
        <v>1875</v>
      </c>
      <c r="C2" s="11" t="s">
        <v>1876</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1877</v>
      </c>
      <c r="AZ2" s="1273" t="s">
        <v>1878</v>
      </c>
      <c r="BA2" s="11" t="s">
        <v>1879</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95244.13</v>
      </c>
      <c r="B3" s="14">
        <f>IF(C3="否",G5-AT5,G5)</f>
        <v>51546.32</v>
      </c>
      <c r="C3" s="2171" t="s">
        <v>1880</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1881</v>
      </c>
      <c r="B5" s="1806"/>
      <c r="C5" s="1806"/>
      <c r="D5" s="1809"/>
      <c r="E5" s="16" t="s">
        <v>1</v>
      </c>
      <c r="F5" s="16">
        <f>SUM(F13:F587)</f>
        <v>0</v>
      </c>
      <c r="G5" s="16">
        <f>SUM(G13:G587)</f>
        <v>54201.67</v>
      </c>
      <c r="H5" s="16">
        <f t="shared" ref="H5:AT5" si="0">SUM(H13:H656)</f>
        <v>48635.369999999995</v>
      </c>
      <c r="I5" s="16">
        <f t="shared" si="0"/>
        <v>48635.369999999995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2910.9500000000003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2910.9500000000003</v>
      </c>
      <c r="AO5" s="16">
        <f t="shared" si="0"/>
        <v>0</v>
      </c>
      <c r="AP5" s="16">
        <f t="shared" si="0"/>
        <v>0</v>
      </c>
      <c r="AQ5" s="16">
        <f t="shared" si="0"/>
        <v>0</v>
      </c>
      <c r="AR5" s="16">
        <f t="shared" si="0"/>
        <v>0</v>
      </c>
      <c r="AS5" s="16">
        <f t="shared" si="0"/>
        <v>0</v>
      </c>
      <c r="AT5" s="16">
        <f t="shared" si="0"/>
        <v>2655.35</v>
      </c>
      <c r="AU5" s="1805"/>
      <c r="AV5" s="15" t="s">
        <v>1881</v>
      </c>
      <c r="AW5" s="1806"/>
      <c r="AX5" s="1806"/>
      <c r="AY5" s="17" t="s">
        <v>3</v>
      </c>
      <c r="AZ5" s="18">
        <f t="shared" ref="AZ5:BT5" si="1">SUM(AZ13:AZ656)</f>
        <v>6170.06</v>
      </c>
      <c r="BA5" s="18">
        <f t="shared" si="1"/>
        <v>6170.06</v>
      </c>
      <c r="BB5" s="18">
        <f t="shared" si="1"/>
        <v>6170.06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1882</v>
      </c>
      <c r="B6" s="2177"/>
      <c r="C6" s="2177"/>
      <c r="D6" s="2178"/>
      <c r="E6" s="16">
        <f>H6+AC6+AT6</f>
        <v>95244.13</v>
      </c>
      <c r="F6" s="16" t="s">
        <v>1</v>
      </c>
      <c r="G6" s="16" t="s">
        <v>2</v>
      </c>
      <c r="H6" s="20">
        <f>SUMIF(I$12:AB$12,"总值",I6:AB6)</f>
        <v>89865.46</v>
      </c>
      <c r="I6" s="16">
        <f t="shared" ref="I6:AB6" si="2">ROUND($A$3*I5/$B$3,2)</f>
        <v>89865.46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5378.67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5378.67</v>
      </c>
      <c r="AO6" s="16">
        <f t="shared" si="3"/>
        <v>0</v>
      </c>
      <c r="AP6" s="16">
        <f t="shared" si="3"/>
        <v>0</v>
      </c>
      <c r="AQ6" s="16">
        <f t="shared" si="3"/>
        <v>0</v>
      </c>
      <c r="AR6" s="16">
        <f t="shared" si="3"/>
        <v>0</v>
      </c>
      <c r="AS6" s="16">
        <f t="shared" si="3"/>
        <v>0</v>
      </c>
      <c r="AT6" s="20">
        <f>IF(C3="是",ROUND($A$3*AT5/$B$3,2),0)</f>
        <v>0</v>
      </c>
      <c r="AU6" s="2179"/>
      <c r="AV6" s="15" t="s">
        <v>1882</v>
      </c>
      <c r="AW6" s="2177"/>
      <c r="AX6" s="2177"/>
      <c r="AY6" s="21">
        <f>IF(AY3&gt;0,AY3,ROUND($A$3*AZ5/$B$3,2))</f>
        <v>11400.66</v>
      </c>
      <c r="AZ6" s="16" t="s">
        <v>3</v>
      </c>
      <c r="BA6" s="16">
        <f>ROUND($AY$6*BA5/$AZ$5,2)</f>
        <v>11400.66</v>
      </c>
      <c r="BB6" s="16">
        <f>ROUND($AY$6*BB5/$AZ$5,2)</f>
        <v>11400.66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1883</v>
      </c>
      <c r="B7" s="2112" t="s">
        <v>1884</v>
      </c>
      <c r="C7" s="2112" t="s">
        <v>1885</v>
      </c>
      <c r="D7" s="2112" t="s">
        <v>1886</v>
      </c>
      <c r="E7" s="2112" t="s">
        <v>1887</v>
      </c>
      <c r="F7" s="2112" t="s">
        <v>1888</v>
      </c>
      <c r="G7" s="2181" t="s">
        <v>1889</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1890</v>
      </c>
      <c r="AV7" s="23" t="s">
        <v>1891</v>
      </c>
      <c r="AW7" s="2169" t="s">
        <v>1892</v>
      </c>
      <c r="AX7" s="23" t="s">
        <v>1885</v>
      </c>
      <c r="AY7" s="1806" t="s">
        <v>1893</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1894</v>
      </c>
      <c r="H8" s="2187" t="s">
        <v>1895</v>
      </c>
      <c r="I8" s="2188"/>
      <c r="J8" s="1821"/>
      <c r="K8" s="1821"/>
      <c r="L8" s="1821"/>
      <c r="M8" s="1821"/>
      <c r="N8" s="1821"/>
      <c r="O8" s="1821"/>
      <c r="P8" s="1821"/>
      <c r="Q8" s="1821"/>
      <c r="R8" s="1821"/>
      <c r="S8" s="1821"/>
      <c r="T8" s="1821"/>
      <c r="U8" s="1821"/>
      <c r="V8" s="2189"/>
      <c r="W8" s="1821"/>
      <c r="X8" s="1821"/>
      <c r="Y8" s="1821"/>
      <c r="Z8" s="1821"/>
      <c r="AA8" s="2189"/>
      <c r="AB8" s="2190"/>
      <c r="AC8" s="984" t="s">
        <v>1896</v>
      </c>
      <c r="AD8" s="2191"/>
      <c r="AE8" s="2183"/>
      <c r="AF8" s="1821"/>
      <c r="AG8" s="1821"/>
      <c r="AH8" s="1821"/>
      <c r="AI8" s="1821"/>
      <c r="AJ8" s="1821"/>
      <c r="AK8" s="1821"/>
      <c r="AL8" s="1821"/>
      <c r="AM8" s="1821"/>
      <c r="AN8" s="1821"/>
      <c r="AO8" s="1821"/>
      <c r="AP8" s="1821"/>
      <c r="AQ8" s="1821"/>
      <c r="AR8" s="1821"/>
      <c r="AS8" s="1821"/>
      <c r="AT8" s="1295" t="s">
        <v>1897</v>
      </c>
      <c r="AU8" s="2185" t="s">
        <v>1898</v>
      </c>
      <c r="AV8" s="1295"/>
      <c r="AW8" s="2168"/>
      <c r="AX8" s="1295"/>
      <c r="AY8" s="2169" t="s">
        <v>1899</v>
      </c>
      <c r="AZ8" s="1820" t="s">
        <v>1900</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1901</v>
      </c>
      <c r="I9" s="2194" t="s">
        <v>3057</v>
      </c>
      <c r="J9" s="984"/>
      <c r="K9" s="2194" t="s">
        <v>3058</v>
      </c>
      <c r="L9" s="984"/>
      <c r="M9" s="2194"/>
      <c r="N9" s="984"/>
      <c r="O9" s="2194"/>
      <c r="P9" s="984"/>
      <c r="Q9" s="2194"/>
      <c r="R9" s="984"/>
      <c r="S9" s="2194"/>
      <c r="T9" s="984"/>
      <c r="U9" s="2194"/>
      <c r="V9" s="984"/>
      <c r="W9" s="2194"/>
      <c r="X9" s="2195"/>
      <c r="Y9" s="2194"/>
      <c r="Z9" s="984"/>
      <c r="AA9" s="2194"/>
      <c r="AB9" s="984"/>
      <c r="AC9" s="2186" t="s">
        <v>1901</v>
      </c>
      <c r="AD9" s="15" t="s">
        <v>1902</v>
      </c>
      <c r="AE9" s="1301"/>
      <c r="AF9" s="15" t="s">
        <v>1903</v>
      </c>
      <c r="AG9" s="1301"/>
      <c r="AH9" s="15" t="s">
        <v>1902</v>
      </c>
      <c r="AI9" s="1301"/>
      <c r="AJ9" s="15" t="s">
        <v>1903</v>
      </c>
      <c r="AK9" s="1301"/>
      <c r="AL9" s="15" t="s">
        <v>1902</v>
      </c>
      <c r="AM9" s="1301"/>
      <c r="AN9" s="15" t="s">
        <v>1903</v>
      </c>
      <c r="AO9" s="1301"/>
      <c r="AP9" s="15" t="s">
        <v>1902</v>
      </c>
      <c r="AQ9" s="1301"/>
      <c r="AR9" s="15" t="s">
        <v>1903</v>
      </c>
      <c r="AS9" s="2196"/>
      <c r="AT9" s="2185"/>
      <c r="AU9" s="2185" t="s">
        <v>1904</v>
      </c>
      <c r="AV9" s="1295"/>
      <c r="AW9" s="2168"/>
      <c r="AX9" s="1295"/>
      <c r="AY9" s="28"/>
      <c r="AZ9" s="28" t="s">
        <v>1894</v>
      </c>
      <c r="BA9" s="2197" t="s">
        <v>1905</v>
      </c>
      <c r="BB9" s="2198"/>
      <c r="BC9" s="1341"/>
      <c r="BD9" s="1341"/>
      <c r="BE9" s="1341"/>
      <c r="BF9" s="1341"/>
      <c r="BG9" s="1341"/>
      <c r="BH9" s="1341"/>
      <c r="BI9" s="1341"/>
      <c r="BJ9" s="1341"/>
      <c r="BK9" s="2199"/>
      <c r="BL9" s="15" t="s">
        <v>1906</v>
      </c>
      <c r="BM9" s="1821"/>
      <c r="BN9" s="2188"/>
      <c r="BO9" s="1821"/>
      <c r="BP9" s="1821"/>
      <c r="BQ9" s="1821"/>
      <c r="BR9" s="1821"/>
      <c r="BS9" s="1821"/>
      <c r="BT9" s="26"/>
    </row>
    <row r="10" spans="1:72" s="2192" customFormat="1" ht="12.75">
      <c r="A10" s="2185"/>
      <c r="B10" s="2185"/>
      <c r="C10" s="2185"/>
      <c r="D10" s="2185"/>
      <c r="E10" s="2185"/>
      <c r="F10" s="2185"/>
      <c r="G10" s="1295"/>
      <c r="H10" s="28"/>
      <c r="I10" s="2194" t="s">
        <v>6</v>
      </c>
      <c r="J10" s="984"/>
      <c r="K10" s="2200" t="s">
        <v>3059</v>
      </c>
      <c r="L10" s="984"/>
      <c r="M10" s="2200"/>
      <c r="N10" s="984"/>
      <c r="O10" s="2200"/>
      <c r="P10" s="984"/>
      <c r="Q10" s="2200"/>
      <c r="R10" s="984"/>
      <c r="S10" s="2200"/>
      <c r="T10" s="984"/>
      <c r="U10" s="2200"/>
      <c r="V10" s="984"/>
      <c r="W10" s="2200"/>
      <c r="X10" s="984"/>
      <c r="Y10" s="2200"/>
      <c r="Z10" s="984"/>
      <c r="AA10" s="2200"/>
      <c r="AB10" s="984"/>
      <c r="AC10" s="1295"/>
      <c r="AD10" s="15" t="s">
        <v>1907</v>
      </c>
      <c r="AE10" s="2201"/>
      <c r="AF10" s="15" t="s">
        <v>1907</v>
      </c>
      <c r="AG10" s="2201"/>
      <c r="AH10" s="15" t="s">
        <v>1908</v>
      </c>
      <c r="AI10" s="2201"/>
      <c r="AJ10" s="15" t="s">
        <v>1908</v>
      </c>
      <c r="AK10" s="2201"/>
      <c r="AL10" s="15" t="s">
        <v>1909</v>
      </c>
      <c r="AM10" s="1301"/>
      <c r="AN10" s="15" t="s">
        <v>1909</v>
      </c>
      <c r="AO10" s="1301"/>
      <c r="AP10" s="15" t="s">
        <v>1910</v>
      </c>
      <c r="AQ10" s="1301"/>
      <c r="AR10" s="15" t="s">
        <v>1910</v>
      </c>
      <c r="AS10" s="1301"/>
      <c r="AT10" s="2185"/>
      <c r="AU10" s="2185"/>
      <c r="AV10" s="1295"/>
      <c r="AW10" s="2168"/>
      <c r="AX10" s="1295"/>
      <c r="AY10" s="28"/>
      <c r="AZ10" s="28"/>
      <c r="BA10" s="2202" t="s">
        <v>1901</v>
      </c>
      <c r="BB10" s="2203" t="str">
        <f>I9</f>
        <v>地上</v>
      </c>
      <c r="BC10" s="29" t="str">
        <f>K9</f>
        <v>地下</v>
      </c>
      <c r="BD10" s="29">
        <f>M9</f>
        <v>0</v>
      </c>
      <c r="BE10" s="29">
        <f>O9</f>
        <v>0</v>
      </c>
      <c r="BF10" s="29">
        <f>Q9</f>
        <v>0</v>
      </c>
      <c r="BG10" s="29">
        <f>S9</f>
        <v>0</v>
      </c>
      <c r="BH10" s="29">
        <f>U9</f>
        <v>0</v>
      </c>
      <c r="BI10" s="29">
        <f>W9</f>
        <v>0</v>
      </c>
      <c r="BJ10" s="29">
        <f>Y9</f>
        <v>0</v>
      </c>
      <c r="BK10" s="29">
        <f>AA9</f>
        <v>0</v>
      </c>
      <c r="BL10" s="25" t="s">
        <v>1901</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1911</v>
      </c>
      <c r="AE11" s="1822"/>
      <c r="AF11" s="2207" t="s">
        <v>1911</v>
      </c>
      <c r="AG11" s="1822"/>
      <c r="AH11" s="2207" t="s">
        <v>1912</v>
      </c>
      <c r="AI11" s="2208"/>
      <c r="AJ11" s="2207" t="s">
        <v>1912</v>
      </c>
      <c r="AK11" s="1822"/>
      <c r="AL11" s="1820"/>
      <c r="AM11" s="1822"/>
      <c r="AN11" s="1820"/>
      <c r="AO11" s="1822"/>
      <c r="AP11" s="1820"/>
      <c r="AQ11" s="1822"/>
      <c r="AR11" s="1820"/>
      <c r="AS11" s="1822"/>
      <c r="AT11" s="2168"/>
      <c r="AU11" s="2185"/>
      <c r="AV11" s="1295"/>
      <c r="AW11" s="2168"/>
      <c r="AX11" s="1295"/>
      <c r="AY11" s="28"/>
      <c r="AZ11" s="28"/>
      <c r="BA11" s="28"/>
      <c r="BB11" s="2190" t="str">
        <f>I10</f>
        <v>工业</v>
      </c>
      <c r="BC11" s="2190" t="str">
        <f>K10</f>
        <v>车库</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5" t="s">
        <v>1914</v>
      </c>
      <c r="W12" s="11" t="s">
        <v>1913</v>
      </c>
      <c r="X12" s="11" t="s">
        <v>1914</v>
      </c>
      <c r="Y12" s="11" t="s">
        <v>1913</v>
      </c>
      <c r="Z12" s="11" t="s">
        <v>1914</v>
      </c>
      <c r="AA12" s="11" t="s">
        <v>1913</v>
      </c>
      <c r="AB12" s="11" t="s">
        <v>1914</v>
      </c>
      <c r="AC12" s="2212"/>
      <c r="AD12" s="1809"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0" t="s">
        <v>1914</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25.5">
      <c r="A13" s="1275"/>
      <c r="B13" s="1275"/>
      <c r="C13" s="2955" t="s">
        <v>3060</v>
      </c>
      <c r="D13" s="2216" t="s">
        <v>3064</v>
      </c>
      <c r="E13" s="16">
        <f>IF($C$3="是",ROUND($A$3*G13/$B$3,2),ROUND($A$3*(G13-AT13)/$B$3,2))</f>
        <v>37990.410000000003</v>
      </c>
      <c r="F13" s="32"/>
      <c r="G13" s="33">
        <f>H13+AC13+AT13</f>
        <v>20560.490000000002</v>
      </c>
      <c r="H13" s="20">
        <f>SUMIF(I$12:AB$12,"总值",I13:AB13)</f>
        <v>17898.38</v>
      </c>
      <c r="I13" s="2217">
        <v>17898.38</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2662.11</v>
      </c>
      <c r="AD13" s="2218"/>
      <c r="AE13" s="2218"/>
      <c r="AF13" s="2218"/>
      <c r="AG13" s="2218"/>
      <c r="AH13" s="2218"/>
      <c r="AI13" s="2218"/>
      <c r="AJ13" s="2218"/>
      <c r="AK13" s="2218"/>
      <c r="AL13" s="2218"/>
      <c r="AM13" s="2218"/>
      <c r="AN13" s="2218">
        <v>2662.11</v>
      </c>
      <c r="AO13" s="2218"/>
      <c r="AP13" s="2218"/>
      <c r="AQ13" s="2218"/>
      <c r="AR13" s="2218"/>
      <c r="AS13" s="2218"/>
      <c r="AT13" s="2219"/>
      <c r="AU13" s="2220"/>
      <c r="AV13" s="11">
        <f t="shared" ref="AV13:AX17" si="6">A13</f>
        <v>0</v>
      </c>
      <c r="AW13" s="11">
        <f t="shared" si="6"/>
        <v>0</v>
      </c>
      <c r="AX13" s="11" t="str">
        <f t="shared" si="6"/>
        <v>现房-科技孵化中心</v>
      </c>
      <c r="AY13" s="180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25.5">
      <c r="A14" s="1275"/>
      <c r="B14" s="1275"/>
      <c r="C14" s="2956" t="s">
        <v>3061</v>
      </c>
      <c r="D14" s="2216" t="s">
        <v>3064</v>
      </c>
      <c r="E14" s="16">
        <f>IF($C$3="是",ROUND($A$3*G14/$B$3,2),ROUND($A$3*(G14-AT14)/$B$3,2))</f>
        <v>29487.64</v>
      </c>
      <c r="F14" s="32"/>
      <c r="G14" s="33">
        <f>H14+AC14+AT14</f>
        <v>18614.12</v>
      </c>
      <c r="H14" s="20">
        <f>SUMIF(I$12:AB$12,"总值",I14:AB14)</f>
        <v>15709.93</v>
      </c>
      <c r="I14" s="2217">
        <f>15795.28-85.35</f>
        <v>15709.93</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248.84000000000015</v>
      </c>
      <c r="AD14" s="2218"/>
      <c r="AE14" s="2218"/>
      <c r="AF14" s="2218"/>
      <c r="AG14" s="2218"/>
      <c r="AH14" s="2218"/>
      <c r="AI14" s="2218"/>
      <c r="AJ14" s="2218"/>
      <c r="AK14" s="2218"/>
      <c r="AL14" s="2218"/>
      <c r="AM14" s="2218"/>
      <c r="AN14" s="2217">
        <f>2818.84-2570</f>
        <v>248.84000000000015</v>
      </c>
      <c r="AO14" s="2218"/>
      <c r="AP14" s="2218"/>
      <c r="AQ14" s="2218"/>
      <c r="AR14" s="2218"/>
      <c r="AS14" s="2218"/>
      <c r="AT14" s="2219">
        <f>2570+85.35</f>
        <v>2655.35</v>
      </c>
      <c r="AU14" s="2220"/>
      <c r="AV14" s="11">
        <f t="shared" si="6"/>
        <v>0</v>
      </c>
      <c r="AW14" s="11">
        <f t="shared" si="6"/>
        <v>0</v>
      </c>
      <c r="AX14" s="11" t="str">
        <f t="shared" si="6"/>
        <v>在建-综合服务中心</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25.5">
      <c r="A15" s="1275"/>
      <c r="B15" s="1275"/>
      <c r="C15" s="2956" t="s">
        <v>3062</v>
      </c>
      <c r="D15" s="2216" t="s">
        <v>3064</v>
      </c>
      <c r="E15" s="16">
        <f>IF($C$3="是",ROUND($A$3*G15/$B$3,2),ROUND($A$3*(G15-AT15)/$B$3,2))</f>
        <v>16365.42</v>
      </c>
      <c r="F15" s="32"/>
      <c r="G15" s="33">
        <f>H15+AC15+AT15</f>
        <v>8857</v>
      </c>
      <c r="H15" s="20">
        <f>SUMIF(I$12:AB$12,"总值",I15:AB15)</f>
        <v>8857</v>
      </c>
      <c r="I15" s="2217">
        <v>8857</v>
      </c>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在建-生产厂房</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956" t="s">
        <v>3132</v>
      </c>
      <c r="D16" s="2216" t="s">
        <v>3063</v>
      </c>
      <c r="E16" s="16">
        <f>IF($C$3="是",ROUND($A$3*G16/$B$3,2),ROUND($A$3*(G16-AT16)/$B$3,2))</f>
        <v>11400.66</v>
      </c>
      <c r="F16" s="32"/>
      <c r="G16" s="33">
        <f>H16+AC16+AT16</f>
        <v>6170.06</v>
      </c>
      <c r="H16" s="20">
        <f>SUMIF(I$12:AB$12,"总值",I16:AB16)</f>
        <v>6170.06</v>
      </c>
      <c r="I16" s="2217">
        <v>6170.06</v>
      </c>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老旧厂房</v>
      </c>
      <c r="AY16" s="1809">
        <f>ROUND($AY$6*AZ16/$AZ$5,2)</f>
        <v>11400.66</v>
      </c>
      <c r="AZ16" s="16">
        <f>BA16+BL16</f>
        <v>6170.06</v>
      </c>
      <c r="BA16" s="16">
        <f>SUM(BB16:BK16)</f>
        <v>6170.06</v>
      </c>
      <c r="BB16" s="16">
        <f>IF($D16="是",I16-J16,0)</f>
        <v>6170.06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D27" sqref="D27"/>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1940</v>
      </c>
      <c r="B1" s="1395"/>
      <c r="C1" s="1395"/>
      <c r="D1" s="1395"/>
      <c r="E1" s="1395"/>
      <c r="F1" s="1395"/>
      <c r="G1" s="1395"/>
      <c r="H1" s="1395"/>
      <c r="I1" s="1395"/>
      <c r="J1" s="1395"/>
      <c r="K1" s="1395"/>
      <c r="L1" s="1395"/>
      <c r="M1" s="1395"/>
      <c r="N1" s="1395"/>
      <c r="O1" s="1395"/>
      <c r="P1" s="1395"/>
    </row>
    <row r="2" spans="1:16" ht="15">
      <c r="A2" s="3055" t="s">
        <v>1941</v>
      </c>
      <c r="B2" s="3055"/>
      <c r="C2" s="3055"/>
      <c r="D2" s="970" t="s">
        <v>1917</v>
      </c>
      <c r="E2" s="2230" t="s">
        <v>1918</v>
      </c>
      <c r="F2" s="1395"/>
      <c r="G2" s="2231"/>
      <c r="H2" s="2232"/>
      <c r="I2" s="2233" t="s">
        <v>1942</v>
      </c>
      <c r="J2" s="1395"/>
      <c r="K2" s="1395"/>
      <c r="L2" s="1395"/>
      <c r="M2" s="1395"/>
      <c r="N2" s="1430"/>
      <c r="O2" s="1395"/>
      <c r="P2" s="1395"/>
    </row>
    <row r="3" spans="1:16" ht="15.75" thickBot="1">
      <c r="A3" s="3056" t="s">
        <v>1915</v>
      </c>
      <c r="B3" s="3056"/>
      <c r="C3" s="3056"/>
      <c r="D3" s="46">
        <f>'数据-基础表'!AY6</f>
        <v>11400.66</v>
      </c>
      <c r="E3" s="46">
        <f>'数据-基础表'!AZ5</f>
        <v>6170.06</v>
      </c>
      <c r="F3" s="1395"/>
      <c r="G3" s="1402"/>
      <c r="H3" s="1250" t="s">
        <v>1916</v>
      </c>
      <c r="I3" s="55">
        <f>ROUND('数据-基础表'!B3/'数据-基础表'!A3,2)</f>
        <v>0.54</v>
      </c>
      <c r="J3" s="1395"/>
      <c r="K3" s="1395"/>
      <c r="L3" s="1395"/>
      <c r="M3" s="1395"/>
      <c r="N3" s="1430"/>
      <c r="O3" s="1395"/>
      <c r="P3" s="1395"/>
    </row>
    <row r="4" spans="1:16" ht="15">
      <c r="A4" s="3057"/>
      <c r="B4" s="3058"/>
      <c r="C4" s="3059"/>
      <c r="D4" s="2234" t="s">
        <v>1917</v>
      </c>
      <c r="E4" s="2235" t="s">
        <v>1918</v>
      </c>
      <c r="F4" s="1395"/>
      <c r="G4" s="2236" t="s">
        <v>1943</v>
      </c>
      <c r="H4" s="1250" t="s">
        <v>1923</v>
      </c>
      <c r="I4" s="55">
        <f>ROUND(SUMIF('数据-基础表'!I9:AS9,"地上",'数据-基础表'!I5:AS5)/'数据-基础表'!A3,2)</f>
        <v>0.51</v>
      </c>
      <c r="J4" s="1395"/>
      <c r="K4" s="1395"/>
      <c r="L4" s="1395"/>
      <c r="M4" s="1395"/>
      <c r="N4" s="1430"/>
      <c r="O4" s="1395"/>
      <c r="P4" s="1395"/>
    </row>
    <row r="5" spans="1:16">
      <c r="A5" s="47" t="s">
        <v>1919</v>
      </c>
      <c r="B5" s="3060" t="s">
        <v>1920</v>
      </c>
      <c r="C5" s="3060"/>
      <c r="D5" s="48">
        <f>ROUND($D$3*E5/$E$3,2)</f>
        <v>0</v>
      </c>
      <c r="E5" s="49">
        <f>SUMIF('数据-基础表'!$11:$11,"住宅",'数据-基础表'!$5:$5)</f>
        <v>0</v>
      </c>
      <c r="F5" s="1395"/>
      <c r="G5" s="1402"/>
      <c r="H5" s="1250" t="s">
        <v>1916</v>
      </c>
      <c r="I5" s="55">
        <f>ROUND(E31/D31,2)</f>
        <v>0.54</v>
      </c>
      <c r="J5" s="1395"/>
      <c r="K5" s="1395"/>
      <c r="L5" s="1395"/>
      <c r="M5" s="1395"/>
      <c r="N5" s="1395"/>
      <c r="O5" s="1395"/>
      <c r="P5" s="1395"/>
    </row>
    <row r="6" spans="1:16" ht="15" thickBot="1">
      <c r="A6" s="2237"/>
      <c r="B6" s="3060" t="s">
        <v>1921</v>
      </c>
      <c r="C6" s="3060"/>
      <c r="D6" s="48">
        <f>ROUND($D$3*E6/$E$3,2)</f>
        <v>11400.66</v>
      </c>
      <c r="E6" s="49">
        <f>E3-E5</f>
        <v>6170.06</v>
      </c>
      <c r="F6" s="1395"/>
      <c r="G6" s="2238" t="s">
        <v>1922</v>
      </c>
      <c r="H6" s="1402" t="s">
        <v>1923</v>
      </c>
      <c r="I6" s="942">
        <f>ROUND(F31/D31,2)</f>
        <v>0.54</v>
      </c>
      <c r="J6" s="1395"/>
      <c r="K6" s="1395"/>
      <c r="L6" s="1395"/>
      <c r="M6" s="1395"/>
      <c r="N6" s="1395"/>
      <c r="O6" s="1395"/>
      <c r="P6" s="1395"/>
    </row>
    <row r="7" spans="1:16" ht="15">
      <c r="A7" s="3052"/>
      <c r="B7" s="3053"/>
      <c r="C7" s="3054"/>
      <c r="D7" s="2234" t="s">
        <v>1917</v>
      </c>
      <c r="E7" s="2239" t="s">
        <v>1924</v>
      </c>
      <c r="F7" s="1395"/>
      <c r="G7" s="2231" t="s">
        <v>1925</v>
      </c>
      <c r="H7" s="64"/>
      <c r="I7" s="420">
        <v>1.2</v>
      </c>
      <c r="J7" s="1395"/>
      <c r="K7" s="1395"/>
      <c r="L7" s="1395"/>
      <c r="M7" s="1395"/>
      <c r="N7" s="1395"/>
      <c r="O7" s="1395"/>
      <c r="P7" s="1395"/>
    </row>
    <row r="8" spans="1:16">
      <c r="A8" s="47" t="s">
        <v>1926</v>
      </c>
      <c r="B8" s="50" t="s">
        <v>1927</v>
      </c>
      <c r="C8" s="48" t="s">
        <v>1928</v>
      </c>
      <c r="D8" s="48">
        <f t="shared" ref="D8:D15" si="0">ROUND($D$3*E8/$E$3,2)</f>
        <v>11400.66</v>
      </c>
      <c r="E8" s="51">
        <f>SUMIF('数据-基础表'!BB10:BK10,"地上",'数据-基础表'!BB5:BK5)</f>
        <v>6170.06</v>
      </c>
      <c r="F8" s="1395"/>
      <c r="G8" s="2240"/>
      <c r="H8" s="2240"/>
      <c r="I8" s="1395"/>
      <c r="J8" s="1395"/>
      <c r="K8" s="1395"/>
      <c r="L8" s="1395"/>
      <c r="M8" s="1395"/>
      <c r="N8" s="1395"/>
      <c r="O8" s="1395"/>
      <c r="P8" s="1395"/>
    </row>
    <row r="9" spans="1:16">
      <c r="A9" s="2241"/>
      <c r="B9" s="2242"/>
      <c r="C9" s="48" t="s">
        <v>1929</v>
      </c>
      <c r="D9" s="48">
        <f t="shared" si="0"/>
        <v>0</v>
      </c>
      <c r="E9" s="52">
        <v>0</v>
      </c>
      <c r="F9" s="1395"/>
      <c r="G9" s="2240"/>
      <c r="H9" s="2240"/>
      <c r="I9" s="1395"/>
      <c r="J9" s="1395"/>
      <c r="K9" s="1395"/>
      <c r="L9" s="1395"/>
      <c r="M9" s="1395"/>
      <c r="N9" s="1395"/>
      <c r="O9" s="1395"/>
      <c r="P9" s="1395"/>
    </row>
    <row r="10" spans="1:16">
      <c r="A10" s="2241"/>
      <c r="B10" s="2242"/>
      <c r="C10" s="48" t="s">
        <v>1938</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1930</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1931</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1932</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1944</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1939</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1933</v>
      </c>
      <c r="D16" s="50">
        <f>SUM(D8:D15)</f>
        <v>11400.66</v>
      </c>
      <c r="E16" s="53">
        <f>SUM(E8:E15)</f>
        <v>6170.06</v>
      </c>
      <c r="F16" s="1395"/>
      <c r="G16" s="2240"/>
      <c r="H16" s="2243" t="s">
        <v>1945</v>
      </c>
      <c r="I16" s="2244"/>
      <c r="J16" s="1395"/>
      <c r="K16" s="3049" t="s">
        <v>1945</v>
      </c>
      <c r="L16" s="3050"/>
      <c r="M16" s="3050"/>
      <c r="N16" s="3050"/>
      <c r="O16" s="3050"/>
      <c r="P16" s="3051"/>
    </row>
    <row r="17" spans="1:19" ht="15">
      <c r="A17" s="2245" t="s">
        <v>1946</v>
      </c>
      <c r="B17" s="2246" t="s">
        <v>1947</v>
      </c>
      <c r="C17" s="2247" t="s">
        <v>1948</v>
      </c>
      <c r="D17" s="2248" t="s">
        <v>1936</v>
      </c>
      <c r="E17" s="2249" t="s">
        <v>1937</v>
      </c>
      <c r="F17" s="2250"/>
      <c r="G17" s="2251"/>
      <c r="H17" s="2252" t="s">
        <v>1949</v>
      </c>
      <c r="I17" s="2253" t="s">
        <v>1934</v>
      </c>
      <c r="J17" s="1395"/>
      <c r="K17" s="3046" t="s">
        <v>1950</v>
      </c>
      <c r="L17" s="3047"/>
      <c r="M17" s="3048"/>
      <c r="N17" s="3046" t="s">
        <v>1951</v>
      </c>
      <c r="O17" s="3047"/>
      <c r="P17" s="3048"/>
      <c r="R17" s="2231" t="s">
        <v>1952</v>
      </c>
      <c r="S17" s="64"/>
    </row>
    <row r="18" spans="1:19" ht="15">
      <c r="A18" s="2241"/>
      <c r="B18" s="2254"/>
      <c r="C18" s="2255"/>
      <c r="D18" s="2256"/>
      <c r="E18" s="2257" t="s">
        <v>1953</v>
      </c>
      <c r="F18" s="2258" t="s">
        <v>1954</v>
      </c>
      <c r="G18" s="2259" t="s">
        <v>1955</v>
      </c>
      <c r="H18" s="1265" t="s">
        <v>1956</v>
      </c>
      <c r="I18" s="2260" t="s">
        <v>1957</v>
      </c>
      <c r="J18" s="1395"/>
      <c r="K18" s="1265" t="s">
        <v>1958</v>
      </c>
      <c r="L18" s="2261" t="s">
        <v>1959</v>
      </c>
      <c r="M18" s="1049" t="s">
        <v>1960</v>
      </c>
      <c r="N18" s="1265" t="s">
        <v>1958</v>
      </c>
      <c r="O18" s="2261" t="s">
        <v>1959</v>
      </c>
      <c r="P18" s="1049" t="s">
        <v>1960</v>
      </c>
      <c r="R18" s="1250" t="s">
        <v>1961</v>
      </c>
      <c r="S18" s="1250" t="s">
        <v>1962</v>
      </c>
    </row>
    <row r="19" spans="1:19">
      <c r="A19" s="2262"/>
      <c r="B19" s="50" t="s">
        <v>1935</v>
      </c>
      <c r="C19" s="2957" t="s">
        <v>3138</v>
      </c>
      <c r="D19" s="48">
        <f>ROUND($D$3*E19/$E$3,2)</f>
        <v>11400.66</v>
      </c>
      <c r="E19" s="56">
        <f t="shared" ref="E19:E26" si="1">SUM(F19:G19)</f>
        <v>6170.06</v>
      </c>
      <c r="F19" s="57">
        <f>'数据-基础表'!I16</f>
        <v>6170.06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11400.66</v>
      </c>
      <c r="S19" s="1251">
        <f t="shared" si="5"/>
        <v>6170.06</v>
      </c>
    </row>
    <row r="20" spans="1:19">
      <c r="A20" s="2266"/>
      <c r="B20" s="50" t="s">
        <v>1963</v>
      </c>
      <c r="C20" s="2957" t="s">
        <v>3140</v>
      </c>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1963</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1964</v>
      </c>
      <c r="D27" s="1396">
        <f>SUM(D19:D26)</f>
        <v>11400.66</v>
      </c>
      <c r="E27" s="1397">
        <f>IF(SUM(E19:E26)='数据-基础表'!BA5,SUM(E19:E26),IF(F27="地上面积有误","面积有误","地下面积有误"))</f>
        <v>6170.06</v>
      </c>
      <c r="F27" s="1396">
        <f>IF(SUM(F19:F26)=E8,SUM(F19:F26),"地上面积有误")</f>
        <v>6170.06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11400.66</v>
      </c>
      <c r="S27" s="1250">
        <f>IF(SUM(S19:S26)=$E$3,SUM(S19:S26),SUM(S19:S26)&amp;"误差"&amp;ROUND(SUM(S19:S26)-E3,2))</f>
        <v>6170.06</v>
      </c>
    </row>
    <row r="28" spans="1:19">
      <c r="A28" s="2266"/>
      <c r="B28" s="50" t="s">
        <v>1965</v>
      </c>
      <c r="C28" s="1262" t="s">
        <v>1966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1965</v>
      </c>
      <c r="C29" s="2270" t="s">
        <v>1967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1968</v>
      </c>
      <c r="D31" s="729">
        <f>D27+D30</f>
        <v>11400.66</v>
      </c>
      <c r="E31" s="729">
        <f>E27+E30</f>
        <v>6170.06</v>
      </c>
      <c r="F31" s="730">
        <f>F27+F30</f>
        <v>6170.06</v>
      </c>
      <c r="G31" s="731">
        <f>G27+G30</f>
        <v>0</v>
      </c>
      <c r="H31" s="1395"/>
      <c r="I31" s="1395"/>
      <c r="J31" s="1395"/>
      <c r="K31" s="1395"/>
      <c r="L31" s="1395"/>
      <c r="M31" s="1395"/>
      <c r="N31" s="1395"/>
      <c r="O31" s="1395"/>
      <c r="P31" s="1395"/>
    </row>
    <row r="32" spans="1:19">
      <c r="A32" s="2236"/>
      <c r="B32" s="2236" t="s">
        <v>1969</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1970</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1971</v>
      </c>
      <c r="B2" s="1269">
        <f>项目基本情况!D3</f>
        <v>43154</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1972</v>
      </c>
      <c r="B4" s="2284"/>
      <c r="C4" s="2285"/>
      <c r="D4" s="2286"/>
      <c r="E4" s="2285" t="s">
        <v>1973</v>
      </c>
      <c r="F4" s="2285"/>
      <c r="G4" s="2285"/>
      <c r="H4" s="2285"/>
      <c r="I4" s="2285"/>
      <c r="J4" s="2287"/>
      <c r="K4" s="2288"/>
      <c r="L4" s="2289"/>
      <c r="M4" s="2285"/>
      <c r="N4" s="2285" t="s">
        <v>1974</v>
      </c>
      <c r="O4" s="2285"/>
      <c r="P4" s="2285"/>
      <c r="Q4" s="2285"/>
      <c r="R4" s="2285"/>
      <c r="S4" s="2287"/>
      <c r="T4" s="2290" t="str">
        <f>'数据-汇总表'!I17</f>
        <v>按面积比例</v>
      </c>
      <c r="U4" s="2284" t="s">
        <v>1975</v>
      </c>
      <c r="V4" s="2285"/>
      <c r="W4" s="2285"/>
      <c r="X4" s="2285"/>
      <c r="Y4" s="2287"/>
      <c r="Z4" s="2247" t="s">
        <v>1976</v>
      </c>
      <c r="AA4" s="2247"/>
      <c r="AB4" s="2247"/>
      <c r="AC4" s="2247"/>
      <c r="AD4" s="2247"/>
      <c r="AE4" s="2245" t="s">
        <v>1977</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1978</v>
      </c>
      <c r="B5" s="2293" t="s">
        <v>1979</v>
      </c>
      <c r="C5" s="2294" t="s">
        <v>1980</v>
      </c>
      <c r="D5" s="2295" t="s">
        <v>1981</v>
      </c>
      <c r="E5" s="1271" t="s">
        <v>1982</v>
      </c>
      <c r="F5" s="2296" t="s">
        <v>1983</v>
      </c>
      <c r="G5" s="1271" t="s">
        <v>1984</v>
      </c>
      <c r="H5" s="1271" t="s">
        <v>1985</v>
      </c>
      <c r="I5" s="1271" t="s">
        <v>1986</v>
      </c>
      <c r="J5" s="2297" t="s">
        <v>1987</v>
      </c>
      <c r="K5" s="2298" t="s">
        <v>1988</v>
      </c>
      <c r="L5" s="2299" t="s">
        <v>1989</v>
      </c>
      <c r="M5" s="2300" t="s">
        <v>1990</v>
      </c>
      <c r="N5" s="2301" t="s">
        <v>3065</v>
      </c>
      <c r="O5" s="2299" t="s">
        <v>1991</v>
      </c>
      <c r="P5" s="2302" t="s">
        <v>1992</v>
      </c>
      <c r="Q5" s="69" t="s">
        <v>1993</v>
      </c>
      <c r="R5" s="2303" t="s">
        <v>1994</v>
      </c>
      <c r="S5" s="2304" t="s">
        <v>1995</v>
      </c>
      <c r="T5" s="2305" t="s">
        <v>1996</v>
      </c>
      <c r="U5" s="1270" t="s">
        <v>1997</v>
      </c>
      <c r="V5" s="1271" t="s">
        <v>1998</v>
      </c>
      <c r="W5" s="1271" t="s">
        <v>1999</v>
      </c>
      <c r="X5" s="71"/>
      <c r="Y5" s="70" t="s">
        <v>2000</v>
      </c>
      <c r="Z5" s="2306" t="s">
        <v>1997</v>
      </c>
      <c r="AA5" s="1271" t="s">
        <v>1998</v>
      </c>
      <c r="AB5" s="1271" t="s">
        <v>1999</v>
      </c>
      <c r="AC5" s="71"/>
      <c r="AD5" s="71" t="s">
        <v>2000</v>
      </c>
      <c r="AE5" s="1270" t="s">
        <v>2001</v>
      </c>
      <c r="AF5" s="1271" t="s">
        <v>2002</v>
      </c>
      <c r="AG5" s="70" t="s">
        <v>2003</v>
      </c>
      <c r="AH5" s="1270" t="s">
        <v>2004</v>
      </c>
      <c r="AI5" s="2306" t="s">
        <v>2005</v>
      </c>
      <c r="AJ5" s="2306" t="s">
        <v>2006</v>
      </c>
      <c r="AK5" s="1271" t="s">
        <v>2007</v>
      </c>
      <c r="AL5" s="1271" t="s">
        <v>2008</v>
      </c>
      <c r="AM5" s="70" t="s">
        <v>2009</v>
      </c>
      <c r="AN5" s="2307" t="s">
        <v>2010</v>
      </c>
      <c r="AO5" s="2077" t="s">
        <v>2011</v>
      </c>
      <c r="AP5" s="1252" t="s">
        <v>2012</v>
      </c>
      <c r="AQ5" s="2308" t="s">
        <v>2013</v>
      </c>
      <c r="AR5" s="2308" t="s">
        <v>2014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旧厂房</v>
      </c>
      <c r="B6" s="2310" t="str">
        <f>IF(A6=0,"","经营性")</f>
        <v>经营性</v>
      </c>
      <c r="C6" s="2311" t="s">
        <v>6</v>
      </c>
      <c r="D6" s="1054">
        <f>SUMIF(项目基本情况!D$12:I$12,C6,项目基本情况!D$14:I$14)</f>
        <v>50</v>
      </c>
      <c r="E6" s="1051">
        <f>IF(B6="","",SUMIF(项目基本情况!D$12:I$12,C6,项目基本情况!D$13:I$13))</f>
        <v>57122</v>
      </c>
      <c r="F6" s="72">
        <f>SUMIF(项目基本情况!D$12:I$12,C6,项目基本情况!D$15:I$15)</f>
        <v>38.26</v>
      </c>
      <c r="G6" s="73">
        <f>IF(ISERROR(ROUND(POWER(1+H6,D6-F6)*(POWER(1+H6,F6)-1)/(POWER(1+H6,D6)-1),3)),0,ROUND(POWER(1+H6,D6-F6)*(POWER(1+H6,F6)-1)/(POWER(1+H6,D6)-1),3))</f>
        <v>0.90400000000000003</v>
      </c>
      <c r="H6" s="802">
        <v>0.04</v>
      </c>
      <c r="I6" s="802">
        <v>4.4999999999999998E-2</v>
      </c>
      <c r="J6" s="74">
        <v>0.08</v>
      </c>
      <c r="K6" s="1254">
        <f>SUMIF('数据-汇总表'!C$19:C$33,A6,'数据-汇总表'!E$19:E$33)</f>
        <v>6170.06</v>
      </c>
      <c r="L6" s="803">
        <v>600</v>
      </c>
      <c r="M6" s="75">
        <f t="shared" ref="M6:M14" si="0">ROUND(K6*L6/10000,0)</f>
        <v>370</v>
      </c>
      <c r="N6" s="801">
        <v>0.2</v>
      </c>
      <c r="O6" s="75" t="str">
        <f>IF($N$5="成新度","——",ROUND(M6*N6,0))</f>
        <v>——</v>
      </c>
      <c r="P6" s="76" t="str">
        <f>IF($N$5="成新度","——",M6-O6)</f>
        <v>——</v>
      </c>
      <c r="Q6" s="804">
        <v>0.1</v>
      </c>
      <c r="R6" s="77">
        <f ca="1">SUMIF('数据-汇总表'!C$19:C$33,A6,'数据-汇总表'!R$19:R$27)</f>
        <v>11400.66</v>
      </c>
      <c r="S6" s="54">
        <f>IF('数据-汇总表'!$I$17="按面积比例",SUMIF('数据-汇总表'!C$19:C$33,A6,'数据-汇总表'!K$19:K$33),SUMIF('数据-汇总表'!C$19:C$33,A6,'数据-汇总表'!N$19:N$33))</f>
        <v>0</v>
      </c>
      <c r="T6" s="1446">
        <f>ROUND($L$14*S6/10000,0)</f>
        <v>0</v>
      </c>
      <c r="U6" s="78">
        <v>0.5</v>
      </c>
      <c r="V6" s="79">
        <v>0.02</v>
      </c>
      <c r="W6" s="79">
        <v>0.1</v>
      </c>
      <c r="X6" s="1264"/>
      <c r="Y6" s="80">
        <f>N6</f>
        <v>0.2</v>
      </c>
      <c r="Z6" s="81"/>
      <c r="AA6" s="74"/>
      <c r="AB6" s="74"/>
      <c r="AC6" s="1264"/>
      <c r="AD6" s="82"/>
      <c r="AE6" s="1265">
        <f ca="1">IF(AN6="",0,SUMIF(INDIRECT("'"&amp;AN6&amp;"'"&amp;"!E:E"),$AE$5,INDIRECT("'"&amp;AN6&amp;"'"&amp;"!F:F")))</f>
        <v>38.26</v>
      </c>
      <c r="AF6" s="1807"/>
      <c r="AG6" s="147">
        <f>IF(AF6="",0,AE6-AF6)</f>
        <v>0</v>
      </c>
      <c r="AH6" s="83"/>
      <c r="AI6" s="85">
        <v>365</v>
      </c>
      <c r="AJ6" s="87">
        <v>1.2E-2</v>
      </c>
      <c r="AK6" s="87">
        <v>1.4999999999999999E-2</v>
      </c>
      <c r="AL6" s="88">
        <v>1.5E-3</v>
      </c>
      <c r="AM6" s="89">
        <v>0.01</v>
      </c>
      <c r="AN6" s="2312" t="s">
        <v>3134</v>
      </c>
      <c r="AO6" s="55">
        <f ca="1">SUMIF(INDIRECT("'"&amp;AN6&amp;"'"&amp;"!A:A"),"总价",INDIRECT("'"&amp;AN6&amp;"'"&amp;"!B:B"))</f>
        <v>1737</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孵化中心</v>
      </c>
      <c r="B7" s="2310" t="str">
        <f t="shared" ref="B7:B13" si="1">IF(A7=0,"","经营性")</f>
        <v>经营性</v>
      </c>
      <c r="C7" s="2311" t="s">
        <v>6</v>
      </c>
      <c r="D7" s="1054">
        <f>SUMIF(项目基本情况!D$12:I$12,C7,项目基本情况!D$14:I$14)</f>
        <v>50</v>
      </c>
      <c r="E7" s="1051">
        <f>IF(B7="","",SUMIF(项目基本情况!D$12:I$12,C7,项目基本情况!D$13:I$13))</f>
        <v>57122</v>
      </c>
      <c r="F7" s="72">
        <f>SUMIF(项目基本情况!D$12:I$12,C7,项目基本情况!D$15:I$15)</f>
        <v>38.26</v>
      </c>
      <c r="G7" s="73">
        <f t="shared" ref="G7:G11" si="2">IF(ISERROR(ROUND(POWER(1+H7,D7-F7)*(POWER(1+H7,F7)-1)/(POWER(1+H7,D7)-1),3)),0,ROUND(POWER(1+H7,D7-F7)*(POWER(1+H7,F7)-1)/(POWER(1+H7,D7)-1),3))</f>
        <v>0.90400000000000003</v>
      </c>
      <c r="H7" s="802">
        <v>0.04</v>
      </c>
      <c r="I7" s="802">
        <v>4.4999999999999998E-2</v>
      </c>
      <c r="J7" s="74">
        <v>0.08</v>
      </c>
      <c r="K7" s="1254">
        <f>SUMIF('数据-汇总表'!C$19:C$33,A7,'数据-汇总表'!E$19:E$33)</f>
        <v>0</v>
      </c>
      <c r="L7" s="803">
        <v>2200</v>
      </c>
      <c r="M7" s="75">
        <f t="shared" si="0"/>
        <v>0</v>
      </c>
      <c r="N7" s="801">
        <v>1</v>
      </c>
      <c r="O7" s="75" t="str">
        <f t="shared" ref="O7:O14" si="3">IF($N$5="成新度","——",ROUND(M7*N7,0))</f>
        <v>——</v>
      </c>
      <c r="P7" s="76" t="str">
        <f t="shared" ref="P7:P14" si="4">IF($N$5="成新度","——",M7-O7)</f>
        <v>——</v>
      </c>
      <c r="Q7" s="804">
        <v>0.1</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v>1.2</v>
      </c>
      <c r="V7" s="79">
        <v>2.5000000000000001E-2</v>
      </c>
      <c r="W7" s="79">
        <v>0.1</v>
      </c>
      <c r="X7" s="1264"/>
      <c r="Y7" s="80">
        <v>1</v>
      </c>
      <c r="Z7" s="81"/>
      <c r="AA7" s="74"/>
      <c r="AB7" s="74"/>
      <c r="AC7" s="1264"/>
      <c r="AD7" s="82"/>
      <c r="AE7" s="1265">
        <f t="shared" ref="AE7:AE13" ca="1" si="6">IF(AN7="",0,SUMIF(INDIRECT("'"&amp;AN7&amp;"'"&amp;"!E:E"),$AE$5,INDIRECT("'"&amp;AN7&amp;"'"&amp;"!F:F")))</f>
        <v>38.26</v>
      </c>
      <c r="AF7" s="1807"/>
      <c r="AG7" s="147">
        <f t="shared" ref="AG7:AG13" si="7">IF(AF7="",0,AE7-AF7)</f>
        <v>0</v>
      </c>
      <c r="AH7" s="83"/>
      <c r="AI7" s="85">
        <v>365</v>
      </c>
      <c r="AJ7" s="87">
        <v>1.2E-2</v>
      </c>
      <c r="AK7" s="87">
        <v>1.4999999999999999E-2</v>
      </c>
      <c r="AL7" s="88">
        <v>1.5E-3</v>
      </c>
      <c r="AM7" s="89">
        <v>0.01</v>
      </c>
      <c r="AN7" s="2312" t="s">
        <v>3141</v>
      </c>
      <c r="AO7" s="55">
        <f t="shared" ref="AO7:AO13" ca="1" si="8">SUMIF(INDIRECT("'"&amp;AN7&amp;"'"&amp;"!A:A"),"总价",INDIRECT("'"&amp;AN7&amp;"'"&amp;"!B:B"))</f>
        <v>0</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2015</v>
      </c>
      <c r="B14" s="2310" t="s">
        <v>2016</v>
      </c>
      <c r="C14" s="2315" t="s">
        <v>2015</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2017</v>
      </c>
      <c r="B15" s="2310" t="s">
        <v>2016</v>
      </c>
      <c r="C15" s="2315"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2019</v>
      </c>
      <c r="B16" s="97"/>
      <c r="C16" s="1008"/>
      <c r="D16" s="2317"/>
      <c r="E16" s="97"/>
      <c r="F16" s="97"/>
      <c r="G16" s="98">
        <f>ROUND(SUMPRODUCT(G6:G13,K6:K13)/SUMPRODUCT((G6:G13&gt;0)*(K6:K13)),3)</f>
        <v>0.90400000000000003</v>
      </c>
      <c r="H16" s="99">
        <f>ROUND(SUMPRODUCT(H6:H13,K6:K13)/SUMPRODUCT((H6:H13&gt;0)*(K6:K13)),3)</f>
        <v>0.04</v>
      </c>
      <c r="I16" s="100"/>
      <c r="J16" s="100"/>
      <c r="K16" s="101">
        <f>SUM(K6:K15)</f>
        <v>6170.06</v>
      </c>
      <c r="L16" s="102">
        <f>ROUND(M16*10000/SUM(K6:K14),0)</f>
        <v>600</v>
      </c>
      <c r="M16" s="102">
        <f>SUM(M6:M14)</f>
        <v>370</v>
      </c>
      <c r="N16" s="103">
        <f>ROUND(SUMPRODUCT(M6:M14,N6:N14)/M16,3)</f>
        <v>0.2</v>
      </c>
      <c r="O16" s="102">
        <f>SUM(O6:O14)</f>
        <v>0</v>
      </c>
      <c r="P16" s="102">
        <f>SUM(P6:P14)</f>
        <v>0</v>
      </c>
      <c r="Q16" s="104">
        <f>ROUND(SUMPRODUCT(Q6:Q13,K6:K13)/SUMPRODUCT((Q6:Q13&gt;0)*(K6:K13)),2)</f>
        <v>0.1</v>
      </c>
      <c r="R16" s="1258">
        <f ca="1">SUM(R6:R13)</f>
        <v>11400.66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2021</v>
      </c>
      <c r="B19" s="112">
        <v>0</v>
      </c>
      <c r="C19" s="2280" t="s">
        <v>2022</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2023</v>
      </c>
      <c r="B20" s="113">
        <v>1.5</v>
      </c>
      <c r="C20" s="2280" t="s">
        <v>2024</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2025</v>
      </c>
      <c r="B21" s="113">
        <v>1.5</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2026</v>
      </c>
      <c r="B22" s="114">
        <f>B19+B20</f>
        <v>1.5</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2027</v>
      </c>
      <c r="B23" s="114">
        <f>B19+B21</f>
        <v>1.5</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2028</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2029</v>
      </c>
      <c r="B26" s="2323" t="s">
        <v>2030</v>
      </c>
      <c r="C26" s="2324" t="s">
        <v>2031</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2032</v>
      </c>
      <c r="B27" s="116"/>
      <c r="C27" s="1767" t="s">
        <v>2033</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2034</v>
      </c>
      <c r="B28" s="119">
        <v>190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2035</v>
      </c>
      <c r="B29" s="121"/>
      <c r="C29" s="1767" t="s">
        <v>2036</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2037</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2038</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2039</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2040</v>
      </c>
      <c r="B33" s="726">
        <v>0.03</v>
      </c>
      <c r="C33" s="1766" t="s">
        <v>2041</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2042</v>
      </c>
      <c r="B34" s="122">
        <v>0</v>
      </c>
      <c r="C34" s="1766" t="s">
        <v>2043</v>
      </c>
      <c r="D34" s="2281" t="s">
        <v>2044</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2045</v>
      </c>
      <c r="B35" s="119">
        <v>150</v>
      </c>
      <c r="C35" s="1766" t="s">
        <v>2046</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2047</v>
      </c>
      <c r="B36" s="123">
        <v>1.4999999999999999E-2</v>
      </c>
      <c r="C36" s="1766" t="s">
        <v>2048</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2049</v>
      </c>
      <c r="B37" s="124">
        <v>0.03</v>
      </c>
      <c r="C37" s="1766" t="s">
        <v>2050</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2051</v>
      </c>
      <c r="B38" s="122">
        <v>0.03</v>
      </c>
      <c r="C38" s="1766" t="s">
        <v>2050</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2052</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2053</v>
      </c>
      <c r="B40" s="1303">
        <f ca="1">存贷款利率!G1</f>
        <v>4.7500000000000001E-2</v>
      </c>
      <c r="C40" s="1766" t="s">
        <v>2054</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2055</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2056</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2057</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2058</v>
      </c>
      <c r="B44" s="128">
        <v>0.05</v>
      </c>
      <c r="C44" s="1766" t="s">
        <v>2059</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2060</v>
      </c>
      <c r="B45" s="126">
        <v>0.03</v>
      </c>
      <c r="C45" s="1767" t="s">
        <v>2061</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2062</v>
      </c>
      <c r="B46" s="126">
        <v>0.02</v>
      </c>
      <c r="C46" s="1767" t="s">
        <v>2063</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2064</v>
      </c>
      <c r="B47" s="129"/>
      <c r="C47" s="1767" t="s">
        <v>2065</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2066</v>
      </c>
      <c r="B48" s="130">
        <v>0.03</v>
      </c>
      <c r="C48" s="1774" t="s">
        <v>2067</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2068</v>
      </c>
      <c r="B49" s="126">
        <v>5.0000000000000001E-4</v>
      </c>
      <c r="C49" s="1774" t="s">
        <v>2069</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2070</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2071</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2072</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2073</v>
      </c>
      <c r="B53" s="2339" t="s">
        <v>56</v>
      </c>
      <c r="C53" s="1430" t="s">
        <v>2074</v>
      </c>
      <c r="D53" s="2340" t="s">
        <v>2075</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2076</v>
      </c>
      <c r="B54" s="117">
        <v>30</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2077</v>
      </c>
      <c r="B55" s="117">
        <v>24</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2078</v>
      </c>
      <c r="B56" s="117">
        <v>18</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2079</v>
      </c>
      <c r="B57" s="117">
        <v>12</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2080</v>
      </c>
      <c r="B58" s="117">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2081</v>
      </c>
      <c r="B59" s="117">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2082</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2083</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2084</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2085</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61" t="s">
        <v>2086</v>
      </c>
      <c r="B1" s="3062"/>
      <c r="C1" s="3062"/>
      <c r="D1" s="3062"/>
      <c r="E1" s="3062"/>
      <c r="F1" s="3062"/>
      <c r="G1" s="306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2087</v>
      </c>
      <c r="D2" s="2369"/>
      <c r="E2" s="2370"/>
      <c r="F2" s="2289"/>
      <c r="G2" s="2368" t="s">
        <v>2088</v>
      </c>
      <c r="H2" s="2371"/>
      <c r="I2" s="2371"/>
      <c r="J2" s="2371"/>
      <c r="K2" s="2371"/>
      <c r="L2" s="2371"/>
      <c r="M2" s="2371"/>
      <c r="N2" s="2371"/>
      <c r="O2" s="2371"/>
      <c r="P2" s="2371"/>
      <c r="Q2" s="2371"/>
      <c r="R2" s="2371"/>
    </row>
    <row r="3" spans="1:29" ht="54">
      <c r="A3" s="415" t="s">
        <v>2089</v>
      </c>
      <c r="B3" s="1271" t="s">
        <v>2090</v>
      </c>
      <c r="C3" s="2373" t="s">
        <v>2091</v>
      </c>
      <c r="D3" s="2374"/>
      <c r="E3" s="431" t="s">
        <v>2089</v>
      </c>
      <c r="F3" s="2375" t="s">
        <v>2092</v>
      </c>
      <c r="G3" s="2376" t="s">
        <v>2093</v>
      </c>
      <c r="H3" s="2371"/>
      <c r="I3" s="2371"/>
      <c r="J3" s="2371"/>
      <c r="K3" s="2371"/>
      <c r="L3" s="2371"/>
      <c r="M3" s="2371"/>
      <c r="N3" s="2371"/>
      <c r="O3" s="2371"/>
      <c r="P3" s="2371"/>
      <c r="Q3" s="2371"/>
      <c r="R3" s="2371"/>
    </row>
    <row r="4" spans="1:29" ht="41.25">
      <c r="A4" s="431"/>
      <c r="B4" s="1798" t="s">
        <v>2094</v>
      </c>
      <c r="C4" s="2377" t="s">
        <v>2095</v>
      </c>
      <c r="D4" s="2374"/>
      <c r="E4" s="2378"/>
      <c r="F4" s="42" t="s">
        <v>2096</v>
      </c>
      <c r="G4" s="2379" t="s">
        <v>2097</v>
      </c>
      <c r="H4" s="2371"/>
      <c r="I4" s="2371"/>
      <c r="J4" s="2371"/>
      <c r="K4" s="2371"/>
      <c r="L4" s="2371"/>
      <c r="M4" s="2371"/>
      <c r="N4" s="2371"/>
      <c r="O4" s="2371"/>
      <c r="P4" s="2371"/>
      <c r="Q4" s="2371"/>
      <c r="R4" s="2371"/>
    </row>
    <row r="5" spans="1:29" ht="41.25">
      <c r="A5" s="431"/>
      <c r="B5" s="1798" t="s">
        <v>2098</v>
      </c>
      <c r="C5" s="2377" t="s">
        <v>2099</v>
      </c>
      <c r="D5" s="2374"/>
      <c r="E5" s="2378"/>
      <c r="F5" s="1798" t="s">
        <v>2100</v>
      </c>
      <c r="G5" s="2379" t="s">
        <v>2101</v>
      </c>
      <c r="H5" s="2371"/>
      <c r="I5" s="2371"/>
      <c r="J5" s="2371"/>
      <c r="K5" s="2371"/>
      <c r="L5" s="2371"/>
      <c r="M5" s="2371"/>
      <c r="N5" s="2371"/>
      <c r="O5" s="2371"/>
      <c r="P5" s="2371"/>
      <c r="Q5" s="2371"/>
      <c r="R5" s="2371"/>
    </row>
    <row r="6" spans="1:29" ht="54">
      <c r="A6" s="431"/>
      <c r="B6" s="1798" t="s">
        <v>2102</v>
      </c>
      <c r="C6" s="2379" t="s">
        <v>2097</v>
      </c>
      <c r="D6" s="2374"/>
      <c r="E6" s="2378"/>
      <c r="F6" s="1798" t="s">
        <v>2103</v>
      </c>
      <c r="G6" s="2379" t="s">
        <v>2104</v>
      </c>
      <c r="H6" s="2371"/>
      <c r="I6" s="2371"/>
      <c r="J6" s="2371"/>
      <c r="K6" s="2371"/>
      <c r="L6" s="2371"/>
      <c r="M6" s="2371"/>
      <c r="N6" s="2371"/>
      <c r="O6" s="2371"/>
      <c r="P6" s="2371"/>
      <c r="Q6" s="2371"/>
      <c r="R6" s="2371"/>
    </row>
    <row r="7" spans="1:29" ht="41.25" thickBot="1">
      <c r="A7" s="431"/>
      <c r="B7" s="1798" t="s">
        <v>2100</v>
      </c>
      <c r="C7" s="2379" t="s">
        <v>2101</v>
      </c>
      <c r="D7" s="2380"/>
      <c r="E7" s="2381"/>
      <c r="F7" s="2382" t="s">
        <v>2105</v>
      </c>
      <c r="G7" s="2383" t="s">
        <v>2106</v>
      </c>
      <c r="H7" s="2371"/>
      <c r="I7" s="2371"/>
      <c r="J7" s="2371"/>
      <c r="K7" s="2371"/>
      <c r="L7" s="2371"/>
      <c r="M7" s="2371"/>
      <c r="N7" s="2371"/>
      <c r="O7" s="2371"/>
      <c r="P7" s="2371"/>
      <c r="Q7" s="2371"/>
      <c r="R7" s="2371"/>
    </row>
    <row r="8" spans="1:29" ht="27">
      <c r="A8" s="431"/>
      <c r="B8" s="1798" t="s">
        <v>2103</v>
      </c>
      <c r="C8" s="2379" t="s">
        <v>2104</v>
      </c>
      <c r="D8" s="2380"/>
      <c r="E8" s="2380"/>
      <c r="F8" s="1136"/>
      <c r="G8" s="1136"/>
      <c r="H8" s="2371"/>
      <c r="I8" s="2371"/>
      <c r="J8" s="2371"/>
      <c r="K8" s="2371"/>
      <c r="L8" s="2371"/>
      <c r="M8" s="2371"/>
      <c r="N8" s="2371"/>
      <c r="O8" s="2371"/>
      <c r="P8" s="2371"/>
      <c r="Q8" s="2371"/>
      <c r="R8" s="2371"/>
    </row>
    <row r="9" spans="1:29" ht="27">
      <c r="A9" s="431"/>
      <c r="B9" s="1798" t="s">
        <v>2107</v>
      </c>
      <c r="C9" s="2377" t="s">
        <v>2108</v>
      </c>
      <c r="D9" s="2374"/>
      <c r="E9" s="2380"/>
      <c r="F9" s="1136"/>
      <c r="G9" s="1136"/>
      <c r="H9" s="2371"/>
      <c r="I9" s="2371"/>
      <c r="J9" s="2371"/>
      <c r="K9" s="2371"/>
      <c r="L9" s="2371"/>
      <c r="M9" s="2371"/>
      <c r="N9" s="2371"/>
      <c r="O9" s="2371"/>
      <c r="P9" s="2371"/>
      <c r="Q9" s="2371"/>
      <c r="R9" s="2371"/>
    </row>
    <row r="10" spans="1:29" s="117" customFormat="1" ht="15.75" thickBot="1">
      <c r="A10" s="2384"/>
      <c r="B10" s="2385" t="s">
        <v>2109</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2110</v>
      </c>
      <c r="B13" s="2391"/>
      <c r="C13" s="2391"/>
      <c r="D13" s="2398"/>
      <c r="E13" s="2391"/>
      <c r="F13" s="2391"/>
      <c r="G13" s="2391"/>
    </row>
    <row r="14" spans="1:29" ht="15.75" thickBot="1">
      <c r="A14" s="2402"/>
      <c r="B14" s="2403"/>
      <c r="C14" s="2404" t="s">
        <v>2111</v>
      </c>
      <c r="D14" s="2374"/>
      <c r="E14" s="2405"/>
      <c r="F14" s="2405"/>
      <c r="G14" s="2368" t="s">
        <v>2112</v>
      </c>
    </row>
    <row r="15" spans="1:29" ht="57">
      <c r="A15" s="68" t="s">
        <v>2113</v>
      </c>
      <c r="B15" s="1270" t="s">
        <v>2090</v>
      </c>
      <c r="C15" s="2406" t="str">
        <f>C3</f>
        <v>估价对象周边居住用地比例、居住小区规模和社区发展完善程度，综合评价居住社区成熟度一般</v>
      </c>
      <c r="D15" s="2374"/>
      <c r="E15" s="2407" t="s">
        <v>2114</v>
      </c>
      <c r="F15" s="1270" t="s">
        <v>2115</v>
      </c>
      <c r="G15" s="135" t="str">
        <f>G3</f>
        <v>估价对象位于XX开发区，园区建设成熟度XX，产业集聚程度XX</v>
      </c>
    </row>
    <row r="16" spans="1:29" ht="42.75">
      <c r="A16" s="645"/>
      <c r="B16" s="2408" t="s">
        <v>2094</v>
      </c>
      <c r="C16" s="2409" t="str">
        <f>C4</f>
        <v>估价对象位于XX商圈，周边商业氛围成熟，人流量大，商业繁华度好</v>
      </c>
      <c r="D16" s="2374"/>
      <c r="E16" s="2410"/>
      <c r="F16" s="2411" t="s">
        <v>2096</v>
      </c>
      <c r="G16" s="136" t="str">
        <f>G4</f>
        <v>估价对象周边道路状况、公共交通通达情况、停车便捷程度，综合评价交通便捷度较好</v>
      </c>
    </row>
    <row r="17" spans="1:18" ht="42.75">
      <c r="A17" s="645"/>
      <c r="B17" s="2408" t="s">
        <v>2098</v>
      </c>
      <c r="C17" s="2409" t="str">
        <f>C5</f>
        <v>估价对象位于XX商圈，周边办公楼项目较多，入驻率高，办公集聚程度较好</v>
      </c>
      <c r="D17" s="2380"/>
      <c r="E17" s="2410"/>
      <c r="F17" s="2411" t="s">
        <v>2116</v>
      </c>
      <c r="G17" s="1572"/>
    </row>
    <row r="18" spans="1:18" ht="57">
      <c r="A18" s="645"/>
      <c r="B18" s="2411" t="s">
        <v>2102</v>
      </c>
      <c r="C18" s="136" t="str">
        <f>C6</f>
        <v>估价对象周边道路状况、公共交通通达情况、停车便捷程度，综合评价交通便捷度较好</v>
      </c>
      <c r="D18" s="2380"/>
      <c r="E18" s="2410"/>
      <c r="F18" s="2411" t="s">
        <v>2105</v>
      </c>
      <c r="G18" s="136" t="str">
        <f>G7</f>
        <v>该园区内是否有污染型企业，绿化情况，卫生条件，整体环境状况判断</v>
      </c>
    </row>
    <row r="19" spans="1:18" ht="28.5">
      <c r="A19" s="645"/>
      <c r="B19" s="2411" t="s">
        <v>2117</v>
      </c>
      <c r="C19" s="1572"/>
      <c r="D19" s="2374"/>
      <c r="E19" s="2410"/>
      <c r="F19" s="1798" t="s">
        <v>2100</v>
      </c>
      <c r="G19" s="136" t="str">
        <f>G5</f>
        <v>估价对象所在区域公共配套设施齐备情况</v>
      </c>
    </row>
    <row r="20" spans="1:18" ht="28.5">
      <c r="A20" s="645"/>
      <c r="B20" s="2411" t="s">
        <v>2118</v>
      </c>
      <c r="C20" s="2409" t="str">
        <f>C9</f>
        <v>区域自然环境：；人文环境；综合评价环境状况一般</v>
      </c>
      <c r="D20" s="2380"/>
      <c r="E20" s="2410"/>
      <c r="F20" s="1798" t="s">
        <v>2119</v>
      </c>
      <c r="G20" s="136" t="str">
        <f>G6</f>
        <v>估价对象所在区域基础设施水平</v>
      </c>
    </row>
    <row r="21" spans="1:18" ht="28.5">
      <c r="A21" s="645"/>
      <c r="B21" s="1798" t="s">
        <v>2100</v>
      </c>
      <c r="C21" s="136" t="str">
        <f>C7</f>
        <v>估价对象所在区域公共配套设施齐备情况</v>
      </c>
      <c r="D21" s="2374"/>
      <c r="E21" s="2410"/>
      <c r="F21" s="2411" t="s">
        <v>2120</v>
      </c>
      <c r="G21" s="2412"/>
    </row>
    <row r="22" spans="1:18" ht="13.5" customHeight="1">
      <c r="A22" s="645"/>
      <c r="B22" s="1798" t="s">
        <v>2103</v>
      </c>
      <c r="C22" s="136" t="str">
        <f>C8</f>
        <v>估价对象所在区域基础设施水平</v>
      </c>
      <c r="D22" s="2374"/>
      <c r="E22" s="2410"/>
      <c r="F22" s="2411" t="s">
        <v>2109</v>
      </c>
      <c r="G22" s="1572"/>
    </row>
    <row r="23" spans="1:18" s="2371" customFormat="1" ht="15.75" thickBot="1">
      <c r="A23" s="645"/>
      <c r="B23" s="2411" t="s">
        <v>2120</v>
      </c>
      <c r="C23" s="2412"/>
      <c r="D23" s="2399"/>
      <c r="E23" s="2413"/>
      <c r="F23" s="2414" t="s">
        <v>2121</v>
      </c>
      <c r="G23" s="2415"/>
      <c r="H23" s="2399"/>
      <c r="I23" s="2400"/>
      <c r="J23" s="2399"/>
      <c r="K23" s="2399"/>
      <c r="L23" s="2400"/>
      <c r="M23" s="2399"/>
      <c r="N23" s="2399"/>
      <c r="O23" s="2400"/>
      <c r="P23" s="2399"/>
      <c r="Q23" s="2399"/>
      <c r="R23" s="2401"/>
    </row>
    <row r="24" spans="1:18" s="2371" customFormat="1" ht="15.75" thickBot="1">
      <c r="A24" s="2416"/>
      <c r="B24" s="2414" t="s">
        <v>2122</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C26" sqref="C26"/>
    </sheetView>
  </sheetViews>
  <sheetFormatPr defaultRowHeight="13.5"/>
  <cols>
    <col min="1" max="1" width="23.375" style="1741" customWidth="1"/>
    <col min="2" max="9" width="15.75" style="1741" customWidth="1"/>
    <col min="10" max="16384" width="9" style="1741"/>
  </cols>
  <sheetData>
    <row r="1" spans="1:10" ht="16.5">
      <c r="A1" s="1746" t="s">
        <v>1365</v>
      </c>
      <c r="B1" s="1746">
        <f>SUM(B14:B23)</f>
        <v>30985.83</v>
      </c>
      <c r="C1" s="1745"/>
      <c r="D1" s="1745"/>
      <c r="E1" s="1745"/>
      <c r="F1" s="1745"/>
      <c r="G1" s="1743"/>
    </row>
    <row r="2" spans="1:10" ht="16.5">
      <c r="A2" s="1746" t="s">
        <v>1353</v>
      </c>
      <c r="B2" s="1746">
        <f>SUM(C14:C23)</f>
        <v>57253.72</v>
      </c>
      <c r="C2" s="1745"/>
      <c r="D2" s="1745"/>
      <c r="E2" s="1745"/>
      <c r="F2" s="1745"/>
      <c r="G2" s="1743"/>
    </row>
    <row r="3" spans="1:10" ht="16.5">
      <c r="A3" s="1746" t="s">
        <v>1362</v>
      </c>
      <c r="B3" s="1747">
        <f>项目基本情况!D3</f>
        <v>43154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14960</v>
      </c>
      <c r="C5" s="1746">
        <f ca="1">ROUND(B5*10000/$B$1,0)</f>
        <v>4828</v>
      </c>
      <c r="D5" s="1746">
        <f ca="1">ROUND(B5*10000/$B$2,0)</f>
        <v>2613</v>
      </c>
      <c r="E5" s="1745"/>
      <c r="F5" s="1743"/>
      <c r="G5" s="1743"/>
    </row>
    <row r="6" spans="1:10" ht="16.5">
      <c r="A6" s="1746" t="s">
        <v>1356</v>
      </c>
      <c r="B6" s="1746">
        <f ca="1">SUM(G14:G23)</f>
        <v>14960</v>
      </c>
      <c r="C6" s="1746">
        <f ca="1">ROUND(B6*10000/$B$1,0)</f>
        <v>4828</v>
      </c>
      <c r="D6" s="1746">
        <f ca="1">ROUND(B6*10000/$B$2,0)</f>
        <v>2613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6170.06</v>
      </c>
      <c r="C14" s="1744">
        <f>结果表!C118</f>
        <v>11400.66</v>
      </c>
      <c r="D14" s="1744">
        <f ca="1">结果表!H118</f>
        <v>1984</v>
      </c>
      <c r="E14" s="1744">
        <f ca="1">ROUND(D14*10000/B14,0)</f>
        <v>3216</v>
      </c>
      <c r="F14" s="1744">
        <f ca="1">ROUND(D14*10000/C14,0)</f>
        <v>1740</v>
      </c>
      <c r="G14" s="1744">
        <f ca="1">结果表!D122</f>
        <v>1984</v>
      </c>
      <c r="H14" s="1744" t="str">
        <f>结果表!D124</f>
        <v>——</v>
      </c>
      <c r="I14" s="1744" t="str">
        <f>结果表!D126</f>
        <v>——</v>
      </c>
      <c r="J14" s="1743"/>
    </row>
    <row r="15" spans="1:10" ht="16.5">
      <c r="A15" s="1742" t="s">
        <v>1349</v>
      </c>
      <c r="B15" s="1749">
        <f>[1]结果表!$L$18</f>
        <v>24815.77</v>
      </c>
      <c r="C15" s="1749">
        <f>[1]结果表!$L$19</f>
        <v>45853.06</v>
      </c>
      <c r="D15" s="1749">
        <f ca="1">[1]系统读取表!$D$14</f>
        <v>12976</v>
      </c>
      <c r="E15" s="1744">
        <f t="shared" ref="E15:E23" ca="1" si="0">ROUND(D15*10000/B15,0)</f>
        <v>5229</v>
      </c>
      <c r="F15" s="1744">
        <f t="shared" ref="F15:F23" ca="1" si="1">ROUND(D15*10000/C15,0)</f>
        <v>2830</v>
      </c>
      <c r="G15" s="1750">
        <f ca="1">D15</f>
        <v>12976</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3" zoomScaleSheetLayoutView="100" zoomScalePageLayoutView="80" workbookViewId="0">
      <selection activeCell="G28" sqref="G2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2123</v>
      </c>
      <c r="B1" s="2422"/>
      <c r="C1" s="2423"/>
      <c r="D1" s="2422"/>
      <c r="E1" s="2422"/>
      <c r="F1" s="2424" t="s">
        <v>2124</v>
      </c>
      <c r="G1" s="2073" t="s">
        <v>3056</v>
      </c>
      <c r="H1" s="2425" t="str">
        <f>IF(G1="现房","——","估价对象范围")</f>
        <v>——</v>
      </c>
      <c r="I1" s="2426"/>
    </row>
    <row r="2" spans="1:12" ht="21.75" customHeight="1" thickBot="1">
      <c r="A2" s="3135" t="str">
        <f>项目基本情况!S2</f>
        <v>北京市阎村镇燕东路北房地产</v>
      </c>
      <c r="B2" s="3136"/>
      <c r="C2" s="3136"/>
      <c r="D2" s="3136"/>
      <c r="E2" s="3136"/>
      <c r="F2" s="3136"/>
      <c r="G2" s="3136"/>
      <c r="H2" s="3136"/>
      <c r="I2" s="3137"/>
    </row>
    <row r="3" spans="1:12" ht="12.75">
      <c r="A3" s="3138" t="s">
        <v>2125</v>
      </c>
      <c r="B3" s="3139"/>
      <c r="C3" s="3139"/>
      <c r="D3" s="3139"/>
      <c r="E3" s="3139"/>
      <c r="F3" s="3139"/>
      <c r="G3" s="3139"/>
      <c r="H3" s="3139"/>
      <c r="I3" s="3139"/>
    </row>
    <row r="4" spans="1:12" ht="14.25">
      <c r="A4" s="2429" t="s">
        <v>2126</v>
      </c>
      <c r="B4" s="2430" t="s">
        <v>2127</v>
      </c>
      <c r="C4" s="2431" t="s">
        <v>3118</v>
      </c>
      <c r="D4" s="2431" t="s">
        <v>3142</v>
      </c>
      <c r="E4" s="3119" t="s">
        <v>2128</v>
      </c>
      <c r="F4" s="3132"/>
      <c r="G4" s="3132"/>
      <c r="H4" s="3132"/>
      <c r="I4" s="3120"/>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10" t="s">
        <v>2129</v>
      </c>
      <c r="B5" s="3036">
        <v>25</v>
      </c>
      <c r="C5" s="3140"/>
      <c r="D5" s="3128"/>
      <c r="E5" s="140" t="s">
        <v>2130</v>
      </c>
      <c r="F5" s="2433"/>
      <c r="G5" s="2433"/>
      <c r="H5" s="2433"/>
      <c r="I5" s="1834"/>
    </row>
    <row r="6" spans="1:12" ht="12.75">
      <c r="A6" s="3110"/>
      <c r="B6" s="3036"/>
      <c r="C6" s="3142"/>
      <c r="D6" s="3128"/>
      <c r="E6" s="140" t="s">
        <v>2131</v>
      </c>
      <c r="F6" s="2433"/>
      <c r="G6" s="2433"/>
      <c r="H6" s="2433"/>
      <c r="I6" s="1834"/>
    </row>
    <row r="7" spans="1:12" ht="12.75">
      <c r="A7" s="3110"/>
      <c r="B7" s="3036"/>
      <c r="C7" s="3141"/>
      <c r="D7" s="3128"/>
      <c r="E7" s="140" t="s">
        <v>2132</v>
      </c>
      <c r="F7" s="2433"/>
      <c r="G7" s="2433"/>
      <c r="H7" s="2433"/>
      <c r="I7" s="1834"/>
    </row>
    <row r="8" spans="1:12" ht="12.75">
      <c r="A8" s="3110" t="s">
        <v>2133</v>
      </c>
      <c r="B8" s="3036">
        <v>15</v>
      </c>
      <c r="C8" s="3140"/>
      <c r="D8" s="3128"/>
      <c r="E8" s="140" t="s">
        <v>2134</v>
      </c>
      <c r="F8" s="2433"/>
      <c r="G8" s="2433"/>
      <c r="H8" s="2433"/>
      <c r="I8" s="1834"/>
    </row>
    <row r="9" spans="1:12" ht="12.75">
      <c r="A9" s="3110"/>
      <c r="B9" s="3036"/>
      <c r="C9" s="3141"/>
      <c r="D9" s="3128"/>
      <c r="E9" s="140" t="s">
        <v>2135</v>
      </c>
      <c r="F9" s="2433"/>
      <c r="G9" s="2433"/>
      <c r="H9" s="2433"/>
      <c r="I9" s="1834"/>
    </row>
    <row r="10" spans="1:12" ht="12.75">
      <c r="A10" s="3110" t="s">
        <v>2136</v>
      </c>
      <c r="B10" s="3036">
        <v>15</v>
      </c>
      <c r="C10" s="3140"/>
      <c r="D10" s="3128"/>
      <c r="E10" s="140" t="s">
        <v>2137</v>
      </c>
      <c r="F10" s="2433"/>
      <c r="G10" s="2433"/>
      <c r="H10" s="2433"/>
      <c r="I10" s="1834"/>
    </row>
    <row r="11" spans="1:12" ht="12.75">
      <c r="A11" s="3110"/>
      <c r="B11" s="3036"/>
      <c r="C11" s="3141"/>
      <c r="D11" s="3128"/>
      <c r="E11" s="140" t="s">
        <v>2138</v>
      </c>
      <c r="F11" s="2433"/>
      <c r="G11" s="2433"/>
      <c r="H11" s="2433"/>
      <c r="I11" s="1834"/>
    </row>
    <row r="12" spans="1:12" ht="12.75">
      <c r="A12" s="3110" t="s">
        <v>2139</v>
      </c>
      <c r="B12" s="3036">
        <v>15</v>
      </c>
      <c r="C12" s="3140"/>
      <c r="D12" s="3128"/>
      <c r="E12" s="140" t="s">
        <v>2140</v>
      </c>
      <c r="F12" s="2433"/>
      <c r="G12" s="2433"/>
      <c r="H12" s="2433"/>
      <c r="I12" s="1834"/>
    </row>
    <row r="13" spans="1:12" ht="12.75">
      <c r="A13" s="3110"/>
      <c r="B13" s="3036"/>
      <c r="C13" s="3141"/>
      <c r="D13" s="3128"/>
      <c r="E13" s="140" t="s">
        <v>2141</v>
      </c>
      <c r="F13" s="2433"/>
      <c r="G13" s="2433"/>
      <c r="H13" s="2433"/>
      <c r="I13" s="1834"/>
    </row>
    <row r="14" spans="1:12" ht="12.75">
      <c r="A14" s="3110" t="s">
        <v>2142</v>
      </c>
      <c r="B14" s="3036">
        <v>30</v>
      </c>
      <c r="C14" s="3140">
        <v>5</v>
      </c>
      <c r="D14" s="3128">
        <v>5</v>
      </c>
      <c r="E14" s="140" t="s">
        <v>2143</v>
      </c>
      <c r="F14" s="2433"/>
      <c r="G14" s="2433"/>
      <c r="H14" s="2433"/>
      <c r="I14" s="1834"/>
    </row>
    <row r="15" spans="1:12" ht="12.75">
      <c r="A15" s="3110"/>
      <c r="B15" s="3036"/>
      <c r="C15" s="3142"/>
      <c r="D15" s="3128"/>
      <c r="E15" s="140" t="s">
        <v>2144</v>
      </c>
      <c r="F15" s="2433"/>
      <c r="G15" s="2433"/>
      <c r="H15" s="2433"/>
      <c r="I15" s="1834"/>
    </row>
    <row r="16" spans="1:12" ht="12.75">
      <c r="A16" s="3110"/>
      <c r="B16" s="3036"/>
      <c r="C16" s="3141"/>
      <c r="D16" s="3128"/>
      <c r="E16" s="140" t="s">
        <v>2145</v>
      </c>
      <c r="F16" s="2433"/>
      <c r="G16" s="2433"/>
      <c r="H16" s="2433"/>
      <c r="I16" s="1834"/>
    </row>
    <row r="17" spans="1:35" ht="15">
      <c r="A17" s="2434" t="s">
        <v>2146</v>
      </c>
      <c r="B17" s="64"/>
      <c r="C17" s="141">
        <f>SUM(C5:C16)</f>
        <v>5</v>
      </c>
      <c r="D17" s="141">
        <f>SUM(D5:D16)</f>
        <v>5</v>
      </c>
      <c r="E17" s="138"/>
      <c r="F17" s="138"/>
      <c r="G17" s="138"/>
      <c r="H17" s="138"/>
      <c r="I17" s="138"/>
      <c r="K17" s="2432"/>
      <c r="L17" s="2435" t="s">
        <v>2147</v>
      </c>
      <c r="M17" s="2435" t="s">
        <v>2148</v>
      </c>
    </row>
    <row r="18" spans="1:35" ht="15.75" thickBot="1">
      <c r="A18" s="2436" t="s">
        <v>2149</v>
      </c>
      <c r="B18" s="2437"/>
      <c r="C18" s="142">
        <f>ROUND(C17/SUM(C17:D17),2)</f>
        <v>0.5</v>
      </c>
      <c r="D18" s="142">
        <f>1-C18</f>
        <v>0.5</v>
      </c>
      <c r="E18" s="138"/>
      <c r="F18" s="138"/>
      <c r="G18" s="138"/>
      <c r="H18" s="138"/>
      <c r="I18" s="138"/>
      <c r="K18" s="2432" t="s">
        <v>2150</v>
      </c>
      <c r="L18" s="2432">
        <f>IF(C1="",'数据-汇总表'!E3,SUMIF(项目类型,C1,'数据-汇总表'!E17:E26)+SUMIF(项目类型,C1,'数据-汇总表'!I17:I26))</f>
        <v>6170.06</v>
      </c>
      <c r="M18" s="2432">
        <f>IF(C1="",'数据-汇总表'!E3,SUMIF(项目类型,C1,'数据-汇总表'!E17:E26))</f>
        <v>6170.06</v>
      </c>
    </row>
    <row r="19" spans="1:35" ht="15">
      <c r="A19" s="2438" t="s">
        <v>2151</v>
      </c>
      <c r="B19" s="2439" t="s">
        <v>2152</v>
      </c>
      <c r="C19" s="143">
        <f ca="1">SUMIF(INDIRECT("'"&amp;C4&amp;"'"&amp;"!A:A"),结果表!B19,INDIRECT("'"&amp;C4&amp;"'"&amp;"!B:B"))</f>
        <v>2230</v>
      </c>
      <c r="D19" s="144">
        <f ca="1">SUMIF(INDIRECT("'"&amp;D4&amp;"'"&amp;"!A:A"),结果表!B19,INDIRECT("'"&amp;D4&amp;"'"&amp;"!B:B"))</f>
        <v>1737</v>
      </c>
      <c r="E19" s="2438" t="s">
        <v>2153</v>
      </c>
      <c r="F19" s="2439" t="s">
        <v>2152</v>
      </c>
      <c r="G19" s="145">
        <f ca="1">ROUND(C19*$C$18+D19*$D$18,0)</f>
        <v>1984</v>
      </c>
      <c r="H19" s="2440" t="s">
        <v>2154</v>
      </c>
      <c r="I19" s="138"/>
      <c r="K19" s="2432" t="s">
        <v>2155</v>
      </c>
      <c r="L19" s="2432">
        <f>IF(C1="",'数据-汇总表'!D3,SUMIF(项目类型,C1,'数据-汇总表'!D17:D26)+SUMIF(项目类型,C1,'数据-汇总表'!H17:H27))</f>
        <v>11400.66</v>
      </c>
      <c r="M19" s="2432">
        <f>IF(C1="",'数据-汇总表'!D3,SUMIF(项目类型,C1,'数据-汇总表'!D17:D26))</f>
        <v>11400.66</v>
      </c>
    </row>
    <row r="20" spans="1:35" ht="15">
      <c r="A20" s="2441"/>
      <c r="B20" s="1250" t="s">
        <v>2156</v>
      </c>
      <c r="C20" s="146">
        <f ca="1">SUMIF(INDIRECT("'"&amp;C4&amp;"'"&amp;"!A:A"),结果表!B20,INDIRECT("'"&amp;C4&amp;"'"&amp;"!B:B"))</f>
        <v>3614</v>
      </c>
      <c r="D20" s="147">
        <f ca="1">SUMIF(INDIRECT("'"&amp;D4&amp;"'"&amp;"!A:A"),结果表!B20,INDIRECT("'"&amp;D4&amp;"'"&amp;"!B:B"))</f>
        <v>2815</v>
      </c>
      <c r="E20" s="2441"/>
      <c r="F20" s="1250" t="s">
        <v>2156</v>
      </c>
      <c r="G20" s="148">
        <f ca="1">ROUND(C20*$C$18+D20*$D$18,0)</f>
        <v>3215</v>
      </c>
      <c r="H20" s="983" t="s">
        <v>2157</v>
      </c>
      <c r="I20" s="138"/>
    </row>
    <row r="21" spans="1:35" ht="15" customHeight="1" thickBot="1">
      <c r="A21" s="1003"/>
      <c r="B21" s="2442" t="s">
        <v>2158</v>
      </c>
      <c r="C21" s="789">
        <f ca="1">ROUND(C19*10000/L19,0)</f>
        <v>1956</v>
      </c>
      <c r="D21" s="790">
        <f ca="1">ROUND(D19*10000/L19,0)</f>
        <v>1524</v>
      </c>
      <c r="E21" s="1003"/>
      <c r="F21" s="2442" t="s">
        <v>2158</v>
      </c>
      <c r="G21" s="149">
        <f ca="1">ROUND(G19*10000/L19,0)</f>
        <v>1740</v>
      </c>
      <c r="H21" s="2443" t="s">
        <v>2157</v>
      </c>
      <c r="I21" s="138"/>
    </row>
    <row r="22" spans="1:35" ht="15" thickBot="1">
      <c r="A22" s="2284" t="s">
        <v>2159</v>
      </c>
      <c r="B22" s="2444"/>
      <c r="C22" s="2445"/>
      <c r="D22" s="791">
        <f ca="1">IF(C19&lt;D19,D19/C19-1,C19/D19-1)</f>
        <v>0.28382268278641343</v>
      </c>
      <c r="E22" s="138"/>
      <c r="F22" s="138"/>
      <c r="G22" s="138"/>
      <c r="H22" s="138"/>
      <c r="I22" s="138"/>
    </row>
    <row r="23" spans="1:35" ht="13.5" thickBot="1">
      <c r="A23" s="2422"/>
      <c r="B23" s="2422"/>
      <c r="C23" s="2422"/>
      <c r="D23" s="2422"/>
      <c r="E23" s="138"/>
      <c r="F23" s="138"/>
      <c r="G23" s="138"/>
      <c r="H23" s="138"/>
      <c r="I23" s="138"/>
    </row>
    <row r="24" spans="1:35" ht="14.25">
      <c r="A24" s="3149" t="s">
        <v>2160</v>
      </c>
      <c r="B24" s="2439" t="s">
        <v>2152</v>
      </c>
      <c r="C24" s="145">
        <f>IF(B30=0,0,D30)</f>
        <v>0</v>
      </c>
      <c r="D24" s="2446"/>
      <c r="E24" s="138"/>
      <c r="F24" s="138"/>
      <c r="G24" s="138"/>
      <c r="H24" s="138"/>
      <c r="I24" s="138"/>
    </row>
    <row r="25" spans="1:35" ht="14.25">
      <c r="A25" s="3150"/>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3047</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1984</v>
      </c>
      <c r="D32" s="2453" t="s">
        <v>2167</v>
      </c>
      <c r="E32" s="138"/>
      <c r="F32" s="138"/>
      <c r="G32" s="138"/>
      <c r="H32" s="138"/>
      <c r="I32" s="138"/>
    </row>
    <row r="33" spans="1:15" ht="15">
      <c r="A33" s="960" t="s">
        <v>2168</v>
      </c>
      <c r="B33" s="2454"/>
      <c r="C33" s="2455" t="s">
        <v>3145</v>
      </c>
      <c r="D33" s="2456" t="s">
        <v>3118</v>
      </c>
      <c r="E33" s="2457" t="s">
        <v>2169</v>
      </c>
      <c r="F33" s="2458" t="str">
        <f>IF(D32="楼面单价","取值（单价）","取值（总价）")</f>
        <v>取值（总价）</v>
      </c>
      <c r="G33" s="138"/>
      <c r="H33" s="138"/>
      <c r="I33" s="138"/>
    </row>
    <row r="34" spans="1:15" ht="15">
      <c r="A34" s="2459"/>
      <c r="B34" s="2460" t="s">
        <v>2170</v>
      </c>
      <c r="C34" s="157">
        <f ca="1">IF(C33="自定义",F34,C32-C35)</f>
        <v>1875</v>
      </c>
      <c r="D34" s="1058">
        <f ca="1">IF(C33="自定义",ROUND(C34/C32,3),IF(C33="收益比率",SUMIF(INDIRECT("'"&amp;D33&amp;"'"&amp;"!b:b"),"土地收益比率",INDIRECT("'"&amp;D33&amp;"'"&amp;"!c:c")),SUMIF(INDIRECT("'"&amp;D33&amp;"'"&amp;"!b:b"),"土地成本比率",INDIRECT("'"&amp;D33&amp;"'"&amp;"!c:c"))))</f>
        <v>0.94499999999999995</v>
      </c>
      <c r="E34" s="2461" t="s">
        <v>2171</v>
      </c>
      <c r="F34" s="1739"/>
      <c r="G34" s="138"/>
      <c r="H34" s="138"/>
      <c r="I34" s="138"/>
    </row>
    <row r="35" spans="1:15" ht="15.75" thickBot="1">
      <c r="A35" s="2462"/>
      <c r="B35" s="2463" t="s">
        <v>2172</v>
      </c>
      <c r="C35" s="1444">
        <f ca="1">IF(C33="自定义",F35,ROUND(C32*D35,0))</f>
        <v>109</v>
      </c>
      <c r="D35" s="1445">
        <f ca="1">IF(C33="自定义",ROUND(C35/C32,3),IF(C33="收益比率",SUMIF(INDIRECT("'"&amp;D33&amp;"'"&amp;"!b:b"),"建筑物收益比率",INDIRECT("'"&amp;D33&amp;"'"&amp;"!c:c")),SUMIF(INDIRECT("'"&amp;D33&amp;"'"&amp;"!b:b"),"建筑物成本比率",INDIRECT("'"&amp;D33&amp;"'"&amp;"!c:c"))))</f>
        <v>5.5E-2</v>
      </c>
      <c r="E35" s="2464" t="s">
        <v>2173</v>
      </c>
      <c r="F35" s="163"/>
      <c r="G35" s="138"/>
      <c r="H35" s="138"/>
      <c r="I35" s="138"/>
    </row>
    <row r="36" spans="1:15" ht="15.75" thickBot="1">
      <c r="A36" s="3129" t="s">
        <v>2174</v>
      </c>
      <c r="B36" s="2465" t="s">
        <v>2175</v>
      </c>
      <c r="C36" s="154"/>
      <c r="D36" s="2466"/>
      <c r="E36" s="2467"/>
      <c r="F36" s="2468"/>
      <c r="G36" s="138"/>
      <c r="H36" s="138"/>
      <c r="I36" s="138"/>
    </row>
    <row r="37" spans="1:15" ht="15.75" thickBot="1">
      <c r="A37" s="3130"/>
      <c r="B37" s="2270" t="s">
        <v>2176</v>
      </c>
      <c r="C37" s="156"/>
      <c r="D37" s="1395"/>
      <c r="E37" s="1395"/>
      <c r="F37" s="2468"/>
      <c r="G37" s="138"/>
      <c r="H37" s="138"/>
      <c r="I37" s="138"/>
    </row>
    <row r="38" spans="1:15" ht="15.75" thickBot="1">
      <c r="A38" s="3131"/>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46" t="s">
        <v>2188</v>
      </c>
      <c r="B45" s="3147"/>
      <c r="C45" s="3148"/>
      <c r="D45" s="164">
        <f ca="1">ROUND(H101*F45,0)</f>
        <v>1984</v>
      </c>
      <c r="E45" s="165" t="s">
        <v>2189</v>
      </c>
      <c r="F45" s="166">
        <v>1</v>
      </c>
      <c r="G45" s="167" t="s">
        <v>2190</v>
      </c>
      <c r="H45" s="138"/>
      <c r="I45" s="138"/>
      <c r="J45" s="3065" t="s">
        <v>2191</v>
      </c>
      <c r="K45" s="3065"/>
      <c r="L45" s="3065"/>
      <c r="M45" s="3065"/>
      <c r="N45" s="3065"/>
      <c r="O45" s="3065"/>
    </row>
    <row r="46" spans="1:15" ht="14.25" customHeight="1">
      <c r="A46" s="3143" t="s">
        <v>2192</v>
      </c>
      <c r="B46" s="3144"/>
      <c r="C46" s="3144"/>
      <c r="D46" s="3144"/>
      <c r="E46" s="3144"/>
      <c r="F46" s="3144"/>
      <c r="G46" s="3145"/>
      <c r="H46" s="2484"/>
      <c r="I46" s="168"/>
      <c r="J46" s="1812">
        <v>1</v>
      </c>
      <c r="K46" s="3065" t="s">
        <v>2193</v>
      </c>
      <c r="L46" s="3065"/>
      <c r="M46" s="3066"/>
      <c r="N46" s="3066"/>
      <c r="O46" s="3066"/>
    </row>
    <row r="47" spans="1:15" ht="12" customHeight="1">
      <c r="A47" s="169" t="s">
        <v>2194</v>
      </c>
      <c r="B47" s="170"/>
      <c r="C47" s="171"/>
      <c r="D47" s="172" t="s">
        <v>2195</v>
      </c>
      <c r="E47" s="24" t="s">
        <v>2196</v>
      </c>
      <c r="F47" s="173" t="s">
        <v>2197</v>
      </c>
      <c r="G47" s="174" t="s">
        <v>2198</v>
      </c>
      <c r="H47" s="2484"/>
      <c r="I47" s="168"/>
      <c r="J47" s="1812">
        <v>2</v>
      </c>
      <c r="K47" s="3065" t="s">
        <v>2199</v>
      </c>
      <c r="L47" s="3065"/>
      <c r="M47" s="3067">
        <f>'数据-取费表'!B2</f>
        <v>43154</v>
      </c>
      <c r="N47" s="3067"/>
      <c r="O47" s="3067"/>
    </row>
    <row r="48" spans="1:15" ht="25.5">
      <c r="A48" s="3133" t="s">
        <v>2200</v>
      </c>
      <c r="B48" s="3134"/>
      <c r="C48" s="3134"/>
      <c r="D48" s="140">
        <f>IF(H48="情况1",0,IF(H48="情况2",D52,IF(H48="情况3",D53,IF(H48="情况4",D54))))</f>
        <v>0</v>
      </c>
      <c r="E48" s="1801" t="str">
        <f>IF(H48="情况4","(销售额-原购置价)×税（费）率","销售额×税（费）率")</f>
        <v>销售额×税（费）率</v>
      </c>
      <c r="F48" s="175" t="str">
        <f>IF(H48="情况1","免征",'数据-取费表'!B41)</f>
        <v>免征</v>
      </c>
      <c r="G48" s="2485" t="s">
        <v>2201</v>
      </c>
      <c r="H48" s="2486" t="s">
        <v>2202</v>
      </c>
      <c r="I48" s="2484"/>
      <c r="J48" s="1812">
        <v>3</v>
      </c>
      <c r="K48" s="3065" t="s">
        <v>2203</v>
      </c>
      <c r="L48" s="3065"/>
      <c r="M48" s="3068">
        <f ca="1">H101</f>
        <v>1984</v>
      </c>
      <c r="N48" s="3068"/>
      <c r="O48" s="3068"/>
    </row>
    <row r="49" spans="1:35" ht="25.5" customHeight="1">
      <c r="A49" s="176" t="s">
        <v>2204</v>
      </c>
      <c r="B49" s="3113" t="s">
        <v>2205</v>
      </c>
      <c r="C49" s="3113"/>
      <c r="D49" s="177">
        <v>0</v>
      </c>
      <c r="E49" s="23" t="s">
        <v>2206</v>
      </c>
      <c r="F49" s="28" t="s">
        <v>34</v>
      </c>
      <c r="G49" s="3094"/>
      <c r="H49" s="138"/>
      <c r="I49" s="2487"/>
      <c r="J49" s="1812">
        <v>4</v>
      </c>
      <c r="K49" s="3065" t="str">
        <f>IF(项目基本情况!E8="房地产抵押价值","房地产抵押价值","抵押担保权已注销时的房地产抵押价值")</f>
        <v>抵押担保权已注销时的房地产抵押价值</v>
      </c>
      <c r="L49" s="3065"/>
      <c r="M49" s="3068" t="str">
        <f>IF(项目基本情况!E8="房地产抵押价值",H107,H109)</f>
        <v>——</v>
      </c>
      <c r="N49" s="3068"/>
      <c r="O49" s="3068"/>
    </row>
    <row r="50" spans="1:35" ht="25.5" customHeight="1">
      <c r="A50" s="178"/>
      <c r="B50" s="3113" t="s">
        <v>2207</v>
      </c>
      <c r="C50" s="3113"/>
      <c r="D50" s="179"/>
      <c r="E50" s="31"/>
      <c r="F50" s="180"/>
      <c r="G50" s="3095"/>
      <c r="H50" s="138"/>
      <c r="I50" s="2487"/>
      <c r="J50" s="3065" t="s">
        <v>2208</v>
      </c>
      <c r="K50" s="3065"/>
      <c r="L50" s="3065"/>
      <c r="M50" s="3065"/>
      <c r="N50" s="3065"/>
      <c r="O50" s="3065"/>
    </row>
    <row r="51" spans="1:35" ht="12" customHeight="1">
      <c r="A51" s="181"/>
      <c r="B51" s="3113" t="s">
        <v>2209</v>
      </c>
      <c r="C51" s="3113"/>
      <c r="D51" s="182"/>
      <c r="E51" s="30"/>
      <c r="F51" s="180"/>
      <c r="G51" s="3096"/>
      <c r="H51" s="138"/>
      <c r="I51" s="2487"/>
      <c r="J51" s="2488" t="s">
        <v>2210</v>
      </c>
      <c r="K51" s="3065" t="s">
        <v>2211</v>
      </c>
      <c r="L51" s="3065"/>
      <c r="M51" s="2488" t="s">
        <v>2212</v>
      </c>
      <c r="N51" s="2488" t="s">
        <v>2213</v>
      </c>
      <c r="O51" s="2488" t="s">
        <v>2214</v>
      </c>
    </row>
    <row r="52" spans="1:35" ht="24" customHeight="1">
      <c r="A52" s="183" t="s">
        <v>2215</v>
      </c>
      <c r="B52" s="3113" t="s">
        <v>2216</v>
      </c>
      <c r="C52" s="3113"/>
      <c r="D52" s="182">
        <f ca="1">ROUND(D45*'数据-取费表'!B41/(1+'数据-取费表'!C42),0)</f>
        <v>104</v>
      </c>
      <c r="E52" s="11" t="s">
        <v>2217</v>
      </c>
      <c r="F52" s="184">
        <f>'数据-取费表'!B41</f>
        <v>5.5000000000000007E-2</v>
      </c>
      <c r="G52" s="2489"/>
      <c r="H52" s="138"/>
      <c r="I52" s="2487"/>
      <c r="J52" s="1812">
        <v>1</v>
      </c>
      <c r="K52" s="3088" t="s">
        <v>2218</v>
      </c>
      <c r="L52" s="3088"/>
      <c r="M52" s="1754">
        <f>D48</f>
        <v>0</v>
      </c>
      <c r="N52" s="1812" t="str">
        <f>E48</f>
        <v>销售额×税（费）率</v>
      </c>
      <c r="O52" s="1755" t="str">
        <f>F48</f>
        <v>免征</v>
      </c>
    </row>
    <row r="53" spans="1:35" ht="12" customHeight="1">
      <c r="A53" s="183" t="s">
        <v>2219</v>
      </c>
      <c r="B53" s="3114" t="s">
        <v>2220</v>
      </c>
      <c r="C53" s="3115"/>
      <c r="D53" s="182">
        <f ca="1">ROUND(D45*'数据-取费表'!B41/(1+'数据-取费表'!C42),0)</f>
        <v>104</v>
      </c>
      <c r="E53" s="11" t="s">
        <v>2217</v>
      </c>
      <c r="F53" s="184">
        <f>'数据-取费表'!B41</f>
        <v>5.5000000000000007E-2</v>
      </c>
      <c r="G53" s="2489"/>
      <c r="H53" s="138"/>
      <c r="I53" s="2487"/>
      <c r="J53" s="1812">
        <v>2</v>
      </c>
      <c r="K53" s="3088" t="s">
        <v>2221</v>
      </c>
      <c r="L53" s="3088"/>
      <c r="M53" s="1754">
        <f t="shared" ref="M53:O54" ca="1" si="0">D55</f>
        <v>1</v>
      </c>
      <c r="N53" s="1812" t="str">
        <f t="shared" si="0"/>
        <v>销售额×税（费）率</v>
      </c>
      <c r="O53" s="1755">
        <f t="shared" si="0"/>
        <v>5.0000000000000001E-4</v>
      </c>
    </row>
    <row r="54" spans="1:35" ht="12" customHeight="1">
      <c r="A54" s="183" t="s">
        <v>2222</v>
      </c>
      <c r="B54" s="3114" t="s">
        <v>2223</v>
      </c>
      <c r="C54" s="3115"/>
      <c r="D54" s="182">
        <f ca="1">C68</f>
        <v>104</v>
      </c>
      <c r="E54" s="30" t="s">
        <v>2224</v>
      </c>
      <c r="F54" s="184">
        <f>'数据-取费表'!B41</f>
        <v>5.5000000000000007E-2</v>
      </c>
      <c r="G54" s="2489"/>
      <c r="H54" s="2490"/>
      <c r="I54" s="2487"/>
      <c r="J54" s="1812">
        <v>3</v>
      </c>
      <c r="K54" s="3088" t="s">
        <v>2225</v>
      </c>
      <c r="L54" s="3088"/>
      <c r="M54" s="1754">
        <f t="shared" ca="1" si="0"/>
        <v>1125</v>
      </c>
      <c r="N54" s="1812" t="str">
        <f t="shared" si="0"/>
        <v>增值额×税（费）率</v>
      </c>
      <c r="O54" s="1756" t="str">
        <f t="shared" si="0"/>
        <v>——</v>
      </c>
    </row>
    <row r="55" spans="1:35" ht="24" customHeight="1">
      <c r="A55" s="3152" t="s">
        <v>2226</v>
      </c>
      <c r="B55" s="3134"/>
      <c r="C55" s="3134"/>
      <c r="D55" s="185">
        <f ca="1">IF(H55="个人住宅",0,ROUND(D45*I55,0))</f>
        <v>1</v>
      </c>
      <c r="E55" s="11" t="s">
        <v>2227</v>
      </c>
      <c r="F55" s="184">
        <f>IF(H55="正常",I55,"免征")</f>
        <v>5.0000000000000001E-4</v>
      </c>
      <c r="G55" s="2489"/>
      <c r="H55" s="2486" t="s">
        <v>2228</v>
      </c>
      <c r="I55" s="186">
        <f>'数据-取费表'!B49</f>
        <v>5.0000000000000001E-4</v>
      </c>
      <c r="J55" s="1812" t="str">
        <f>IF(H59="非个人房产","",4)</f>
        <v/>
      </c>
      <c r="K55" s="3088" t="str">
        <f>IF(H59="非个人房产","——","个人所得税")</f>
        <v>——</v>
      </c>
      <c r="L55" s="3088"/>
      <c r="M55" s="1757" t="str">
        <f>D59</f>
        <v>——</v>
      </c>
      <c r="N55" s="1810" t="str">
        <f>E59</f>
        <v>——</v>
      </c>
      <c r="O55" s="1758" t="str">
        <f>F59</f>
        <v>——</v>
      </c>
    </row>
    <row r="56" spans="1:35" ht="24.75">
      <c r="A56" s="3152" t="s">
        <v>2229</v>
      </c>
      <c r="B56" s="3134"/>
      <c r="C56" s="3134"/>
      <c r="D56" s="185">
        <f ca="1">IF(H56="个人住宅",D57,D58)</f>
        <v>1125</v>
      </c>
      <c r="E56" s="11" t="s">
        <v>2230</v>
      </c>
      <c r="F56" s="184" t="str">
        <f>IF(H56="正常",F58,"免征")</f>
        <v>——</v>
      </c>
      <c r="G56" s="2491" t="s">
        <v>2231</v>
      </c>
      <c r="H56" s="2492" t="s">
        <v>2228</v>
      </c>
      <c r="I56" s="2493"/>
      <c r="J56" s="1812" t="str">
        <f>IF(项目基本情况!K6="上海银行",IF(J55="",4,J55+1),"")</f>
        <v/>
      </c>
      <c r="K56" s="3071" t="str">
        <f>IF(项目基本情况!K6="上海银行","其他处置费用","")</f>
        <v/>
      </c>
      <c r="L56" s="3072"/>
      <c r="M56" s="1754" t="str">
        <f>IF(项目基本情况!K6="上海银行",M69,"")</f>
        <v/>
      </c>
      <c r="N56" s="3074" t="str">
        <f>IF(项目基本情况!K6="上海银行","包含处置中涉及的律师、诉讼、拍卖、评估等费用","")</f>
        <v/>
      </c>
      <c r="O56" s="3075"/>
    </row>
    <row r="57" spans="1:35" ht="12.75">
      <c r="A57" s="183" t="s">
        <v>2204</v>
      </c>
      <c r="B57" s="3119" t="s">
        <v>2232</v>
      </c>
      <c r="C57" s="3120"/>
      <c r="D57" s="187">
        <v>0</v>
      </c>
      <c r="E57" s="23" t="s">
        <v>2206</v>
      </c>
      <c r="F57" s="155"/>
      <c r="G57" s="2489"/>
      <c r="H57" s="2493"/>
      <c r="I57" s="2493"/>
      <c r="J57" s="3088">
        <f>IF(AND(J55="",J56=""),4,IF(项目基本情况!K6="上海银行",结果表!J56+1,结果表!J55+1))</f>
        <v>4</v>
      </c>
      <c r="K57" s="3088" t="s">
        <v>2233</v>
      </c>
      <c r="L57" s="2494" t="s">
        <v>2234</v>
      </c>
      <c r="M57" s="1759"/>
      <c r="N57" s="1760">
        <f ca="1">SUMIF(M52:M56,"&lt;9e307")</f>
        <v>1126</v>
      </c>
      <c r="O57" s="2495"/>
      <c r="P57" s="1753" t="e">
        <f ca="1">N57/M49</f>
        <v>#VALUE!</v>
      </c>
    </row>
    <row r="58" spans="1:35" ht="24.75">
      <c r="A58" s="183" t="s">
        <v>2215</v>
      </c>
      <c r="B58" s="3119" t="s">
        <v>2235</v>
      </c>
      <c r="C58" s="3132"/>
      <c r="D58" s="185">
        <f ca="1">IF(H58="转让取得",C81,C97)</f>
        <v>1125</v>
      </c>
      <c r="E58" s="11" t="s">
        <v>2230</v>
      </c>
      <c r="F58" s="24" t="s">
        <v>34</v>
      </c>
      <c r="G58" s="2489"/>
      <c r="H58" s="2492" t="s">
        <v>2236</v>
      </c>
      <c r="I58" s="2493"/>
      <c r="J58" s="3088"/>
      <c r="K58" s="3088"/>
      <c r="L58" s="2494" t="s">
        <v>2237</v>
      </c>
      <c r="M58" s="1761"/>
      <c r="N58" s="2496" t="str">
        <f ca="1">NUMBERSTRING(INT(N57*10000),2)&amp;"元整"</f>
        <v>壹仟壹佰贰拾陆万元整</v>
      </c>
      <c r="O58" s="2497"/>
    </row>
    <row r="59" spans="1:35" ht="24.75" thickBot="1">
      <c r="A59" s="3092" t="s">
        <v>2238</v>
      </c>
      <c r="B59" s="3093"/>
      <c r="C59" s="3093"/>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090">
        <f>J57+1</f>
        <v>5</v>
      </c>
      <c r="K59" s="3088" t="s">
        <v>2240</v>
      </c>
      <c r="L59" s="1812" t="s">
        <v>2234</v>
      </c>
      <c r="M59" s="1762"/>
      <c r="N59" s="1763" t="e">
        <f ca="1">M49-N57</f>
        <v>#VALUE!</v>
      </c>
      <c r="O59" s="2499"/>
    </row>
    <row r="60" spans="1:35" ht="12" customHeight="1">
      <c r="A60" s="2500"/>
      <c r="B60" s="2422"/>
      <c r="C60" s="2422"/>
      <c r="D60" s="2422"/>
      <c r="E60" s="2169"/>
      <c r="F60" s="2493"/>
      <c r="G60" s="2493"/>
      <c r="H60" s="2501"/>
      <c r="I60" s="138"/>
      <c r="J60" s="3091"/>
      <c r="K60" s="3088"/>
      <c r="L60" s="2494" t="s">
        <v>2237</v>
      </c>
      <c r="M60" s="1761"/>
      <c r="N60" s="2496" t="e">
        <f ca="1">NUMBERSTRING(INT(N59*10000),2)&amp;"元整"</f>
        <v>#VALUE!</v>
      </c>
      <c r="O60" s="2497"/>
    </row>
    <row r="61" spans="1:35" ht="13.5" thickBot="1">
      <c r="A61" s="3151" t="s">
        <v>2241</v>
      </c>
      <c r="B61" s="3151"/>
      <c r="C61" s="3151"/>
      <c r="D61" s="3151"/>
      <c r="E61" s="3151"/>
      <c r="F61" s="2493"/>
      <c r="G61" s="2493"/>
      <c r="H61" s="2501"/>
      <c r="I61" s="138"/>
      <c r="J61" s="1812">
        <f>J59+1</f>
        <v>6</v>
      </c>
      <c r="K61" s="3088" t="s">
        <v>2242</v>
      </c>
      <c r="L61" s="3088"/>
      <c r="M61" s="1764"/>
      <c r="N61" s="1765" t="e">
        <f ca="1">ROUND(N59*10000/'数据-汇总表'!E3,0)</f>
        <v>#VALUE!</v>
      </c>
      <c r="O61" s="2502"/>
    </row>
    <row r="62" spans="1:35" ht="12.75">
      <c r="A62" s="3108" t="s">
        <v>2243</v>
      </c>
      <c r="B62" s="3109"/>
      <c r="C62" s="1804"/>
      <c r="D62" s="1804" t="s">
        <v>2244</v>
      </c>
      <c r="E62" s="192" t="s">
        <v>2245</v>
      </c>
      <c r="F62" s="2493"/>
      <c r="G62" s="2493"/>
      <c r="H62" s="2501"/>
      <c r="I62" s="138"/>
    </row>
    <row r="63" spans="1:35" ht="12.75">
      <c r="A63" s="203" t="s">
        <v>775</v>
      </c>
      <c r="B63" s="193" t="s">
        <v>2246</v>
      </c>
      <c r="C63" s="194">
        <f ca="1">ROUND((C64+C65)/(1+'数据-取费表'!C42),0)</f>
        <v>1890</v>
      </c>
      <c r="D63" s="195"/>
      <c r="E63" s="196"/>
      <c r="F63" s="2493"/>
      <c r="G63" s="2493"/>
      <c r="H63" s="2501"/>
      <c r="I63" s="138"/>
      <c r="J63" s="3073" t="s">
        <v>2247</v>
      </c>
      <c r="K63" s="2503" t="s">
        <v>2248</v>
      </c>
      <c r="L63" s="1752" t="e">
        <f>IF(M49&gt;10000,M49*0.5%,IF(AND(M49&gt;1000,M49&lt;=10000),M49*1%,IF(AND(M49&gt;100,M49&lt;=1000),M49*3%,IF(AND(M49&gt;10,M49&lt;=100),M49*5%,M49*8%))))</f>
        <v>#VALUE!</v>
      </c>
      <c r="M63" s="24" t="e">
        <f>ROUND(L63,1)</f>
        <v>#VALUE!</v>
      </c>
      <c r="Z63" s="2427"/>
      <c r="AI63" s="2428"/>
    </row>
    <row r="64" spans="1:35" ht="14.25" customHeight="1">
      <c r="A64" s="197" t="s">
        <v>770</v>
      </c>
      <c r="B64" s="198" t="s">
        <v>2249</v>
      </c>
      <c r="C64" s="199">
        <f ca="1">D45</f>
        <v>1984</v>
      </c>
      <c r="D64" s="200" t="s">
        <v>32</v>
      </c>
      <c r="E64" s="201"/>
      <c r="F64" s="2493"/>
      <c r="G64" s="2493"/>
      <c r="H64" s="2501"/>
      <c r="I64" s="138"/>
      <c r="J64" s="3073"/>
      <c r="K64" s="2503" t="s">
        <v>2250</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7"/>
      <c r="AI64" s="2428"/>
    </row>
    <row r="65" spans="1:35" ht="14.25" customHeight="1">
      <c r="A65" s="197" t="s">
        <v>771</v>
      </c>
      <c r="B65" s="198" t="s">
        <v>2252</v>
      </c>
      <c r="C65" s="202"/>
      <c r="D65" s="200"/>
      <c r="E65" s="201"/>
      <c r="F65" s="2493"/>
      <c r="G65" s="2493"/>
      <c r="H65" s="2501"/>
      <c r="I65" s="138"/>
      <c r="J65" s="3073"/>
      <c r="K65" s="2503" t="s">
        <v>2253</v>
      </c>
      <c r="L65" s="1752" t="e">
        <f>IF(M49&gt;1000,M49*0.1%,IF(AND(M49&gt;500,M49&lt;=1000),M49*0.5%,IF(AND(M49&gt;50,M49&lt;=500),M49*1%,IF(AND(M49&gt;1,M49&lt;=50),M49*1.5%))))</f>
        <v>#VALUE!</v>
      </c>
      <c r="M65" s="24" t="e">
        <f t="shared" si="1"/>
        <v>#VALUE!</v>
      </c>
      <c r="N65" s="138" t="s">
        <v>2251</v>
      </c>
      <c r="Z65" s="2427"/>
      <c r="AI65" s="2428"/>
    </row>
    <row r="66" spans="1:35" ht="14.25" customHeight="1">
      <c r="A66" s="203" t="s">
        <v>772</v>
      </c>
      <c r="B66" s="204" t="s">
        <v>2254</v>
      </c>
      <c r="C66" s="205"/>
      <c r="D66" s="206" t="s">
        <v>32</v>
      </c>
      <c r="E66" s="1776" t="s">
        <v>1371</v>
      </c>
      <c r="F66" s="2493"/>
      <c r="G66" s="2493"/>
      <c r="H66" s="2501"/>
      <c r="I66" s="138"/>
      <c r="J66" s="3073"/>
      <c r="K66" s="2503" t="s">
        <v>2255</v>
      </c>
      <c r="L66" s="1752" t="e">
        <f>M49*0.5%</f>
        <v>#VALUE!</v>
      </c>
      <c r="M66" s="24" t="e">
        <f>IF(L66&gt;0.5,0.5,ROUND(L66,0))</f>
        <v>#VALUE!</v>
      </c>
      <c r="N66" s="138" t="s">
        <v>2256</v>
      </c>
      <c r="Z66" s="2427"/>
      <c r="AI66" s="2428"/>
    </row>
    <row r="67" spans="1:35" ht="14.25" customHeight="1">
      <c r="A67" s="203" t="s">
        <v>773</v>
      </c>
      <c r="B67" s="204" t="s">
        <v>2257</v>
      </c>
      <c r="C67" s="207">
        <f ca="1">C63-C66</f>
        <v>1890</v>
      </c>
      <c r="D67" s="200" t="s">
        <v>32</v>
      </c>
      <c r="E67" s="201"/>
      <c r="F67" s="2493"/>
      <c r="G67" s="2493"/>
      <c r="H67" s="2501"/>
      <c r="I67" s="138"/>
      <c r="J67" s="3073"/>
      <c r="K67" s="2503" t="s">
        <v>2258</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2259</v>
      </c>
      <c r="C68" s="210">
        <f ca="1">IF(C67&lt;=0,0,ROUND(C67*D68,0))</f>
        <v>104</v>
      </c>
      <c r="D68" s="211">
        <f>'数据-取费表'!B41</f>
        <v>5.5000000000000007E-2</v>
      </c>
      <c r="E68" s="212"/>
      <c r="F68" s="2493"/>
      <c r="G68" s="2493"/>
      <c r="H68" s="2501"/>
      <c r="I68" s="138"/>
      <c r="J68" s="3073"/>
      <c r="K68" s="2503" t="s">
        <v>2260</v>
      </c>
      <c r="L68" s="1752"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073"/>
      <c r="K69" s="2503" t="s">
        <v>2261</v>
      </c>
      <c r="L69" s="2509"/>
      <c r="M69" s="24" t="e">
        <f>ROUND(SUM(M63:M68),0)</f>
        <v>#VALUE!</v>
      </c>
      <c r="N69" s="1753"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7" t="s">
        <v>2262</v>
      </c>
      <c r="B70" s="3118"/>
      <c r="C70" s="3118"/>
      <c r="D70" s="3118"/>
      <c r="E70" s="3118"/>
      <c r="F70" s="3118"/>
      <c r="G70" s="3118"/>
      <c r="H70" s="3118"/>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08" t="s">
        <v>2243</v>
      </c>
      <c r="B71" s="3109"/>
      <c r="C71" s="1804"/>
      <c r="D71" s="1804"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1890</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9</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14" t="s">
        <v>2271</v>
      </c>
      <c r="F76" s="3113"/>
      <c r="G76" s="3113"/>
      <c r="H76" s="3116"/>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9</v>
      </c>
      <c r="D78" s="226">
        <f>'数据-取费表'!B43</f>
        <v>5.000000000000001E-3</v>
      </c>
      <c r="E78" s="3105" t="s">
        <v>2276</v>
      </c>
      <c r="F78" s="3106"/>
      <c r="G78" s="3106"/>
      <c r="H78" s="3107"/>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1881</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209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1125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7" t="s">
        <v>2280</v>
      </c>
      <c r="B83" s="3118"/>
      <c r="C83" s="3118"/>
      <c r="D83" s="3118"/>
      <c r="E83" s="3118"/>
      <c r="F83" s="3118"/>
      <c r="G83" s="3118"/>
      <c r="H83" s="3118"/>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08" t="s">
        <v>2243</v>
      </c>
      <c r="B84" s="3109"/>
      <c r="C84" s="1804"/>
      <c r="D84" s="1804"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1890</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9</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800"/>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105" t="s">
        <v>2289</v>
      </c>
      <c r="F91" s="3106"/>
      <c r="G91" s="3106"/>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105" t="s">
        <v>2293</v>
      </c>
      <c r="F92" s="3106"/>
      <c r="G92" s="3106"/>
      <c r="H92" s="3107"/>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9</v>
      </c>
      <c r="D93" s="226">
        <f>'数据-取费表'!B43</f>
        <v>5.000000000000001E-3</v>
      </c>
      <c r="E93" s="3105" t="s">
        <v>2276</v>
      </c>
      <c r="F93" s="3106"/>
      <c r="G93" s="3106"/>
      <c r="H93" s="3107"/>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53" t="s">
        <v>2297</v>
      </c>
      <c r="F94" s="3154"/>
      <c r="G94" s="3154"/>
      <c r="H94" s="315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1881</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209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1125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2298</v>
      </c>
      <c r="B99" s="2422"/>
      <c r="C99" s="2422"/>
      <c r="D99" s="2422"/>
      <c r="E99" s="2169"/>
      <c r="F99" s="2169"/>
      <c r="G99" s="2169"/>
      <c r="H99" s="2168"/>
      <c r="I99" s="138"/>
    </row>
    <row r="100" spans="1:35" ht="18.75" customHeight="1">
      <c r="A100" s="3057" t="s">
        <v>2299</v>
      </c>
      <c r="B100" s="3058"/>
      <c r="C100" s="3058"/>
      <c r="D100" s="3089"/>
      <c r="E100" s="3058" t="s">
        <v>2300</v>
      </c>
      <c r="F100" s="3058"/>
      <c r="G100" s="3058"/>
      <c r="H100" s="3089"/>
      <c r="I100" s="138"/>
    </row>
    <row r="101" spans="1:35" ht="18.75" customHeight="1">
      <c r="A101" s="3097" t="s">
        <v>2301</v>
      </c>
      <c r="B101" s="3098"/>
      <c r="C101" s="736" t="str">
        <f>C4</f>
        <v>成本法</v>
      </c>
      <c r="D101" s="737" t="str">
        <f>D4</f>
        <v>收益法（汇总）</v>
      </c>
      <c r="E101" s="3069" t="s">
        <v>2302</v>
      </c>
      <c r="F101" s="3070"/>
      <c r="G101" s="2524" t="s">
        <v>2303</v>
      </c>
      <c r="H101" s="1048">
        <f ca="1">H118</f>
        <v>1984</v>
      </c>
      <c r="I101" s="138"/>
    </row>
    <row r="102" spans="1:35" ht="18.75" customHeight="1">
      <c r="A102" s="3099" t="s">
        <v>2304</v>
      </c>
      <c r="B102" s="2524" t="s">
        <v>2303</v>
      </c>
      <c r="C102" s="736">
        <f ca="1">C19</f>
        <v>2230</v>
      </c>
      <c r="D102" s="737">
        <f ca="1">D19</f>
        <v>1737</v>
      </c>
      <c r="E102" s="3069"/>
      <c r="F102" s="3070"/>
      <c r="G102" s="2524" t="s">
        <v>2305</v>
      </c>
      <c r="H102" s="371">
        <f ca="1">I118</f>
        <v>3216</v>
      </c>
      <c r="I102" s="138"/>
    </row>
    <row r="103" spans="1:35" ht="42.75" customHeight="1">
      <c r="A103" s="3099"/>
      <c r="B103" s="2524" t="s">
        <v>2305</v>
      </c>
      <c r="C103" s="738">
        <f ca="1">C20</f>
        <v>3614</v>
      </c>
      <c r="D103" s="739">
        <f ca="1">D20</f>
        <v>2815</v>
      </c>
      <c r="E103" s="3063" t="s">
        <v>2306</v>
      </c>
      <c r="F103" s="3064"/>
      <c r="G103" s="2525" t="s">
        <v>2307</v>
      </c>
      <c r="H103" s="1048">
        <f>IF(D36="正常操作",H104+H105+H106,H105+H106)</f>
        <v>0</v>
      </c>
      <c r="I103" s="138"/>
    </row>
    <row r="104" spans="1:35" ht="18.75" customHeight="1">
      <c r="A104" s="3099" t="s">
        <v>2308</v>
      </c>
      <c r="B104" s="2526" t="s">
        <v>2303</v>
      </c>
      <c r="C104" s="740">
        <f ca="1">H118</f>
        <v>1984</v>
      </c>
      <c r="D104" s="741"/>
      <c r="E104" s="2270" t="s">
        <v>2309</v>
      </c>
      <c r="F104" s="2261"/>
      <c r="G104" s="2525" t="s">
        <v>2307</v>
      </c>
      <c r="H104" s="1049">
        <f>IF(D36="同一抵押权人同一抵押物续贷",C36&amp;"（未扣减，详见特别提示）",C36)</f>
        <v>0</v>
      </c>
      <c r="I104" s="138"/>
    </row>
    <row r="105" spans="1:35" ht="18.75" customHeight="1" thickBot="1">
      <c r="A105" s="3111"/>
      <c r="B105" s="2527" t="s">
        <v>2305</v>
      </c>
      <c r="C105" s="742">
        <f ca="1">I118</f>
        <v>3216</v>
      </c>
      <c r="D105" s="743"/>
      <c r="E105" s="2270" t="s">
        <v>2310</v>
      </c>
      <c r="F105" s="2261"/>
      <c r="G105" s="2525" t="s">
        <v>2307</v>
      </c>
      <c r="H105" s="1049">
        <f>C37</f>
        <v>0</v>
      </c>
      <c r="I105" s="138"/>
    </row>
    <row r="106" spans="1:35" ht="18.75" customHeight="1">
      <c r="A106" s="2422" t="s">
        <v>2311</v>
      </c>
      <c r="B106" s="2422"/>
      <c r="C106" s="2422"/>
      <c r="D106" s="2422"/>
      <c r="E106" s="2528" t="s">
        <v>2312</v>
      </c>
      <c r="F106" s="2261"/>
      <c r="G106" s="2525" t="s">
        <v>2307</v>
      </c>
      <c r="H106" s="1049">
        <f>C38</f>
        <v>0</v>
      </c>
      <c r="I106" s="138"/>
    </row>
    <row r="107" spans="1:35" ht="18.75" customHeight="1">
      <c r="A107" s="138"/>
      <c r="B107" s="138"/>
      <c r="C107" s="138"/>
      <c r="D107" s="138"/>
      <c r="E107" s="3100" t="str">
        <f>IF(项目基本情况!E8="已注销","——","3.房地产抵押价值")</f>
        <v>3.房地产抵押价值</v>
      </c>
      <c r="F107" s="3070"/>
      <c r="G107" s="2524" t="s">
        <v>2303</v>
      </c>
      <c r="H107" s="1048">
        <f ca="1">IF(E107="——","——",H101-H103)</f>
        <v>1984</v>
      </c>
      <c r="I107" s="138"/>
    </row>
    <row r="108" spans="1:35" ht="18.75" customHeight="1">
      <c r="A108" s="138"/>
      <c r="B108" s="138"/>
      <c r="C108" s="138"/>
      <c r="D108" s="138"/>
      <c r="E108" s="3100"/>
      <c r="F108" s="3070"/>
      <c r="G108" s="2524" t="s">
        <v>2305</v>
      </c>
      <c r="H108" s="371">
        <f ca="1">ROUND(H107*10000/'数据-汇总表'!E3,0)</f>
        <v>3216</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070"/>
      <c r="G109" s="2524" t="s">
        <v>2303</v>
      </c>
      <c r="H109" s="348" t="str">
        <f>IF(E109="——","——",H101-H105-H106)</f>
        <v>——</v>
      </c>
      <c r="I109" s="138"/>
    </row>
    <row r="110" spans="1:35" ht="18.75" customHeight="1">
      <c r="A110" s="138"/>
      <c r="B110" s="138"/>
      <c r="C110" s="138"/>
      <c r="D110" s="138"/>
      <c r="E110" s="3100"/>
      <c r="F110" s="3070"/>
      <c r="G110" s="2524" t="s">
        <v>2305</v>
      </c>
      <c r="H110" s="371"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24" t="s">
        <v>2303</v>
      </c>
      <c r="H111" s="1048" t="str">
        <f>IF(E111="——","——",N59)</f>
        <v>——</v>
      </c>
      <c r="I111" s="138"/>
    </row>
    <row r="112" spans="1:35" ht="18.75" customHeight="1" thickBot="1">
      <c r="A112" s="138"/>
      <c r="B112" s="138"/>
      <c r="C112" s="138"/>
      <c r="D112" s="138"/>
      <c r="E112" s="3103"/>
      <c r="F112" s="3104"/>
      <c r="G112" s="2529" t="s">
        <v>2305</v>
      </c>
      <c r="H112" s="790" t="str">
        <f>IF(E111="——","——",N61)</f>
        <v>——</v>
      </c>
      <c r="I112" s="138"/>
    </row>
    <row r="113" spans="1:11" ht="18.75" customHeight="1">
      <c r="A113" s="138"/>
      <c r="B113" s="138"/>
      <c r="C113" s="138"/>
      <c r="D113" s="138"/>
      <c r="E113" s="3112" t="s">
        <v>2311</v>
      </c>
      <c r="F113" s="3112"/>
      <c r="G113" s="3112"/>
      <c r="H113" s="3112"/>
      <c r="I113" s="138"/>
    </row>
    <row r="114" spans="1:11" ht="3.75" customHeight="1">
      <c r="A114" s="2422"/>
      <c r="B114" s="2422"/>
      <c r="C114" s="2422"/>
      <c r="D114" s="2422"/>
      <c r="E114" s="2500"/>
      <c r="F114" s="2500"/>
      <c r="G114" s="2500"/>
      <c r="H114" s="2500"/>
      <c r="I114" s="2422"/>
    </row>
    <row r="115" spans="1:11" ht="18.75" customHeight="1">
      <c r="A115" s="3125" t="s">
        <v>2313</v>
      </c>
      <c r="B115" s="3126"/>
      <c r="C115" s="3126"/>
      <c r="D115" s="3126"/>
      <c r="E115" s="3126"/>
      <c r="F115" s="3126"/>
      <c r="G115" s="3126"/>
      <c r="H115" s="3126"/>
      <c r="I115" s="3127"/>
    </row>
    <row r="116" spans="1:11" ht="27" customHeight="1">
      <c r="A116" s="3036" t="s">
        <v>2314</v>
      </c>
      <c r="B116" s="3079" t="s">
        <v>2315</v>
      </c>
      <c r="C116" s="3079" t="s">
        <v>2316</v>
      </c>
      <c r="D116" s="3085" t="s">
        <v>2317</v>
      </c>
      <c r="E116" s="3086"/>
      <c r="F116" s="3121" t="s">
        <v>2318</v>
      </c>
      <c r="G116" s="3121"/>
      <c r="H116" s="3036" t="s">
        <v>2319</v>
      </c>
      <c r="I116" s="3036"/>
    </row>
    <row r="117" spans="1:11" ht="18.75" customHeight="1">
      <c r="A117" s="3036"/>
      <c r="B117" s="3080"/>
      <c r="C117" s="3080"/>
      <c r="D117" s="1798" t="s">
        <v>2320</v>
      </c>
      <c r="E117" s="1798" t="s">
        <v>2321</v>
      </c>
      <c r="F117" s="1798" t="s">
        <v>2320</v>
      </c>
      <c r="G117" s="1798" t="s">
        <v>2322</v>
      </c>
      <c r="H117" s="1798" t="s">
        <v>2320</v>
      </c>
      <c r="I117" s="1798" t="s">
        <v>2322</v>
      </c>
    </row>
    <row r="118" spans="1:11" ht="24.75" customHeight="1">
      <c r="A118" s="2530" t="str">
        <f>项目基本情况!S2</f>
        <v>北京市阎村镇燕东路北房地产</v>
      </c>
      <c r="B118" s="1798">
        <f>M18</f>
        <v>6170.06</v>
      </c>
      <c r="C118" s="1798">
        <f>M19</f>
        <v>11400.66</v>
      </c>
      <c r="D118" s="1798">
        <f ca="1">ROUND(IF(D32="总价",C34,E118*B118/10000),0)</f>
        <v>1875</v>
      </c>
      <c r="E118" s="1798">
        <f ca="1">ROUND(IF(C33="自定义",IF(D32="楼面单价",C34,D118*10000/B118),I118-G118),0)</f>
        <v>3039</v>
      </c>
      <c r="F118" s="1798">
        <f ca="1">ROUND(IF(D32="总价",C35,G118*B118/10000),0)</f>
        <v>109</v>
      </c>
      <c r="G118" s="1798">
        <f ca="1">ROUND(IF(D32="楼面单价",C35,F118*10000/B118),0)</f>
        <v>177</v>
      </c>
      <c r="H118" s="1798">
        <f ca="1">ROUND(IF(D32="总价",C32,I118*B118/10000),0)</f>
        <v>1984</v>
      </c>
      <c r="I118" s="1798">
        <f ca="1">ROUND(IF(D32="楼面单价",C32,H118*10000/B118),0)</f>
        <v>3216</v>
      </c>
    </row>
    <row r="119" spans="1:11" ht="18.75" customHeight="1">
      <c r="A119" s="3036" t="s">
        <v>2323</v>
      </c>
      <c r="B119" s="3036"/>
      <c r="C119" s="3036"/>
      <c r="D119" s="3081" t="str">
        <f ca="1">NUMBERSTRING(INT(D118*10000),2)&amp;"元整"</f>
        <v>壹仟捌佰柒拾伍万元整</v>
      </c>
      <c r="E119" s="3082"/>
      <c r="F119" s="3081" t="str">
        <f ca="1">NUMBERSTRING(INT(F118*10000),2)&amp;"元整"</f>
        <v>壹佰零玖万元整</v>
      </c>
      <c r="G119" s="3082"/>
      <c r="H119" s="3081" t="str">
        <f ca="1">NUMBERSTRING(INT(H118*10000),2)&amp;"元整"</f>
        <v>壹仟玖佰捌拾肆万元整</v>
      </c>
      <c r="I119" s="3082"/>
    </row>
    <row r="120" spans="1:11" ht="18.75" customHeight="1">
      <c r="A120" s="3076" t="str">
        <f>IF(项目基本情况!B9="房地产市场价值","",MID(E103,3,LEN(E103)-2))</f>
        <v>估价师知悉的法定优先受偿款</v>
      </c>
      <c r="B120" s="3077"/>
      <c r="C120" s="3078"/>
      <c r="D120" s="3076">
        <f>H103</f>
        <v>0</v>
      </c>
      <c r="E120" s="3077"/>
      <c r="F120" s="3077"/>
      <c r="G120" s="3077"/>
      <c r="H120" s="3077"/>
      <c r="I120" s="3078"/>
      <c r="K120" s="2427" t="str">
        <f>IF(D120=0,"故，本次评估不存在"&amp;A120,"故，本次评估"&amp;A120&amp;"为人民币"&amp;D120&amp;"万元整。")</f>
        <v>故，本次评估不存在估价师知悉的法定优先受偿款</v>
      </c>
    </row>
    <row r="121" spans="1:11" ht="18.75" customHeight="1">
      <c r="A121" s="3122" t="s">
        <v>2323</v>
      </c>
      <c r="B121" s="3123"/>
      <c r="C121" s="3124"/>
      <c r="D121" s="3081" t="str">
        <f>IF(D120=0,"零元整",NUMBERSTRING(INT(D120*10000),2)&amp;"元整")</f>
        <v>零元整</v>
      </c>
      <c r="E121" s="3083"/>
      <c r="F121" s="3083"/>
      <c r="G121" s="3083"/>
      <c r="H121" s="3083"/>
      <c r="I121" s="3082"/>
    </row>
    <row r="122" spans="1:11" ht="18.75" customHeight="1">
      <c r="A122" s="3087" t="str">
        <f>IF(项目基本情况!B9="房地产市场价值","",MID(E107,3,LEN(E107)-2))</f>
        <v>房地产抵押价值</v>
      </c>
      <c r="B122" s="3087"/>
      <c r="C122" s="3087"/>
      <c r="D122" s="3076">
        <f ca="1">H107</f>
        <v>1984</v>
      </c>
      <c r="E122" s="3077"/>
      <c r="F122" s="3077"/>
      <c r="G122" s="3077"/>
      <c r="H122" s="3077"/>
      <c r="I122" s="3078"/>
    </row>
    <row r="123" spans="1:11" ht="18.75" customHeight="1">
      <c r="A123" s="3036" t="s">
        <v>2323</v>
      </c>
      <c r="B123" s="3036"/>
      <c r="C123" s="3036"/>
      <c r="D123" s="3081" t="str">
        <f ca="1">NUMBERSTRING(INT(D122*10000),2)&amp;"元整"</f>
        <v>壹仟玖佰捌拾肆万元整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6" t="s">
        <v>2323</v>
      </c>
      <c r="B125" s="3036"/>
      <c r="C125" s="3036"/>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6" t="s">
        <v>2323</v>
      </c>
      <c r="B127" s="3036"/>
      <c r="C127" s="3036"/>
      <c r="D127" s="3081" t="e">
        <f>NUMBERSTRING(INT(D126*10000),2)&amp;"元整"</f>
        <v>#VALUE!</v>
      </c>
      <c r="E127" s="3083"/>
      <c r="F127" s="3083"/>
      <c r="G127" s="3083"/>
      <c r="H127" s="3083"/>
      <c r="I127" s="3082"/>
    </row>
    <row r="128" spans="1:11" ht="21.75" customHeight="1">
      <c r="A128" s="3084" t="s">
        <v>2324</v>
      </c>
      <c r="B128" s="3084"/>
      <c r="C128" s="3084"/>
      <c r="D128" s="3084"/>
      <c r="E128" s="3084"/>
      <c r="F128" s="3084"/>
      <c r="G128" s="3084"/>
      <c r="H128" s="3084"/>
      <c r="I128" s="3084"/>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5" sqref="H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8</v>
      </c>
    </row>
    <row r="2" spans="1:9" s="244" customFormat="1" ht="18" customHeight="1">
      <c r="A2" s="245" t="s">
        <v>2333</v>
      </c>
      <c r="B2" s="246">
        <f ca="1">IF(D2="——",C52,C52-E2)</f>
        <v>2230</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3614</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1473</v>
      </c>
      <c r="D5" s="255" t="s">
        <v>2340</v>
      </c>
      <c r="E5" s="256" t="s">
        <v>2341</v>
      </c>
      <c r="F5" s="256" t="s">
        <v>2342</v>
      </c>
      <c r="G5" s="257"/>
    </row>
    <row r="6" spans="1:9" s="258" customFormat="1" ht="13.5" customHeight="1">
      <c r="A6" s="952" t="s">
        <v>2343</v>
      </c>
      <c r="B6" s="259" t="s">
        <v>2344</v>
      </c>
      <c r="C6" s="260">
        <f>'土地比较法-工业'!B2</f>
        <v>1429</v>
      </c>
      <c r="D6" s="261"/>
      <c r="E6" s="262"/>
      <c r="F6" s="262"/>
      <c r="G6" s="263"/>
    </row>
    <row r="7" spans="1:9" s="258" customFormat="1" ht="13.5" customHeight="1">
      <c r="A7" s="952" t="s">
        <v>2345</v>
      </c>
      <c r="B7" s="259" t="s">
        <v>2346</v>
      </c>
      <c r="C7" s="264">
        <f>ROUND(C6*F7,0)</f>
        <v>44</v>
      </c>
      <c r="D7" s="264"/>
      <c r="E7" s="262"/>
      <c r="F7" s="265">
        <f>'数据-取费表'!B48+'数据-取费表'!B49</f>
        <v>3.0499999999999999E-2</v>
      </c>
      <c r="G7" s="263"/>
    </row>
    <row r="8" spans="1:9" s="267" customFormat="1">
      <c r="A8" s="952" t="s">
        <v>2347</v>
      </c>
      <c r="B8" s="259" t="s">
        <v>2348</v>
      </c>
      <c r="C8" s="264" t="str">
        <f>IF(G8="已包含在土地购买价格中","0",IF(B1="",'数据-取费表'!B29,IF(G9="全部缴纳",C9+C10,H9)))</f>
        <v>0</v>
      </c>
      <c r="D8" s="266"/>
      <c r="E8" s="264"/>
      <c r="F8" s="265"/>
      <c r="G8" s="2556" t="s">
        <v>1148</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c r="H9" s="1393"/>
      <c r="I9" s="2558" t="s">
        <v>2350</v>
      </c>
    </row>
    <row r="10" spans="1:9" s="258" customFormat="1" ht="13.5" customHeight="1">
      <c r="A10" s="953" t="s">
        <v>801</v>
      </c>
      <c r="B10" s="268" t="s">
        <v>2351</v>
      </c>
      <c r="C10" s="269">
        <f ca="1">ROUND(D10*E10/10000,0)</f>
        <v>117</v>
      </c>
      <c r="D10" s="1035">
        <f ca="1">IF(B1="",'数据-汇总表'!E6,IF(INDIRECT("'数据-取费表'!c"&amp;$G$1)="住宅",INDIRECT("'数据-取费表'!s"&amp;$G$1),INDIRECT("'数据-取费表'!k"&amp;$G$1)+INDIRECT("'数据-取费表'!s"&amp;$G$1)))</f>
        <v>6170.06</v>
      </c>
      <c r="E10" s="269">
        <f>'数据-取费表'!B28</f>
        <v>190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f ca="1">IF(G19="已包含在土地取得成本中","0",ROUND(D19*E19/10000,0))</f>
        <v>123</v>
      </c>
      <c r="D19" s="1039">
        <f ca="1">D9+D10</f>
        <v>6170.06</v>
      </c>
      <c r="E19" s="255">
        <f>'数据-取费表'!B31</f>
        <v>200</v>
      </c>
      <c r="F19" s="275"/>
      <c r="G19" s="2556" t="s">
        <v>1074</v>
      </c>
    </row>
    <row r="20" spans="1:7" s="258" customFormat="1" ht="13.5" customHeight="1">
      <c r="A20" s="299" t="s">
        <v>2364</v>
      </c>
      <c r="B20" s="254" t="s">
        <v>2365</v>
      </c>
      <c r="C20" s="276">
        <f ca="1">ROUND((C5+C19)*F20,0)</f>
        <v>48</v>
      </c>
      <c r="D20" s="276"/>
      <c r="E20" s="276"/>
      <c r="F20" s="277">
        <f>'数据-取费表'!B37</f>
        <v>0.03</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7">
        <f ca="1">ROUND(SUM(C23:C25),0)</f>
        <v>117</v>
      </c>
      <c r="D22" s="279">
        <f ca="1">C26</f>
        <v>1.1000000000000001E-3</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106</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9</v>
      </c>
      <c r="D24" s="282"/>
      <c r="E24" s="282"/>
      <c r="F24" s="283"/>
      <c r="G24" s="284" t="s">
        <v>2378</v>
      </c>
    </row>
    <row r="25" spans="1:7" s="258" customFormat="1" ht="24">
      <c r="A25" s="954" t="s">
        <v>2379</v>
      </c>
      <c r="B25" s="259" t="s">
        <v>2380</v>
      </c>
      <c r="C25" s="1358">
        <f ca="1">ROUND(IF('数据-取费表'!B22&lt;=1,C20*F22*'数据-取费表'!B23/2,C20*(POWER((1+F22),'数据-取费表'!B23/2)-1)),0)</f>
        <v>2</v>
      </c>
      <c r="D25" s="282"/>
      <c r="E25" s="285"/>
      <c r="F25" s="283"/>
      <c r="G25" s="286" t="s">
        <v>2381</v>
      </c>
    </row>
    <row r="26" spans="1:7" s="258" customFormat="1">
      <c r="A26" s="954" t="s">
        <v>795</v>
      </c>
      <c r="B26" s="259" t="s">
        <v>2382</v>
      </c>
      <c r="C26" s="282">
        <f ca="1">ROUND(IF('数据-取费表'!B22&lt;=1,F21*F22*'数据-取费表'!B23/2,F21*(POWER((1+F22),'数据-取费表'!B23/2)-1)),4)</f>
        <v>1.1000000000000001E-3</v>
      </c>
      <c r="D26" s="282"/>
      <c r="E26" s="285"/>
      <c r="F26" s="283"/>
      <c r="G26" s="287"/>
    </row>
    <row r="27" spans="1:7" s="258" customFormat="1" ht="24.75">
      <c r="A27" s="299" t="s">
        <v>2383</v>
      </c>
      <c r="B27" s="288" t="s">
        <v>2384</v>
      </c>
      <c r="C27" s="289">
        <f ca="1">C28</f>
        <v>164</v>
      </c>
      <c r="D27" s="279">
        <f ca="1">C29</f>
        <v>3.0000000000000001E-3</v>
      </c>
      <c r="E27" s="280" t="s">
        <v>2385</v>
      </c>
      <c r="F27" s="290">
        <f ca="1">IF(B1="",'数据-取费表'!Q16,INDIRECT("'数据-取费表'!q"&amp;$G$1))</f>
        <v>0.1</v>
      </c>
      <c r="G27" s="291" t="s">
        <v>2386</v>
      </c>
    </row>
    <row r="28" spans="1:7" s="258" customFormat="1" ht="13.5" customHeight="1">
      <c r="A28" s="954" t="s">
        <v>791</v>
      </c>
      <c r="B28" s="292" t="s">
        <v>2387</v>
      </c>
      <c r="C28" s="293">
        <f ca="1">ROUND((C5+C19+C20)*F27*'数据-取费表'!B21/'数据-取费表'!B20,0)</f>
        <v>164</v>
      </c>
      <c r="D28" s="279"/>
      <c r="E28" s="280"/>
      <c r="F28" s="290"/>
      <c r="G28" s="291"/>
    </row>
    <row r="29" spans="1:7" s="258" customFormat="1" ht="13.5" customHeight="1">
      <c r="A29" s="954" t="s">
        <v>792</v>
      </c>
      <c r="B29" s="292" t="s">
        <v>2388</v>
      </c>
      <c r="C29" s="282">
        <f ca="1">ROUND(C21*F27*'数据-取费表'!B21/'数据-取费表'!B20,4)</f>
        <v>3.0000000000000001E-3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2107</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480</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370</v>
      </c>
      <c r="D34" s="261"/>
      <c r="E34" s="264"/>
      <c r="F34" s="301">
        <f ca="1">IF('数据-取费表'!B24=0,1,IF(B1="",'数据-取费表'!N16,INDIRECT("'数据-取费表'!n"&amp;$G$1)))</f>
        <v>1</v>
      </c>
      <c r="G34" s="263" t="s">
        <v>2397</v>
      </c>
    </row>
    <row r="35" spans="1:7" ht="13.5" customHeight="1">
      <c r="A35" s="954" t="s">
        <v>796</v>
      </c>
      <c r="B35" s="259" t="s">
        <v>2398</v>
      </c>
      <c r="C35" s="264">
        <f ca="1">ROUND(C34*F35,0)</f>
        <v>11</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93</v>
      </c>
      <c r="D37" s="261">
        <f ca="1">D19</f>
        <v>6170.06</v>
      </c>
      <c r="E37" s="293">
        <f>'数据-取费表'!B35</f>
        <v>150</v>
      </c>
      <c r="F37" s="303"/>
      <c r="G37" s="305" t="s">
        <v>2403</v>
      </c>
    </row>
    <row r="38" spans="1:7" ht="13.5" customHeight="1">
      <c r="A38" s="954" t="s">
        <v>799</v>
      </c>
      <c r="B38" s="259" t="s">
        <v>2404</v>
      </c>
      <c r="C38" s="264">
        <f ca="1">ROUND(C34*F38,0)</f>
        <v>6</v>
      </c>
      <c r="D38" s="264"/>
      <c r="E38" s="264"/>
      <c r="F38" s="303">
        <f>'数据-取费表'!B36</f>
        <v>1.4999999999999999E-2</v>
      </c>
      <c r="G38" s="263" t="s">
        <v>2399</v>
      </c>
    </row>
    <row r="39" spans="1:7" s="258" customFormat="1" ht="13.5" customHeight="1">
      <c r="A39" s="299" t="s">
        <v>2405</v>
      </c>
      <c r="B39" s="254" t="s">
        <v>2406</v>
      </c>
      <c r="C39" s="276">
        <f ca="1">ROUND(C33*F20,0)</f>
        <v>14</v>
      </c>
      <c r="D39" s="276"/>
      <c r="E39" s="276"/>
      <c r="F39" s="277"/>
      <c r="G39" s="278" t="s">
        <v>2407</v>
      </c>
    </row>
    <row r="40" spans="1:7" s="258" customFormat="1" ht="13.5" customHeight="1">
      <c r="A40" s="299" t="s">
        <v>2408</v>
      </c>
      <c r="B40" s="254" t="s">
        <v>2409</v>
      </c>
      <c r="C40" s="1731">
        <f>F21</f>
        <v>0.03</v>
      </c>
      <c r="D40" s="280" t="s">
        <v>2410</v>
      </c>
      <c r="E40" s="276"/>
      <c r="F40" s="277"/>
      <c r="G40" s="278" t="s">
        <v>2411</v>
      </c>
    </row>
    <row r="41" spans="1:7" s="258" customFormat="1" ht="13.5" customHeight="1">
      <c r="A41" s="299" t="s">
        <v>2412</v>
      </c>
      <c r="B41" s="254" t="s">
        <v>2413</v>
      </c>
      <c r="C41" s="276">
        <f ca="1">ROUND(SUM(C42:C43),0)</f>
        <v>17</v>
      </c>
      <c r="D41" s="279">
        <f ca="1">C44</f>
        <v>1.1000000000000001E-3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17</v>
      </c>
      <c r="D42" s="282"/>
      <c r="E42" s="282"/>
      <c r="F42" s="283"/>
      <c r="G42" s="3156" t="s">
        <v>2415</v>
      </c>
    </row>
    <row r="43" spans="1:7" ht="13.5" customHeight="1">
      <c r="A43" s="954" t="s">
        <v>792</v>
      </c>
      <c r="B43" s="259" t="s">
        <v>2416</v>
      </c>
      <c r="C43" s="282">
        <f ca="1">ROUND(IF('数据-取费表'!B22&lt;=1,C39*F22*'数据-取费表'!B21/2,C39*(POWER((1+F22),'数据-取费表'!B21/2)-1)),0)</f>
        <v>0</v>
      </c>
      <c r="D43" s="282"/>
      <c r="E43" s="282"/>
      <c r="F43" s="283"/>
      <c r="G43" s="3157"/>
    </row>
    <row r="44" spans="1:7" ht="13.5" customHeight="1">
      <c r="A44" s="954" t="s">
        <v>793</v>
      </c>
      <c r="B44" s="259" t="s">
        <v>2417</v>
      </c>
      <c r="C44" s="282">
        <f ca="1">ROUND(IF('数据-取费表'!B22&lt;=1,C40*F22*'数据-取费表'!B21/2,C40*(POWER((1+F22),'数据-取费表'!B21/2)-1)),4)</f>
        <v>1.1000000000000001E-3</v>
      </c>
      <c r="D44" s="282"/>
      <c r="E44" s="282"/>
      <c r="F44" s="283"/>
      <c r="G44" s="3158"/>
    </row>
    <row r="45" spans="1:7" s="258" customFormat="1" ht="13.5" customHeight="1">
      <c r="A45" s="299" t="s">
        <v>2418</v>
      </c>
      <c r="B45" s="288" t="s">
        <v>2384</v>
      </c>
      <c r="C45" s="289">
        <f ca="1">C46</f>
        <v>49</v>
      </c>
      <c r="D45" s="279">
        <f ca="1">C47</f>
        <v>3.0000000000000001E-3</v>
      </c>
      <c r="E45" s="280" t="s">
        <v>2410</v>
      </c>
      <c r="F45" s="290"/>
      <c r="G45" s="291" t="s">
        <v>2419</v>
      </c>
    </row>
    <row r="46" spans="1:7" s="258" customFormat="1" ht="13.5" customHeight="1">
      <c r="A46" s="954" t="s">
        <v>791</v>
      </c>
      <c r="B46" s="292" t="s">
        <v>2420</v>
      </c>
      <c r="C46" s="293">
        <f ca="1">ROUND((C33+C39)*F27,0)</f>
        <v>49</v>
      </c>
      <c r="D46" s="307"/>
      <c r="E46" s="280"/>
      <c r="F46" s="290"/>
      <c r="G46" s="291"/>
    </row>
    <row r="47" spans="1:7" s="258" customFormat="1" ht="13.5" customHeight="1">
      <c r="A47" s="954" t="s">
        <v>792</v>
      </c>
      <c r="B47" s="292" t="s">
        <v>2421</v>
      </c>
      <c r="C47" s="282">
        <f ca="1">ROUND(C40*F27,4)</f>
        <v>3.0000000000000001E-3</v>
      </c>
      <c r="D47" s="307"/>
      <c r="E47" s="280"/>
      <c r="F47" s="290"/>
      <c r="G47" s="291"/>
    </row>
    <row r="48" spans="1:7" s="258" customFormat="1" ht="13.5" customHeight="1">
      <c r="A48" s="299" t="s">
        <v>2383</v>
      </c>
      <c r="B48" s="254" t="s">
        <v>2422</v>
      </c>
      <c r="C48" s="1731">
        <f>ROUND(F30/(1+'数据-取费表'!C42),4)</f>
        <v>5.2400000000000002E-2</v>
      </c>
      <c r="D48" s="280" t="s">
        <v>2410</v>
      </c>
      <c r="E48" s="276"/>
      <c r="F48" s="281"/>
      <c r="G48" s="278" t="s">
        <v>2423</v>
      </c>
    </row>
    <row r="49" spans="1:7" ht="16.5" customHeight="1">
      <c r="A49" s="299" t="s">
        <v>2389</v>
      </c>
      <c r="B49" s="254" t="s">
        <v>2424</v>
      </c>
      <c r="C49" s="276">
        <f ca="1">ROUND((C33+C39+C41+C45)/(1-C40-D41-D45-C48),0)</f>
        <v>613</v>
      </c>
      <c r="D49" s="276"/>
      <c r="E49" s="276"/>
      <c r="F49" s="308"/>
      <c r="G49" s="278" t="s">
        <v>2425</v>
      </c>
    </row>
    <row r="50" spans="1:7" s="302" customFormat="1" ht="24">
      <c r="A50" s="299" t="s">
        <v>2426</v>
      </c>
      <c r="B50" s="254" t="s">
        <v>2427</v>
      </c>
      <c r="C50" s="276"/>
      <c r="D50" s="276"/>
      <c r="E50" s="276"/>
      <c r="F50" s="308">
        <f>IF('数据-取费表'!B24=0,'数据-取费表'!N16,1)</f>
        <v>0.2</v>
      </c>
      <c r="G50" s="291" t="s">
        <v>2428</v>
      </c>
    </row>
    <row r="51" spans="1:7" ht="16.5" customHeight="1">
      <c r="A51" s="299" t="s">
        <v>2429</v>
      </c>
      <c r="B51" s="254" t="s">
        <v>2430</v>
      </c>
      <c r="C51" s="276">
        <f ca="1">ROUND(C49*F50,0)</f>
        <v>123</v>
      </c>
      <c r="D51" s="276"/>
      <c r="E51" s="276"/>
      <c r="F51" s="308"/>
      <c r="G51" s="278" t="s">
        <v>2431</v>
      </c>
    </row>
    <row r="52" spans="1:7" s="252" customFormat="1" ht="16.5" thickBot="1">
      <c r="A52" s="309" t="s">
        <v>2432</v>
      </c>
      <c r="B52" s="310"/>
      <c r="C52" s="311">
        <f ca="1">C31+C51</f>
        <v>2230</v>
      </c>
      <c r="D52" s="310"/>
      <c r="E52" s="310"/>
      <c r="F52" s="310"/>
      <c r="G52" s="312"/>
    </row>
    <row r="55" spans="1:7" ht="15">
      <c r="B55" s="314" t="s">
        <v>2433</v>
      </c>
      <c r="C55" s="315"/>
    </row>
    <row r="56" spans="1:7">
      <c r="B56" s="317" t="s">
        <v>1514</v>
      </c>
      <c r="C56" s="319">
        <f ca="1">1-C57</f>
        <v>0.94499999999999995</v>
      </c>
    </row>
    <row r="57" spans="1:7">
      <c r="B57" s="317" t="s">
        <v>1515</v>
      </c>
      <c r="C57" s="318">
        <f ca="1">ROUND(C51/C52,3)</f>
        <v>5.5E-2</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0" t="str">
        <f>项目基本情况!B1</f>
        <v>北京市阎村镇燕东路北预评估</v>
      </c>
      <c r="C37" s="2970"/>
      <c r="D37" s="2970"/>
      <c r="E37" s="2970"/>
      <c r="F37" s="2970"/>
      <c r="G37" s="2970"/>
      <c r="H37" s="2970"/>
      <c r="I37" s="297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9" t="s">
        <v>2434</v>
      </c>
      <c r="D1" s="242"/>
      <c r="E1" s="242"/>
      <c r="F1" s="242"/>
      <c r="G1" s="1382">
        <f>MATCH(B1,'数据-取费表'!A6:A16,0)+5</f>
        <v>8</v>
      </c>
      <c r="H1" s="1285" t="str">
        <f>IF(ISERROR(FIND("住宅",B1)),"非住宅","住宅")</f>
        <v>非住宅</v>
      </c>
    </row>
    <row r="2" spans="1:8" s="244" customFormat="1" ht="18" customHeight="1">
      <c r="A2" s="245" t="s">
        <v>2333</v>
      </c>
      <c r="B2" s="246">
        <f ca="1">ROUND(IF(D2="——",C52/10000,C52/10000-E2),0)</f>
        <v>1492</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2418</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9139194.1799999997</v>
      </c>
      <c r="D5" s="255" t="s">
        <v>2340</v>
      </c>
      <c r="E5" s="256" t="s">
        <v>2341</v>
      </c>
      <c r="F5" s="256" t="s">
        <v>2342</v>
      </c>
      <c r="G5" s="257"/>
    </row>
    <row r="6" spans="1:8" s="258" customFormat="1" ht="13.5" customHeight="1">
      <c r="A6" s="952" t="s">
        <v>2343</v>
      </c>
      <c r="B6" s="259" t="s">
        <v>2344</v>
      </c>
      <c r="C6" s="260">
        <f>'土地比较法-工业'!B51*'土地比较法-工业'!E51</f>
        <v>7731085.1800000006</v>
      </c>
      <c r="D6" s="261"/>
      <c r="E6" s="262"/>
      <c r="F6" s="262"/>
      <c r="G6" s="263"/>
    </row>
    <row r="7" spans="1:8" s="258" customFormat="1" ht="13.5" customHeight="1">
      <c r="A7" s="952" t="s">
        <v>2345</v>
      </c>
      <c r="B7" s="259" t="s">
        <v>2346</v>
      </c>
      <c r="C7" s="264">
        <f>ROUND(C6*F7,0)</f>
        <v>235798</v>
      </c>
      <c r="D7" s="264"/>
      <c r="E7" s="262"/>
      <c r="F7" s="265">
        <f>'数据-取费表'!B48+'数据-取费表'!B49</f>
        <v>3.0499999999999999E-2</v>
      </c>
      <c r="G7" s="263"/>
    </row>
    <row r="8" spans="1:8" s="267" customFormat="1">
      <c r="A8" s="952" t="s">
        <v>2347</v>
      </c>
      <c r="B8" s="259" t="s">
        <v>2348</v>
      </c>
      <c r="C8" s="264">
        <f ca="1">IF(G8="已包含在土地购买价格中",0,C9+C10)</f>
        <v>1172311</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1172311</v>
      </c>
      <c r="D10" s="1035">
        <f ca="1">IF(B1="",'数据-汇总表'!E6,IF(INDIRECT("'数据-取费表'!c"&amp;$G$1)="住宅",INDIRECT("'数据-取费表'!s"&amp;$G$1),INDIRECT("'数据-取费表'!k"&amp;$G$1)+INDIRECT("'数据-取费表'!s"&amp;$G$1)))</f>
        <v>6170.06</v>
      </c>
      <c r="E10" s="269">
        <f>'数据-取费表'!B28</f>
        <v>190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1234012</v>
      </c>
      <c r="D19" s="1039">
        <f ca="1">D9+D10</f>
        <v>6170.06</v>
      </c>
      <c r="E19" s="255">
        <f>'数据-取费表'!B31</f>
        <v>200</v>
      </c>
      <c r="F19" s="275"/>
      <c r="G19" s="2556"/>
    </row>
    <row r="20" spans="1:7" s="258" customFormat="1" ht="13.5" customHeight="1">
      <c r="A20" s="299" t="s">
        <v>2445</v>
      </c>
      <c r="B20" s="254" t="s">
        <v>2446</v>
      </c>
      <c r="C20" s="276">
        <f ca="1">ROUND((C5+C19)*F20,0)</f>
        <v>311196</v>
      </c>
      <c r="D20" s="276"/>
      <c r="E20" s="276"/>
      <c r="F20" s="277">
        <f>'数据-取费表'!B37</f>
        <v>0.03</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83">
        <f ca="1">ROUND(SUM(C23:C25),0)</f>
        <v>758821</v>
      </c>
      <c r="D22" s="279">
        <f ca="1">C26</f>
        <v>1.1000000000000001E-3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658840</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88959</v>
      </c>
      <c r="D24" s="282"/>
      <c r="E24" s="282"/>
      <c r="F24" s="283"/>
      <c r="G24" s="284" t="s">
        <v>2457</v>
      </c>
    </row>
    <row r="25" spans="1:7" s="258" customFormat="1" ht="24">
      <c r="A25" s="954" t="s">
        <v>2347</v>
      </c>
      <c r="B25" s="259" t="s">
        <v>2458</v>
      </c>
      <c r="C25" s="1384">
        <f ca="1">ROUND(IF('数据-取费表'!B22&lt;=1,C20*F22*'数据-取费表'!B22/2,C20*(POWER((1+F22),'数据-取费表'!B22/2)-1)),0)</f>
        <v>11022</v>
      </c>
      <c r="D25" s="282"/>
      <c r="E25" s="285"/>
      <c r="F25" s="283"/>
      <c r="G25" s="286" t="s">
        <v>2459</v>
      </c>
    </row>
    <row r="26" spans="1:7" s="258" customFormat="1">
      <c r="A26" s="954" t="s">
        <v>795</v>
      </c>
      <c r="B26" s="259" t="s">
        <v>2382</v>
      </c>
      <c r="C26" s="282">
        <f ca="1">ROUND(IF('数据-取费表'!B22&lt;=1,F21*F22*'数据-取费表'!B22/2,F21*(POWER((1+F22),'数据-取费表'!B22/2)-1)),4)</f>
        <v>1.1000000000000001E-3</v>
      </c>
      <c r="D26" s="282"/>
      <c r="E26" s="285"/>
      <c r="F26" s="283"/>
      <c r="G26" s="287"/>
    </row>
    <row r="27" spans="1:7" s="258" customFormat="1" ht="24.75">
      <c r="A27" s="299" t="s">
        <v>2383</v>
      </c>
      <c r="B27" s="288" t="s">
        <v>2384</v>
      </c>
      <c r="C27" s="289">
        <f ca="1">C28</f>
        <v>1068440</v>
      </c>
      <c r="D27" s="279">
        <f ca="1">C29</f>
        <v>3.0000000000000001E-3</v>
      </c>
      <c r="E27" s="280" t="s">
        <v>2385</v>
      </c>
      <c r="F27" s="290">
        <f ca="1">IF(B1="",'数据-取费表'!Q16,INDIRECT("'数据-取费表'!q"&amp;$G$1))</f>
        <v>0.1</v>
      </c>
      <c r="G27" s="291" t="s">
        <v>2386</v>
      </c>
    </row>
    <row r="28" spans="1:7" s="258" customFormat="1" ht="13.5" customHeight="1">
      <c r="A28" s="954" t="s">
        <v>791</v>
      </c>
      <c r="B28" s="292" t="s">
        <v>2387</v>
      </c>
      <c r="C28" s="293">
        <f ca="1">ROUND((C5+C19+C20)*F27,0)</f>
        <v>1068440</v>
      </c>
      <c r="D28" s="279"/>
      <c r="E28" s="280"/>
      <c r="F28" s="290"/>
      <c r="G28" s="291"/>
    </row>
    <row r="29" spans="1:7" s="258" customFormat="1" ht="13.5" customHeight="1">
      <c r="A29" s="954" t="s">
        <v>792</v>
      </c>
      <c r="B29" s="292" t="s">
        <v>2388</v>
      </c>
      <c r="C29" s="282">
        <f ca="1">ROUND(C21*F27,4)</f>
        <v>3.0000000000000001E-3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13696402</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4794137</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3702036</v>
      </c>
      <c r="D34" s="261"/>
      <c r="E34" s="264"/>
      <c r="F34" s="301"/>
      <c r="G34" s="263"/>
    </row>
    <row r="35" spans="1:7" ht="13.5" customHeight="1">
      <c r="A35" s="954" t="s">
        <v>796</v>
      </c>
      <c r="B35" s="259" t="s">
        <v>2398</v>
      </c>
      <c r="C35" s="264">
        <f ca="1">ROUND(C34*F35,0)</f>
        <v>111061</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925509</v>
      </c>
      <c r="D37" s="261">
        <f ca="1">D19</f>
        <v>6170.06</v>
      </c>
      <c r="E37" s="293">
        <f>'数据-取费表'!B35</f>
        <v>150</v>
      </c>
      <c r="F37" s="303"/>
      <c r="G37" s="305"/>
    </row>
    <row r="38" spans="1:7" ht="13.5" customHeight="1">
      <c r="A38" s="954" t="s">
        <v>799</v>
      </c>
      <c r="B38" s="259" t="s">
        <v>2404</v>
      </c>
      <c r="C38" s="264">
        <f ca="1">ROUND(C34*F38,0)</f>
        <v>55531</v>
      </c>
      <c r="D38" s="264"/>
      <c r="E38" s="264"/>
      <c r="F38" s="303">
        <f>'数据-取费表'!B36</f>
        <v>1.4999999999999999E-2</v>
      </c>
      <c r="G38" s="263" t="s">
        <v>2399</v>
      </c>
    </row>
    <row r="39" spans="1:7" s="258" customFormat="1" ht="13.5" customHeight="1">
      <c r="A39" s="299" t="s">
        <v>2405</v>
      </c>
      <c r="B39" s="254" t="s">
        <v>2406</v>
      </c>
      <c r="C39" s="276">
        <f ca="1">ROUND(C33*F20,0)</f>
        <v>143824</v>
      </c>
      <c r="D39" s="276"/>
      <c r="E39" s="276"/>
      <c r="F39" s="277"/>
      <c r="G39" s="278" t="s">
        <v>2407</v>
      </c>
    </row>
    <row r="40" spans="1:7" s="258" customFormat="1" ht="13.5" customHeight="1">
      <c r="A40" s="299" t="s">
        <v>2408</v>
      </c>
      <c r="B40" s="254" t="s">
        <v>2409</v>
      </c>
      <c r="C40" s="1731">
        <f>F21</f>
        <v>0.03</v>
      </c>
      <c r="D40" s="280" t="s">
        <v>2410</v>
      </c>
      <c r="E40" s="276"/>
      <c r="F40" s="277"/>
      <c r="G40" s="278" t="s">
        <v>2411</v>
      </c>
    </row>
    <row r="41" spans="1:7" s="258" customFormat="1" ht="13.5" customHeight="1">
      <c r="A41" s="299" t="s">
        <v>2412</v>
      </c>
      <c r="B41" s="254" t="s">
        <v>2413</v>
      </c>
      <c r="C41" s="276">
        <f ca="1">ROUND(SUM(C42:C43),0)</f>
        <v>174891</v>
      </c>
      <c r="D41" s="279">
        <f ca="1">C44</f>
        <v>1.1000000000000001E-3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169797</v>
      </c>
      <c r="D42" s="282"/>
      <c r="E42" s="282"/>
      <c r="F42" s="283"/>
      <c r="G42" s="3156" t="s">
        <v>2462</v>
      </c>
    </row>
    <row r="43" spans="1:7" ht="13.5" customHeight="1">
      <c r="A43" s="954" t="s">
        <v>792</v>
      </c>
      <c r="B43" s="259" t="s">
        <v>2416</v>
      </c>
      <c r="C43" s="282">
        <f ca="1">ROUND(IF('数据-取费表'!B22&lt;=1,C39*F22*'数据-取费表'!B20/2,C39*(POWER((1+F22),'数据-取费表'!B20/2)-1)),0)</f>
        <v>5094</v>
      </c>
      <c r="D43" s="282"/>
      <c r="E43" s="282"/>
      <c r="F43" s="283"/>
      <c r="G43" s="3157"/>
    </row>
    <row r="44" spans="1:7" ht="13.5" customHeight="1">
      <c r="A44" s="954" t="s">
        <v>793</v>
      </c>
      <c r="B44" s="259" t="s">
        <v>2417</v>
      </c>
      <c r="C44" s="282">
        <f ca="1">ROUND(IF('数据-取费表'!B22&lt;=1,C40*F22*'数据-取费表'!B20/2,C40*(POWER((1+F22),'数据-取费表'!B20/2)-1)),4)</f>
        <v>1.1000000000000001E-3</v>
      </c>
      <c r="D44" s="282"/>
      <c r="E44" s="282"/>
      <c r="F44" s="283"/>
      <c r="G44" s="3158"/>
    </row>
    <row r="45" spans="1:7" s="258" customFormat="1" ht="13.5" customHeight="1">
      <c r="A45" s="299" t="s">
        <v>2418</v>
      </c>
      <c r="B45" s="288" t="s">
        <v>2384</v>
      </c>
      <c r="C45" s="289">
        <f ca="1">C46</f>
        <v>493796</v>
      </c>
      <c r="D45" s="279">
        <f ca="1">C47</f>
        <v>3.0000000000000001E-3</v>
      </c>
      <c r="E45" s="280" t="s">
        <v>2410</v>
      </c>
      <c r="F45" s="290"/>
      <c r="G45" s="291" t="s">
        <v>2419</v>
      </c>
    </row>
    <row r="46" spans="1:7" s="258" customFormat="1" ht="13.5" customHeight="1">
      <c r="A46" s="954" t="s">
        <v>791</v>
      </c>
      <c r="B46" s="292" t="s">
        <v>2420</v>
      </c>
      <c r="C46" s="293">
        <f ca="1">ROUND((C33+C39)*F27,0)</f>
        <v>493796</v>
      </c>
      <c r="D46" s="307"/>
      <c r="E46" s="280"/>
      <c r="F46" s="290"/>
      <c r="G46" s="291"/>
    </row>
    <row r="47" spans="1:7" s="258" customFormat="1" ht="13.5" customHeight="1">
      <c r="A47" s="954" t="s">
        <v>792</v>
      </c>
      <c r="B47" s="292" t="s">
        <v>2421</v>
      </c>
      <c r="C47" s="282">
        <f ca="1">ROUND(C40*F27,4)</f>
        <v>3.0000000000000001E-3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6137546</v>
      </c>
      <c r="D49" s="276"/>
      <c r="E49" s="276"/>
      <c r="F49" s="308"/>
      <c r="G49" s="278" t="s">
        <v>2425</v>
      </c>
    </row>
    <row r="50" spans="1:7" s="302" customFormat="1">
      <c r="A50" s="299" t="s">
        <v>2426</v>
      </c>
      <c r="B50" s="254" t="s">
        <v>2427</v>
      </c>
      <c r="C50" s="276"/>
      <c r="D50" s="276"/>
      <c r="E50" s="276"/>
      <c r="F50" s="308">
        <f>IF('数据-取费表'!B24=0,'数据-取费表'!N16,1)</f>
        <v>0.2</v>
      </c>
      <c r="G50" s="291"/>
    </row>
    <row r="51" spans="1:7" ht="16.5" customHeight="1">
      <c r="A51" s="299" t="s">
        <v>2429</v>
      </c>
      <c r="B51" s="254" t="s">
        <v>2464</v>
      </c>
      <c r="C51" s="276">
        <f ca="1">ROUND(C49*F50,0)</f>
        <v>1227509</v>
      </c>
      <c r="D51" s="276"/>
      <c r="E51" s="276"/>
      <c r="F51" s="308"/>
      <c r="G51" s="278" t="s">
        <v>2431</v>
      </c>
    </row>
    <row r="52" spans="1:7" s="252" customFormat="1" ht="16.5" thickBot="1">
      <c r="A52" s="309" t="s">
        <v>2432</v>
      </c>
      <c r="B52" s="310"/>
      <c r="C52" s="311">
        <f ca="1">C31+C51</f>
        <v>14923911</v>
      </c>
      <c r="D52" s="310"/>
      <c r="E52" s="310"/>
      <c r="F52" s="310"/>
      <c r="G52" s="312"/>
    </row>
    <row r="55" spans="1:7" ht="15">
      <c r="B55" s="314" t="s">
        <v>2433</v>
      </c>
      <c r="C55" s="315"/>
    </row>
    <row r="56" spans="1:7">
      <c r="B56" s="317" t="s">
        <v>1514</v>
      </c>
      <c r="C56" s="319">
        <f ca="1">1-C57</f>
        <v>0.91800000000000004</v>
      </c>
    </row>
    <row r="57" spans="1:7">
      <c r="B57" s="317" t="s">
        <v>1515</v>
      </c>
      <c r="C57" s="318">
        <f ca="1">ROUND(C51/C52,3)</f>
        <v>8.2000000000000003E-2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8</v>
      </c>
    </row>
    <row r="2" spans="1:33" ht="18" customHeight="1">
      <c r="A2" s="245" t="s">
        <v>2333</v>
      </c>
      <c r="B2" s="248">
        <f ca="1">C32</f>
        <v>-129</v>
      </c>
      <c r="C2" s="320" t="s">
        <v>2466</v>
      </c>
      <c r="D2" s="320"/>
      <c r="E2" s="320"/>
      <c r="F2" s="320"/>
      <c r="G2" s="320"/>
      <c r="H2" s="320"/>
      <c r="I2" s="320"/>
      <c r="J2" s="320"/>
      <c r="K2" s="320"/>
    </row>
    <row r="3" spans="1:33" ht="18" customHeight="1" thickBot="1">
      <c r="A3" s="247" t="s">
        <v>2335</v>
      </c>
      <c r="B3" s="248">
        <f ca="1">ROUND(B2*10000/IF(C1="",'数据-汇总表'!E3,INDIRECT("'数据-取费表'!K"&amp;$K$1)),0)</f>
        <v>-209</v>
      </c>
      <c r="C3" s="320" t="s">
        <v>2467</v>
      </c>
      <c r="D3" s="320"/>
      <c r="E3" s="320"/>
      <c r="F3" s="320"/>
      <c r="G3" s="320"/>
      <c r="H3" s="320"/>
      <c r="I3" s="320"/>
      <c r="J3" s="320"/>
      <c r="K3" s="320"/>
    </row>
    <row r="4" spans="1:33" s="959" customFormat="1" ht="16.5" customHeight="1">
      <c r="A4" s="956" t="s">
        <v>2468</v>
      </c>
      <c r="B4" s="957"/>
      <c r="C4" s="999">
        <f>SUM(C8:K8)</f>
        <v>0</v>
      </c>
      <c r="D4" s="957"/>
      <c r="E4" s="957"/>
      <c r="F4" s="957"/>
      <c r="G4" s="957"/>
      <c r="H4" s="957"/>
      <c r="I4" s="957"/>
      <c r="J4" s="957"/>
      <c r="K4" s="958"/>
    </row>
    <row r="5" spans="1:33" s="963" customFormat="1" ht="24.75">
      <c r="A5" s="960" t="s">
        <v>2469</v>
      </c>
      <c r="B5" s="961" t="s">
        <v>2470</v>
      </c>
      <c r="C5" s="2560" t="s">
        <v>2471</v>
      </c>
      <c r="D5" s="2560" t="s">
        <v>2472</v>
      </c>
      <c r="E5" s="2560" t="s">
        <v>2473</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2477</v>
      </c>
      <c r="B8" s="177" t="s">
        <v>2478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2479</v>
      </c>
      <c r="B9" s="957"/>
      <c r="C9" s="957"/>
      <c r="D9" s="957"/>
      <c r="E9" s="957"/>
      <c r="F9" s="957"/>
      <c r="G9" s="957"/>
      <c r="H9" s="957"/>
      <c r="I9" s="957"/>
      <c r="J9" s="957"/>
      <c r="K9" s="958"/>
    </row>
    <row r="10" spans="1:33" s="973" customFormat="1" ht="13.5" customHeight="1">
      <c r="A10" s="960" t="s">
        <v>2480</v>
      </c>
      <c r="B10" s="8" t="s">
        <v>2481</v>
      </c>
      <c r="C10" s="969" t="s">
        <v>2482</v>
      </c>
      <c r="D10" s="970" t="s">
        <v>2483</v>
      </c>
      <c r="E10" s="970" t="s">
        <v>2484</v>
      </c>
      <c r="F10" s="970" t="s">
        <v>2485</v>
      </c>
      <c r="G10" s="8"/>
      <c r="H10" s="971"/>
      <c r="I10" s="971"/>
      <c r="J10" s="971"/>
      <c r="K10" s="972"/>
    </row>
    <row r="11" spans="1:33" s="978" customFormat="1" ht="13.5" customHeight="1">
      <c r="A11" s="974" t="s">
        <v>1334</v>
      </c>
      <c r="B11" s="975" t="s">
        <v>2486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2487</v>
      </c>
      <c r="C12" s="24">
        <f ca="1">ROUND(C11*F12,0)</f>
        <v>0</v>
      </c>
      <c r="D12" s="976"/>
      <c r="E12" s="375"/>
      <c r="F12" s="979">
        <f>'数据-取费表'!B33</f>
        <v>0.03</v>
      </c>
      <c r="G12" s="8" t="s">
        <v>2488</v>
      </c>
      <c r="H12" s="971"/>
      <c r="I12" s="971"/>
      <c r="J12" s="971"/>
      <c r="K12" s="972"/>
    </row>
    <row r="13" spans="1:33" s="978" customFormat="1" ht="13.5" customHeight="1">
      <c r="A13" s="974" t="s">
        <v>1336</v>
      </c>
      <c r="B13" s="975" t="s">
        <v>2489</v>
      </c>
      <c r="C13" s="24">
        <f ca="1">ROUND(IF(C1="",SUMIF('数据-取费表'!C:C,"住宅",'数据-取费表'!P:P)*F13,IF(INDIRECT("'数据-取费表'!c"&amp;$K$1)="住宅",INDIRECT("'数据-取费表'!P"&amp;$K$1)*F13,0)),0)</f>
        <v>0</v>
      </c>
      <c r="D13" s="1036"/>
      <c r="E13" s="375"/>
      <c r="F13" s="979">
        <f>'数据-取费表'!B34</f>
        <v>0</v>
      </c>
      <c r="G13" s="8" t="s">
        <v>2490</v>
      </c>
      <c r="H13" s="971"/>
      <c r="I13" s="971"/>
      <c r="J13" s="971"/>
      <c r="K13" s="972"/>
    </row>
    <row r="14" spans="1:33" s="980" customFormat="1" ht="13.5" customHeight="1">
      <c r="A14" s="974" t="s">
        <v>1337</v>
      </c>
      <c r="B14" s="975" t="s">
        <v>2491</v>
      </c>
      <c r="C14" s="24">
        <f ca="1">ROUND(D14*E14*F11/10000,0)</f>
        <v>0</v>
      </c>
      <c r="D14" s="1036">
        <f ca="1">IF(C1="",'数据-汇总表'!E3,INDIRECT("'数据-取费表'!K"&amp;$K$1)+INDIRECT("'数据-取费表'!S"&amp;$K$1))</f>
        <v>6170.06</v>
      </c>
      <c r="E14" s="24">
        <f>'数据-取费表'!B35</f>
        <v>150</v>
      </c>
      <c r="F14" s="979"/>
      <c r="G14" s="8" t="s">
        <v>2492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2493</v>
      </c>
      <c r="C15" s="986">
        <f ca="1">ROUND(C11*F15,0)</f>
        <v>0</v>
      </c>
      <c r="D15" s="981"/>
      <c r="E15" s="986"/>
      <c r="F15" s="987">
        <f>'数据-取费表'!B36</f>
        <v>1.4999999999999999E-2</v>
      </c>
      <c r="G15" s="140" t="s">
        <v>2494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2496</v>
      </c>
      <c r="C17" s="24">
        <f ca="1">ROUND(D17*E17/10000,0)</f>
        <v>0</v>
      </c>
      <c r="D17" s="1036">
        <f ca="1">D14</f>
        <v>6170.06</v>
      </c>
      <c r="E17" s="24">
        <f>'数据-取费表'!B32</f>
        <v>0</v>
      </c>
      <c r="F17" s="981"/>
      <c r="G17" s="140" t="s">
        <v>2497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2498</v>
      </c>
      <c r="C18" s="24">
        <f ca="1">C19+C20-IF(C1="",'数据-取费表'!B29,IF(G18="已全部缴纳",C19+C20,H18))</f>
        <v>117</v>
      </c>
      <c r="D18" s="1036"/>
      <c r="E18" s="24"/>
      <c r="F18" s="979"/>
      <c r="G18" s="2562"/>
      <c r="H18" s="1580"/>
      <c r="I18" s="2563" t="s">
        <v>2499</v>
      </c>
      <c r="J18" s="982"/>
      <c r="K18" s="983"/>
    </row>
    <row r="19" spans="1:33" s="978" customFormat="1" ht="13.5" customHeight="1">
      <c r="A19" s="974" t="s">
        <v>805</v>
      </c>
      <c r="B19" s="975" t="s">
        <v>2500</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2501</v>
      </c>
      <c r="C20" s="24">
        <f ca="1">ROUND(D20*E20/10000,0)</f>
        <v>117</v>
      </c>
      <c r="D20" s="1036">
        <f ca="1">IF(C1="",'数据-汇总表'!E6,IF(INDIRECT("'数据-取费表'!c"&amp;$K$1)="住宅",INDIRECT("'数据-取费表'!s"&amp;$K$1),INDIRECT("'数据-取费表'!k"&amp;$K$1)+INDIRECT("'数据-取费表'!s"&amp;$K$1)))</f>
        <v>6170.06</v>
      </c>
      <c r="E20" s="24">
        <f>'数据-取费表'!B28</f>
        <v>190</v>
      </c>
      <c r="F20" s="979"/>
      <c r="G20" s="15"/>
      <c r="H20" s="984"/>
      <c r="I20" s="984"/>
      <c r="J20" s="984"/>
      <c r="K20" s="985"/>
    </row>
    <row r="21" spans="1:33" s="978" customFormat="1" ht="13.5" customHeight="1">
      <c r="A21" s="964" t="s">
        <v>802</v>
      </c>
      <c r="B21" s="988" t="s">
        <v>2502</v>
      </c>
      <c r="C21" s="989">
        <f ca="1">C16+C17+C18</f>
        <v>117</v>
      </c>
      <c r="D21" s="990"/>
      <c r="E21" s="325"/>
      <c r="F21" s="325"/>
      <c r="G21" s="140" t="s">
        <v>2503</v>
      </c>
      <c r="H21" s="982"/>
      <c r="I21" s="982"/>
      <c r="J21" s="982"/>
      <c r="K21" s="983"/>
    </row>
    <row r="22" spans="1:33" s="978" customFormat="1" ht="13.5" customHeight="1">
      <c r="A22" s="964" t="s">
        <v>2475</v>
      </c>
      <c r="B22" s="988" t="s">
        <v>2504</v>
      </c>
      <c r="C22" s="989">
        <f ca="1">ROUND(C21*F22,0)</f>
        <v>4</v>
      </c>
      <c r="D22" s="325"/>
      <c r="E22" s="325"/>
      <c r="F22" s="991">
        <f>'数据-取费表'!B37</f>
        <v>0.03</v>
      </c>
      <c r="G22" s="8" t="s">
        <v>2505</v>
      </c>
      <c r="H22" s="971"/>
      <c r="I22" s="971"/>
      <c r="J22" s="971"/>
      <c r="K22" s="972"/>
    </row>
    <row r="23" spans="1:33" s="978" customFormat="1" ht="13.5" customHeight="1">
      <c r="A23" s="964" t="s">
        <v>2477</v>
      </c>
      <c r="B23" s="988" t="s">
        <v>2506</v>
      </c>
      <c r="C23" s="989">
        <f ca="1">ROUND(C4*F23*F11,0)</f>
        <v>0</v>
      </c>
      <c r="D23" s="325"/>
      <c r="E23" s="325"/>
      <c r="F23" s="991">
        <f>'数据-取费表'!B38</f>
        <v>0.03</v>
      </c>
      <c r="G23" s="8" t="s">
        <v>2507</v>
      </c>
      <c r="H23" s="971"/>
      <c r="I23" s="971"/>
      <c r="J23" s="971"/>
      <c r="K23" s="972"/>
    </row>
    <row r="24" spans="1:33" s="978" customFormat="1" ht="13.5" customHeight="1">
      <c r="A24" s="964" t="s">
        <v>2508</v>
      </c>
      <c r="B24" s="988" t="s">
        <v>2509</v>
      </c>
      <c r="C24" s="324">
        <f>ROUND(F24/(1+'数据-取费表'!C42),4)</f>
        <v>2.9000000000000001E-2</v>
      </c>
      <c r="D24" s="325" t="s">
        <v>15</v>
      </c>
      <c r="E24" s="325"/>
      <c r="F24" s="991">
        <f>'数据-取费表'!B48+'数据-取费表'!B49</f>
        <v>3.0499999999999999E-2</v>
      </c>
      <c r="G24" s="8" t="s">
        <v>2510</v>
      </c>
      <c r="H24" s="993"/>
      <c r="I24" s="993"/>
      <c r="J24" s="993"/>
      <c r="K24" s="994"/>
    </row>
    <row r="25" spans="1:33" s="978" customFormat="1" ht="13.5" customHeight="1">
      <c r="A25" s="964" t="s">
        <v>2511</v>
      </c>
      <c r="B25" s="990" t="s">
        <v>2512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2513</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2514</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2515</v>
      </c>
      <c r="B28" s="2565" t="s">
        <v>2516</v>
      </c>
      <c r="C28" s="331">
        <f ca="1">C30</f>
        <v>12</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2517</v>
      </c>
      <c r="C29" s="328">
        <f ca="1">ROUND((1+C24)*F28*'数据-取费表'!B24/'数据-取费表'!B20,4)</f>
        <v>0</v>
      </c>
      <c r="D29" s="328"/>
      <c r="E29" s="329"/>
      <c r="F29" s="334"/>
      <c r="G29" s="140" t="s">
        <v>2518</v>
      </c>
      <c r="H29" s="982"/>
      <c r="I29" s="982"/>
      <c r="J29" s="982"/>
      <c r="K29" s="983"/>
    </row>
    <row r="30" spans="1:33" s="335" customFormat="1" ht="13.5" customHeight="1">
      <c r="A30" s="974" t="s">
        <v>804</v>
      </c>
      <c r="B30" s="997" t="s">
        <v>2519</v>
      </c>
      <c r="C30" s="336">
        <f ca="1">ROUND((C21+C22+C23)*F28,0)</f>
        <v>12</v>
      </c>
      <c r="D30" s="328"/>
      <c r="E30" s="329"/>
      <c r="F30" s="334"/>
      <c r="G30" s="140"/>
      <c r="H30" s="982"/>
      <c r="I30" s="982"/>
      <c r="J30" s="982"/>
      <c r="K30" s="983"/>
    </row>
    <row r="31" spans="1:33" s="978" customFormat="1" ht="13.5" customHeight="1" thickBot="1">
      <c r="A31" s="2566" t="s">
        <v>2520</v>
      </c>
      <c r="B31" s="1008" t="s">
        <v>2521</v>
      </c>
      <c r="C31" s="1009">
        <f>ROUND(C4*F31/(1+'数据-取费表'!C42),0)</f>
        <v>0</v>
      </c>
      <c r="D31" s="1010"/>
      <c r="E31" s="1011"/>
      <c r="F31" s="1012">
        <f>'数据-取费表'!B41</f>
        <v>5.5000000000000007E-2</v>
      </c>
      <c r="G31" s="1013" t="s">
        <v>2522</v>
      </c>
      <c r="H31" s="1014"/>
      <c r="I31" s="1014"/>
      <c r="J31" s="1014"/>
      <c r="K31" s="1015"/>
    </row>
    <row r="32" spans="1:33" s="973" customFormat="1" ht="13.5" customHeight="1" thickBot="1">
      <c r="A32" s="1003" t="s">
        <v>2523</v>
      </c>
      <c r="B32" s="1004"/>
      <c r="C32" s="1005">
        <f ca="1">ROUND((C4-C21-C22-C23-C25-C28-C31)/(1+C24+D25+D28),0)</f>
        <v>-129</v>
      </c>
      <c r="D32" s="1004"/>
      <c r="E32" s="1004"/>
      <c r="F32" s="1004"/>
      <c r="G32" s="1006" t="s">
        <v>2524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workbookViewId="0">
      <selection activeCell="K11" sqref="K1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f>F61</f>
        <v>1429</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f>ROUND(IF(D3="",B2*10000/'数据-汇总表'!E3,B2*10000/D3),0)</f>
        <v>2316</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9" t="s">
        <v>2653</v>
      </c>
      <c r="S4" s="3190"/>
      <c r="T4" s="3189" t="s">
        <v>2654</v>
      </c>
      <c r="U4" s="3190"/>
      <c r="V4" s="3164" t="s">
        <v>2655</v>
      </c>
      <c r="W4" s="3164"/>
      <c r="X4" s="1816"/>
      <c r="Y4" s="3189" t="s">
        <v>2657</v>
      </c>
      <c r="Z4" s="3190"/>
      <c r="AA4" s="3169" t="s">
        <v>2653</v>
      </c>
      <c r="AB4" s="3170" t="s">
        <v>2654</v>
      </c>
      <c r="AC4" s="3169" t="s">
        <v>2655</v>
      </c>
    </row>
    <row r="5" spans="1:29" ht="15">
      <c r="A5" s="404"/>
      <c r="B5" s="405"/>
      <c r="C5" s="3193" t="s">
        <v>2548</v>
      </c>
      <c r="D5" s="3194"/>
      <c r="E5" s="3182" t="s">
        <v>2549</v>
      </c>
      <c r="F5" s="3183"/>
      <c r="G5" s="3193" t="s">
        <v>2550</v>
      </c>
      <c r="H5" s="3194"/>
      <c r="I5" s="3193" t="s">
        <v>2551</v>
      </c>
      <c r="J5" s="3194"/>
      <c r="K5" s="610"/>
      <c r="L5" s="1133"/>
      <c r="M5" s="1134"/>
      <c r="N5" s="1134"/>
      <c r="O5" s="1134"/>
      <c r="P5" s="3178"/>
      <c r="Q5" s="3179"/>
      <c r="R5" s="3191"/>
      <c r="S5" s="3192"/>
      <c r="T5" s="3191"/>
      <c r="U5" s="3192"/>
      <c r="V5" s="3164"/>
      <c r="W5" s="3164"/>
      <c r="X5" s="1816"/>
      <c r="Y5" s="3191"/>
      <c r="Z5" s="3192"/>
      <c r="AA5" s="3170"/>
      <c r="AB5" s="3170"/>
      <c r="AC5" s="3170"/>
    </row>
    <row r="6" spans="1:29" ht="47.25" customHeight="1" thickBot="1">
      <c r="A6" s="406"/>
      <c r="B6" s="407"/>
      <c r="C6" s="3195" t="s">
        <v>2803</v>
      </c>
      <c r="D6" s="3196"/>
      <c r="E6" s="3198" t="str">
        <f>土地案例!A3</f>
        <v>北京石化新材料科技产业基地核心区东区B5-10(2)地块工业用地项目</v>
      </c>
      <c r="F6" s="3199"/>
      <c r="G6" s="3195" t="str">
        <f>土地案例!A4</f>
        <v>北京高端制造业(房山)基地03街区F区工业用地项目</v>
      </c>
      <c r="H6" s="3196"/>
      <c r="I6" s="3195" t="str">
        <f>土地案例!A7</f>
        <v>北京石化新材料科技产业基地核心区东区B5-01地块(部分用地)工业用地项目</v>
      </c>
      <c r="J6" s="3196"/>
      <c r="K6" s="610" t="s">
        <v>2553</v>
      </c>
      <c r="L6" s="1133"/>
      <c r="M6" s="1134"/>
      <c r="N6" s="1134"/>
      <c r="O6" s="1134"/>
      <c r="P6" s="3180"/>
      <c r="Q6" s="3181"/>
      <c r="R6" s="3191"/>
      <c r="S6" s="3192"/>
      <c r="T6" s="3200"/>
      <c r="U6" s="3201"/>
      <c r="V6" s="3164"/>
      <c r="W6" s="3164"/>
      <c r="X6" s="1816"/>
      <c r="Y6" s="3200"/>
      <c r="Z6" s="3201"/>
      <c r="AA6" s="3171"/>
      <c r="AB6" s="3171"/>
      <c r="AC6" s="3171"/>
    </row>
    <row r="7" spans="1:29" s="117" customFormat="1" ht="15.75" thickBot="1">
      <c r="A7" s="408" t="s">
        <v>2554</v>
      </c>
      <c r="B7" s="409"/>
      <c r="C7" s="410">
        <f>'数据-取费表'!B2</f>
        <v>43154</v>
      </c>
      <c r="D7" s="411">
        <v>100</v>
      </c>
      <c r="E7" s="412" t="str">
        <f>土地案例!H3</f>
        <v>2016-11-24</v>
      </c>
      <c r="F7" s="413">
        <f>SUMIF(65:65,YEAR(E7)&amp;"-"&amp;INT((MONTH(E7)+2)/3),66:66)</f>
        <v>92.5</v>
      </c>
      <c r="G7" s="2702" t="str">
        <f>土地案例!H4</f>
        <v>2016-11-24</v>
      </c>
      <c r="H7" s="411">
        <f>SUMIF(65:65,YEAR(G7)&amp;"-"&amp;INT((MONTH(G7)+2)/3),66:66)</f>
        <v>92.5</v>
      </c>
      <c r="I7" s="2702" t="str">
        <f>土地案例!H7</f>
        <v>2016-01-25</v>
      </c>
      <c r="J7" s="411">
        <f>SUMIF(65:65,YEAR(I7)&amp;"-"&amp;INT((MONTH(I7)+2)/3),66:66)</f>
        <v>88</v>
      </c>
      <c r="K7" s="611"/>
      <c r="L7" s="1135"/>
      <c r="M7" s="1136"/>
      <c r="N7" s="1136"/>
      <c r="O7" s="1136"/>
      <c r="P7" s="3184" t="s">
        <v>2555</v>
      </c>
      <c r="Q7" s="3197"/>
      <c r="R7" s="770" t="s">
        <v>17</v>
      </c>
      <c r="S7" s="771">
        <f t="shared" ref="S7:S15" si="0">F7</f>
        <v>92.5</v>
      </c>
      <c r="T7" s="770" t="s">
        <v>17</v>
      </c>
      <c r="U7" s="771">
        <f t="shared" ref="U7:U15" si="1">H7</f>
        <v>92.5</v>
      </c>
      <c r="V7" s="770" t="s">
        <v>17</v>
      </c>
      <c r="W7" s="771">
        <f t="shared" ref="W7:W15" si="2">J7</f>
        <v>88</v>
      </c>
      <c r="X7" s="772"/>
      <c r="Y7" s="3184" t="s">
        <v>2555</v>
      </c>
      <c r="Z7" s="3185"/>
      <c r="AA7" s="773">
        <f>D7/F7</f>
        <v>1.0810810810810811</v>
      </c>
      <c r="AB7" s="773">
        <f>D7/H7</f>
        <v>1.0810810810810811</v>
      </c>
      <c r="AC7" s="773">
        <f>D7/J7</f>
        <v>1.1363636363636365</v>
      </c>
    </row>
    <row r="8" spans="1:29" s="117" customFormat="1" ht="15.75" thickBot="1">
      <c r="A8" s="408" t="s">
        <v>2556</v>
      </c>
      <c r="B8" s="409"/>
      <c r="C8" s="414" t="s">
        <v>2557</v>
      </c>
      <c r="D8" s="411">
        <v>100</v>
      </c>
      <c r="E8" s="2961" t="s">
        <v>3108</v>
      </c>
      <c r="F8" s="413">
        <f>SUMIF(68:68,E8,69:69)-SUMIF(68:68,C8,69:69)+100</f>
        <v>100</v>
      </c>
      <c r="G8" s="2961" t="s">
        <v>3108</v>
      </c>
      <c r="H8" s="411">
        <f>SUMIF(68:68,G8,69:69)-SUMIF(68:68,C8,69:69)+100</f>
        <v>100</v>
      </c>
      <c r="I8" s="2961" t="s">
        <v>3108</v>
      </c>
      <c r="J8" s="411">
        <f>SUMIF(68:68,I8,69:69)-SUMIF(68:68,C8,69:69)+100</f>
        <v>100</v>
      </c>
      <c r="K8" s="611"/>
      <c r="L8" s="1135"/>
      <c r="M8" s="1136"/>
      <c r="N8" s="1136"/>
      <c r="O8" s="1136"/>
      <c r="P8" s="3184" t="s">
        <v>2558</v>
      </c>
      <c r="Q8" s="3185"/>
      <c r="R8" s="770" t="s">
        <v>17</v>
      </c>
      <c r="S8" s="771">
        <f t="shared" si="0"/>
        <v>100</v>
      </c>
      <c r="T8" s="770" t="s">
        <v>17</v>
      </c>
      <c r="U8" s="771">
        <f t="shared" si="1"/>
        <v>100</v>
      </c>
      <c r="V8" s="770" t="s">
        <v>17</v>
      </c>
      <c r="W8" s="771">
        <f t="shared" si="2"/>
        <v>100</v>
      </c>
      <c r="X8" s="772"/>
      <c r="Y8" s="3184" t="s">
        <v>2558</v>
      </c>
      <c r="Z8" s="3185"/>
      <c r="AA8" s="773">
        <f t="shared" ref="AA8:AA40" si="3">D8/F8</f>
        <v>1</v>
      </c>
      <c r="AB8" s="773">
        <f t="shared" ref="AB8:AB40" si="4">D8/H8</f>
        <v>1</v>
      </c>
      <c r="AC8" s="773">
        <f t="shared" ref="AC8:AC40" si="5">D8/J8</f>
        <v>1</v>
      </c>
    </row>
    <row r="9" spans="1:29" s="117" customFormat="1">
      <c r="A9" s="415" t="s">
        <v>2559</v>
      </c>
      <c r="B9" s="71" t="s">
        <v>2560</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62" t="s">
        <v>2561</v>
      </c>
      <c r="Q9" s="1798" t="str">
        <f t="shared" ref="Q9:Q15" si="6">B9</f>
        <v>用途</v>
      </c>
      <c r="R9" s="770" t="s">
        <v>17</v>
      </c>
      <c r="S9" s="771">
        <f t="shared" si="0"/>
        <v>100</v>
      </c>
      <c r="T9" s="770" t="s">
        <v>17</v>
      </c>
      <c r="U9" s="771">
        <f t="shared" si="1"/>
        <v>100</v>
      </c>
      <c r="V9" s="770" t="s">
        <v>17</v>
      </c>
      <c r="W9" s="771">
        <f t="shared" si="2"/>
        <v>100</v>
      </c>
      <c r="X9" s="772"/>
      <c r="Y9" s="3036" t="s">
        <v>2562</v>
      </c>
      <c r="Z9" s="55" t="str">
        <f t="shared" ref="Z9:Z15" si="7">Q9</f>
        <v>用途</v>
      </c>
      <c r="AA9" s="773">
        <f t="shared" si="3"/>
        <v>1</v>
      </c>
      <c r="AB9" s="773">
        <f t="shared" si="4"/>
        <v>1</v>
      </c>
      <c r="AC9" s="773">
        <f t="shared" si="5"/>
        <v>1</v>
      </c>
    </row>
    <row r="10" spans="1:29" s="427" customFormat="1" ht="27">
      <c r="A10" s="421"/>
      <c r="B10" s="422" t="s">
        <v>2563</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62"/>
      <c r="Q10" s="1798" t="str">
        <f t="shared" si="6"/>
        <v>土地使用年限（年）</v>
      </c>
      <c r="R10" s="770" t="s">
        <v>17</v>
      </c>
      <c r="S10" s="771">
        <f t="shared" si="0"/>
        <v>111</v>
      </c>
      <c r="T10" s="770" t="s">
        <v>17</v>
      </c>
      <c r="U10" s="771">
        <f t="shared" si="1"/>
        <v>111</v>
      </c>
      <c r="V10" s="770" t="s">
        <v>17</v>
      </c>
      <c r="W10" s="771">
        <f t="shared" si="2"/>
        <v>111</v>
      </c>
      <c r="X10" s="772"/>
      <c r="Y10" s="3036"/>
      <c r="Z10" s="55" t="str">
        <f t="shared" si="7"/>
        <v>土地使用年限（年）</v>
      </c>
      <c r="AA10" s="773">
        <f t="shared" si="3"/>
        <v>0.90090090090090091</v>
      </c>
      <c r="AB10" s="773">
        <f t="shared" si="4"/>
        <v>0.90090090090090091</v>
      </c>
      <c r="AC10" s="773">
        <f t="shared" si="5"/>
        <v>0.90090090090090091</v>
      </c>
    </row>
    <row r="11" spans="1:29" ht="15">
      <c r="A11" s="428"/>
      <c r="B11" s="422" t="s">
        <v>2564</v>
      </c>
      <c r="C11" s="429">
        <v>1.2</v>
      </c>
      <c r="D11" s="136">
        <v>100</v>
      </c>
      <c r="E11" s="429">
        <v>1</v>
      </c>
      <c r="F11" s="136">
        <f>LOOKUP(E11,75:75,76:76)-LOOKUP(C11,75:75,76:76)+100</f>
        <v>100</v>
      </c>
      <c r="G11" s="430">
        <v>1.2</v>
      </c>
      <c r="H11" s="136">
        <f>LOOKUP(G11,75:75,76:76)-LOOKUP(C11,75:75,76:76)+100</f>
        <v>100</v>
      </c>
      <c r="I11" s="429">
        <v>1</v>
      </c>
      <c r="J11" s="136">
        <f>LOOKUP(I11,75:75,76:76)-LOOKUP(C11,75:75,76:76)+100</f>
        <v>100</v>
      </c>
      <c r="K11" s="673"/>
      <c r="L11" s="1141"/>
      <c r="M11" s="1134"/>
      <c r="N11" s="1134"/>
      <c r="O11" s="1142"/>
      <c r="P11" s="3162"/>
      <c r="Q11" s="1798" t="str">
        <f t="shared" si="6"/>
        <v>容积率</v>
      </c>
      <c r="R11" s="770" t="s">
        <v>17</v>
      </c>
      <c r="S11" s="771">
        <f t="shared" si="0"/>
        <v>100</v>
      </c>
      <c r="T11" s="770" t="s">
        <v>17</v>
      </c>
      <c r="U11" s="771">
        <f t="shared" si="1"/>
        <v>100</v>
      </c>
      <c r="V11" s="770" t="s">
        <v>17</v>
      </c>
      <c r="W11" s="771">
        <f t="shared" si="2"/>
        <v>100</v>
      </c>
      <c r="X11" s="772"/>
      <c r="Y11" s="3036"/>
      <c r="Z11" s="55" t="str">
        <f t="shared" si="7"/>
        <v>容积率</v>
      </c>
      <c r="AA11" s="773">
        <f t="shared" si="3"/>
        <v>1</v>
      </c>
      <c r="AB11" s="773">
        <f t="shared" si="4"/>
        <v>1</v>
      </c>
      <c r="AC11" s="773">
        <f t="shared" si="5"/>
        <v>1</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2"/>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2"/>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2"/>
      <c r="Q14" s="1798">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2565</v>
      </c>
      <c r="B15" s="629" t="s">
        <v>2804</v>
      </c>
      <c r="C15" s="2699" t="str">
        <f>估价对象房地状况!G15</f>
        <v>估价对象位于XX开发区，园区建设成熟度XX，产业集聚程度XX</v>
      </c>
      <c r="D15" s="441">
        <v>100</v>
      </c>
      <c r="E15" s="442"/>
      <c r="F15" s="441">
        <f>SUMIF(83:83,E16,84:84)-SUMIF(83:83,C16,84:84)+100</f>
        <v>104</v>
      </c>
      <c r="G15" s="442"/>
      <c r="H15" s="441">
        <f>SUMIF(83:83,G16,84:84)-SUMIF(83:83,C16,84:84)+100</f>
        <v>104</v>
      </c>
      <c r="I15" s="444"/>
      <c r="J15" s="441">
        <f>SUMIF(83:83,I16,84:84)-SUMIF(83:83,C16,84:84)+100</f>
        <v>104</v>
      </c>
      <c r="K15" s="673">
        <v>2</v>
      </c>
      <c r="L15" s="1143"/>
      <c r="M15" s="1134"/>
      <c r="N15" s="1134"/>
      <c r="O15" s="1142"/>
      <c r="P15" s="3165" t="s">
        <v>2566</v>
      </c>
      <c r="Q15" s="1813" t="str">
        <f t="shared" si="6"/>
        <v>产业集聚程度</v>
      </c>
      <c r="R15" s="774" t="s">
        <v>17</v>
      </c>
      <c r="S15" s="775">
        <f t="shared" si="0"/>
        <v>104</v>
      </c>
      <c r="T15" s="774" t="s">
        <v>17</v>
      </c>
      <c r="U15" s="775">
        <f t="shared" si="1"/>
        <v>104</v>
      </c>
      <c r="V15" s="774" t="s">
        <v>17</v>
      </c>
      <c r="W15" s="775">
        <f t="shared" si="2"/>
        <v>104</v>
      </c>
      <c r="X15" s="1816"/>
      <c r="Y15" s="3165" t="s">
        <v>2566</v>
      </c>
      <c r="Z15" s="1817" t="str">
        <f t="shared" si="7"/>
        <v>产业集聚程度</v>
      </c>
      <c r="AA15" s="1814">
        <f t="shared" si="3"/>
        <v>0.96153846153846156</v>
      </c>
      <c r="AB15" s="1814">
        <f t="shared" si="4"/>
        <v>0.96153846153846156</v>
      </c>
      <c r="AC15" s="1814">
        <f t="shared" si="5"/>
        <v>0.96153846153846156</v>
      </c>
    </row>
    <row r="16" spans="1:29" ht="15">
      <c r="A16" s="428"/>
      <c r="B16" s="630"/>
      <c r="C16" s="447" t="s">
        <v>3109</v>
      </c>
      <c r="D16" s="448"/>
      <c r="E16" s="2617" t="s">
        <v>3110</v>
      </c>
      <c r="F16" s="448"/>
      <c r="G16" s="2617" t="s">
        <v>3110</v>
      </c>
      <c r="H16" s="450"/>
      <c r="I16" s="2617" t="s">
        <v>3110</v>
      </c>
      <c r="J16" s="448"/>
      <c r="K16" s="672"/>
      <c r="L16" s="1143"/>
      <c r="M16" s="1134"/>
      <c r="N16" s="1134"/>
      <c r="O16" s="1142"/>
      <c r="P16" s="3166"/>
      <c r="Q16" s="1813"/>
      <c r="R16" s="774"/>
      <c r="S16" s="775"/>
      <c r="T16" s="774"/>
      <c r="U16" s="775"/>
      <c r="V16" s="774"/>
      <c r="W16" s="775"/>
      <c r="X16" s="1816"/>
      <c r="Y16" s="3166"/>
      <c r="Z16" s="1817"/>
      <c r="AA16" s="1814">
        <v>1</v>
      </c>
      <c r="AB16" s="1814">
        <v>1</v>
      </c>
      <c r="AC16" s="1814">
        <v>1</v>
      </c>
    </row>
    <row r="17" spans="1:29" ht="85.5">
      <c r="A17" s="428"/>
      <c r="B17" s="631" t="s">
        <v>2715</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6"/>
      <c r="Q17" s="1813" t="str">
        <f>B17</f>
        <v>交通便捷度</v>
      </c>
      <c r="R17" s="774" t="s">
        <v>17</v>
      </c>
      <c r="S17" s="775">
        <f>F17</f>
        <v>100</v>
      </c>
      <c r="T17" s="774" t="s">
        <v>17</v>
      </c>
      <c r="U17" s="775">
        <f>H17</f>
        <v>100</v>
      </c>
      <c r="V17" s="774" t="s">
        <v>17</v>
      </c>
      <c r="W17" s="775">
        <f>J17</f>
        <v>100</v>
      </c>
      <c r="X17" s="1816"/>
      <c r="Y17" s="3166"/>
      <c r="Z17" s="1817" t="str">
        <f>Q17</f>
        <v>交通便捷度</v>
      </c>
      <c r="AA17" s="1814">
        <f t="shared" si="3"/>
        <v>1</v>
      </c>
      <c r="AB17" s="1814">
        <f t="shared" si="4"/>
        <v>1</v>
      </c>
      <c r="AC17" s="1814">
        <f t="shared" si="5"/>
        <v>1</v>
      </c>
    </row>
    <row r="18" spans="1:29" ht="15">
      <c r="A18" s="428"/>
      <c r="B18" s="632"/>
      <c r="C18" s="447" t="s">
        <v>3109</v>
      </c>
      <c r="D18" s="448"/>
      <c r="E18" s="2611" t="s">
        <v>3109</v>
      </c>
      <c r="F18" s="448"/>
      <c r="G18" s="2611" t="s">
        <v>3109</v>
      </c>
      <c r="H18" s="448"/>
      <c r="I18" s="2610" t="s">
        <v>3109</v>
      </c>
      <c r="J18" s="448"/>
      <c r="K18" s="672"/>
      <c r="L18" s="1143"/>
      <c r="M18" s="1134"/>
      <c r="N18" s="1134"/>
      <c r="O18" s="1142"/>
      <c r="P18" s="3166"/>
      <c r="Q18" s="1813"/>
      <c r="R18" s="774"/>
      <c r="S18" s="775"/>
      <c r="T18" s="774"/>
      <c r="U18" s="775"/>
      <c r="V18" s="774"/>
      <c r="W18" s="775"/>
      <c r="X18" s="1816"/>
      <c r="Y18" s="3166"/>
      <c r="Z18" s="1817"/>
      <c r="AA18" s="1814">
        <v>1</v>
      </c>
      <c r="AB18" s="1814">
        <v>1</v>
      </c>
      <c r="AC18" s="1814">
        <v>1</v>
      </c>
    </row>
    <row r="19" spans="1:29" ht="15">
      <c r="A19" s="428"/>
      <c r="B19" s="631" t="s">
        <v>2754</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6"/>
      <c r="Q19" s="1813" t="str">
        <f t="shared" ref="Q19:Q33" si="8">B19</f>
        <v>区域土地利用方向</v>
      </c>
      <c r="R19" s="774" t="s">
        <v>17</v>
      </c>
      <c r="S19" s="775">
        <f>F19</f>
        <v>100</v>
      </c>
      <c r="T19" s="774" t="s">
        <v>17</v>
      </c>
      <c r="U19" s="775">
        <f>H19</f>
        <v>100</v>
      </c>
      <c r="V19" s="774" t="s">
        <v>17</v>
      </c>
      <c r="W19" s="775">
        <f>J19</f>
        <v>100</v>
      </c>
      <c r="X19" s="1816"/>
      <c r="Y19" s="3166"/>
      <c r="Z19" s="1817" t="str">
        <f>Q19</f>
        <v>区域土地利用方向</v>
      </c>
      <c r="AA19" s="1814">
        <f t="shared" si="3"/>
        <v>1</v>
      </c>
      <c r="AB19" s="1814">
        <f t="shared" si="4"/>
        <v>1</v>
      </c>
      <c r="AC19" s="1814">
        <f t="shared" si="5"/>
        <v>1</v>
      </c>
    </row>
    <row r="20" spans="1:29" ht="15">
      <c r="A20" s="404"/>
      <c r="B20" s="632"/>
      <c r="C20" s="447" t="s">
        <v>3111</v>
      </c>
      <c r="D20" s="448"/>
      <c r="E20" s="2611" t="s">
        <v>3111</v>
      </c>
      <c r="F20" s="448"/>
      <c r="G20" s="2611" t="s">
        <v>3111</v>
      </c>
      <c r="H20" s="448"/>
      <c r="I20" s="2611" t="s">
        <v>3111</v>
      </c>
      <c r="J20" s="448"/>
      <c r="K20" s="812"/>
      <c r="L20" s="1143"/>
      <c r="M20" s="1134"/>
      <c r="N20" s="1134"/>
      <c r="O20" s="1142"/>
      <c r="P20" s="3166"/>
      <c r="Q20" s="1813"/>
      <c r="R20" s="774"/>
      <c r="S20" s="775"/>
      <c r="T20" s="774"/>
      <c r="U20" s="775"/>
      <c r="V20" s="774"/>
      <c r="W20" s="775"/>
      <c r="X20" s="1816"/>
      <c r="Y20" s="3166"/>
      <c r="Z20" s="1817"/>
      <c r="AA20" s="1814"/>
      <c r="AB20" s="1814"/>
      <c r="AC20" s="1814"/>
    </row>
    <row r="21" spans="1:29" ht="71.25">
      <c r="A21" s="404"/>
      <c r="B21" s="631" t="s">
        <v>2805</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6"/>
      <c r="Q21" s="1813" t="str">
        <f t="shared" si="8"/>
        <v>环境状况</v>
      </c>
      <c r="R21" s="774" t="s">
        <v>17</v>
      </c>
      <c r="S21" s="775">
        <f>F21</f>
        <v>100</v>
      </c>
      <c r="T21" s="774" t="s">
        <v>17</v>
      </c>
      <c r="U21" s="775">
        <f>H21</f>
        <v>100</v>
      </c>
      <c r="V21" s="774" t="s">
        <v>17</v>
      </c>
      <c r="W21" s="775">
        <f>J21</f>
        <v>100</v>
      </c>
      <c r="X21" s="1816"/>
      <c r="Y21" s="3166"/>
      <c r="Z21" s="1817" t="str">
        <f>Q21</f>
        <v>环境状况</v>
      </c>
      <c r="AA21" s="1814">
        <f t="shared" si="3"/>
        <v>1</v>
      </c>
      <c r="AB21" s="1814">
        <f t="shared" si="4"/>
        <v>1</v>
      </c>
      <c r="AC21" s="1814">
        <f t="shared" si="5"/>
        <v>1</v>
      </c>
    </row>
    <row r="22" spans="1:29" ht="15">
      <c r="A22" s="404"/>
      <c r="B22" s="632"/>
      <c r="C22" s="447" t="s">
        <v>3109</v>
      </c>
      <c r="D22" s="448"/>
      <c r="E22" s="2617" t="s">
        <v>3109</v>
      </c>
      <c r="F22" s="448"/>
      <c r="G22" s="2617" t="s">
        <v>3109</v>
      </c>
      <c r="H22" s="448"/>
      <c r="I22" s="447" t="s">
        <v>3109</v>
      </c>
      <c r="J22" s="448"/>
      <c r="K22" s="672"/>
      <c r="L22" s="1143"/>
      <c r="M22" s="1134"/>
      <c r="N22" s="1134"/>
      <c r="O22" s="1142"/>
      <c r="P22" s="3166"/>
      <c r="Q22" s="1813"/>
      <c r="R22" s="774"/>
      <c r="S22" s="775"/>
      <c r="T22" s="774"/>
      <c r="U22" s="775"/>
      <c r="V22" s="774"/>
      <c r="W22" s="775"/>
      <c r="X22" s="1816"/>
      <c r="Y22" s="3166"/>
      <c r="Z22" s="1817"/>
      <c r="AA22" s="1814">
        <v>1</v>
      </c>
      <c r="AB22" s="1814">
        <v>1</v>
      </c>
      <c r="AC22" s="1814">
        <v>1</v>
      </c>
    </row>
    <row r="23" spans="1:29" s="117" customFormat="1" ht="42.75">
      <c r="A23" s="649"/>
      <c r="B23" s="633" t="s">
        <v>2660</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6"/>
      <c r="Q23" s="1798" t="str">
        <f t="shared" si="8"/>
        <v>公共配套设施</v>
      </c>
      <c r="R23" s="770" t="s">
        <v>17</v>
      </c>
      <c r="S23" s="771">
        <f>F23</f>
        <v>100</v>
      </c>
      <c r="T23" s="770" t="s">
        <v>17</v>
      </c>
      <c r="U23" s="771">
        <f>H23</f>
        <v>100</v>
      </c>
      <c r="V23" s="770" t="s">
        <v>17</v>
      </c>
      <c r="W23" s="771">
        <f>J23</f>
        <v>100</v>
      </c>
      <c r="X23" s="772"/>
      <c r="Y23" s="3166"/>
      <c r="Z23" s="55" t="str">
        <f>Q23</f>
        <v>公共配套设施</v>
      </c>
      <c r="AA23" s="1814">
        <f>D23/F23</f>
        <v>1</v>
      </c>
      <c r="AB23" s="1814">
        <f>D23/H23</f>
        <v>1</v>
      </c>
      <c r="AC23" s="1814">
        <f>D23/J23</f>
        <v>1</v>
      </c>
    </row>
    <row r="24" spans="1:29" s="117" customFormat="1" ht="15">
      <c r="A24" s="649"/>
      <c r="B24" s="632"/>
      <c r="C24" s="2706" t="s">
        <v>3109</v>
      </c>
      <c r="D24" s="448"/>
      <c r="E24" s="2617" t="s">
        <v>3109</v>
      </c>
      <c r="F24" s="448"/>
      <c r="G24" s="2617" t="s">
        <v>3109</v>
      </c>
      <c r="H24" s="448"/>
      <c r="I24" s="447" t="s">
        <v>3109</v>
      </c>
      <c r="J24" s="448"/>
      <c r="K24" s="672"/>
      <c r="L24" s="1135"/>
      <c r="M24" s="1136"/>
      <c r="N24" s="1136"/>
      <c r="O24" s="1137"/>
      <c r="P24" s="3166"/>
      <c r="Q24" s="1798"/>
      <c r="R24" s="770"/>
      <c r="S24" s="771"/>
      <c r="T24" s="770"/>
      <c r="U24" s="771"/>
      <c r="V24" s="770"/>
      <c r="W24" s="771"/>
      <c r="X24" s="772"/>
      <c r="Y24" s="3166"/>
      <c r="Z24" s="55"/>
      <c r="AA24" s="773">
        <v>1</v>
      </c>
      <c r="AB24" s="773">
        <v>1</v>
      </c>
      <c r="AC24" s="773">
        <v>1</v>
      </c>
    </row>
    <row r="25" spans="1:29" s="117" customFormat="1" ht="28.5">
      <c r="A25" s="649"/>
      <c r="B25" s="633" t="s">
        <v>2661</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6"/>
      <c r="Q25" s="1798" t="str">
        <f t="shared" ref="Q25" si="9">B25</f>
        <v>基础设施水平</v>
      </c>
      <c r="R25" s="770" t="s">
        <v>17</v>
      </c>
      <c r="S25" s="771">
        <f>F25</f>
        <v>100</v>
      </c>
      <c r="T25" s="770" t="s">
        <v>17</v>
      </c>
      <c r="U25" s="771">
        <f>H25</f>
        <v>100</v>
      </c>
      <c r="V25" s="770" t="s">
        <v>17</v>
      </c>
      <c r="W25" s="771">
        <f>J25</f>
        <v>100</v>
      </c>
      <c r="X25" s="772"/>
      <c r="Y25" s="3166"/>
      <c r="Z25" s="55" t="str">
        <f>Q25</f>
        <v>基础设施水平</v>
      </c>
      <c r="AA25" s="1814">
        <f>D25/F25</f>
        <v>1</v>
      </c>
      <c r="AB25" s="1814">
        <f>D25/H25</f>
        <v>1</v>
      </c>
      <c r="AC25" s="1814">
        <f>D25/J25</f>
        <v>1</v>
      </c>
    </row>
    <row r="26" spans="1:29" s="117" customFormat="1" ht="15">
      <c r="A26" s="649"/>
      <c r="B26" s="632"/>
      <c r="C26" s="2706" t="s">
        <v>3112</v>
      </c>
      <c r="D26" s="448"/>
      <c r="E26" s="2707" t="s">
        <v>3112</v>
      </c>
      <c r="F26" s="448"/>
      <c r="G26" s="2707" t="s">
        <v>3112</v>
      </c>
      <c r="H26" s="448"/>
      <c r="I26" s="2707" t="s">
        <v>3112</v>
      </c>
      <c r="J26" s="448"/>
      <c r="K26" s="672"/>
      <c r="L26" s="1135"/>
      <c r="M26" s="1136"/>
      <c r="N26" s="1136"/>
      <c r="O26" s="1137"/>
      <c r="P26" s="3166"/>
      <c r="Q26" s="1798"/>
      <c r="R26" s="770"/>
      <c r="S26" s="771"/>
      <c r="T26" s="770"/>
      <c r="U26" s="771"/>
      <c r="V26" s="770"/>
      <c r="W26" s="771"/>
      <c r="X26" s="772"/>
      <c r="Y26" s="3166"/>
      <c r="Z26" s="55"/>
      <c r="AA26" s="773">
        <v>1</v>
      </c>
      <c r="AB26" s="773">
        <v>1</v>
      </c>
      <c r="AC26" s="773">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6"/>
      <c r="Z27" s="1817" t="str">
        <f t="shared" ref="Z27:Z40" si="13">Q27</f>
        <v>临街状况</v>
      </c>
      <c r="AA27" s="1814">
        <f t="shared" si="3"/>
        <v>1</v>
      </c>
      <c r="AB27" s="1814">
        <f t="shared" si="4"/>
        <v>1</v>
      </c>
      <c r="AC27" s="1814">
        <f t="shared" si="5"/>
        <v>1</v>
      </c>
    </row>
    <row r="28" spans="1:29" ht="27">
      <c r="A28" s="428"/>
      <c r="B28" s="633" t="s">
        <v>2697</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6"/>
      <c r="Q28" s="1813" t="str">
        <f t="shared" si="8"/>
        <v>毗邻道路的类型与等级</v>
      </c>
      <c r="R28" s="774" t="s">
        <v>17</v>
      </c>
      <c r="S28" s="775">
        <f t="shared" si="10"/>
        <v>100</v>
      </c>
      <c r="T28" s="774" t="s">
        <v>17</v>
      </c>
      <c r="U28" s="775">
        <f t="shared" si="11"/>
        <v>100</v>
      </c>
      <c r="V28" s="774" t="s">
        <v>17</v>
      </c>
      <c r="W28" s="775">
        <f t="shared" si="12"/>
        <v>100</v>
      </c>
      <c r="X28" s="1816"/>
      <c r="Y28" s="3166"/>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66"/>
      <c r="Q29" s="1813"/>
      <c r="R29" s="774"/>
      <c r="S29" s="775"/>
      <c r="T29" s="774"/>
      <c r="U29" s="775"/>
      <c r="V29" s="774"/>
      <c r="W29" s="775"/>
      <c r="X29" s="1816"/>
      <c r="Y29" s="3166"/>
      <c r="Z29" s="1817"/>
      <c r="AA29" s="1814">
        <v>1</v>
      </c>
      <c r="AB29" s="1814">
        <v>1</v>
      </c>
      <c r="AC29" s="1814">
        <v>1</v>
      </c>
    </row>
    <row r="30" spans="1:29" ht="15">
      <c r="A30" s="428"/>
      <c r="B30" s="654" t="s">
        <v>2756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6"/>
      <c r="Q30" s="1813" t="str">
        <f t="shared" si="8"/>
        <v>土地级别</v>
      </c>
      <c r="R30" s="774" t="s">
        <v>17</v>
      </c>
      <c r="S30" s="775">
        <f t="shared" si="10"/>
        <v>100</v>
      </c>
      <c r="T30" s="774" t="s">
        <v>17</v>
      </c>
      <c r="U30" s="775">
        <f t="shared" si="11"/>
        <v>100</v>
      </c>
      <c r="V30" s="774" t="s">
        <v>17</v>
      </c>
      <c r="W30" s="775">
        <f t="shared" si="12"/>
        <v>100</v>
      </c>
      <c r="X30" s="1816"/>
      <c r="Y30" s="3166"/>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6"/>
      <c r="Q31" s="1813">
        <f t="shared" si="8"/>
        <v>111</v>
      </c>
      <c r="R31" s="774" t="s">
        <v>17</v>
      </c>
      <c r="S31" s="775">
        <f t="shared" si="10"/>
        <v>100</v>
      </c>
      <c r="T31" s="774" t="s">
        <v>17</v>
      </c>
      <c r="U31" s="775">
        <f t="shared" si="11"/>
        <v>100</v>
      </c>
      <c r="V31" s="774" t="s">
        <v>17</v>
      </c>
      <c r="W31" s="775">
        <f t="shared" si="12"/>
        <v>100</v>
      </c>
      <c r="X31" s="1816"/>
      <c r="Y31" s="3166"/>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7" t="s">
        <v>2571</v>
      </c>
      <c r="Q32" s="1813">
        <f t="shared" si="8"/>
        <v>111</v>
      </c>
      <c r="R32" s="774" t="s">
        <v>17</v>
      </c>
      <c r="S32" s="775">
        <f t="shared" si="10"/>
        <v>100</v>
      </c>
      <c r="T32" s="774" t="s">
        <v>17</v>
      </c>
      <c r="U32" s="775">
        <f t="shared" si="11"/>
        <v>100</v>
      </c>
      <c r="V32" s="774" t="s">
        <v>17</v>
      </c>
      <c r="W32" s="775">
        <f t="shared" si="12"/>
        <v>100</v>
      </c>
      <c r="X32" s="1816"/>
      <c r="Y32" s="3168" t="s">
        <v>2571</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8"/>
      <c r="Q33" s="1813">
        <f t="shared" si="8"/>
        <v>111</v>
      </c>
      <c r="R33" s="777" t="s">
        <v>17</v>
      </c>
      <c r="S33" s="778">
        <f t="shared" si="10"/>
        <v>100</v>
      </c>
      <c r="T33" s="777" t="s">
        <v>17</v>
      </c>
      <c r="U33" s="778">
        <f t="shared" si="11"/>
        <v>100</v>
      </c>
      <c r="V33" s="777" t="s">
        <v>17</v>
      </c>
      <c r="W33" s="778">
        <f t="shared" si="12"/>
        <v>100</v>
      </c>
      <c r="X33" s="779"/>
      <c r="Y33" s="3168"/>
      <c r="Z33" s="780">
        <f t="shared" si="13"/>
        <v>111</v>
      </c>
      <c r="AA33" s="1814">
        <f t="shared" si="3"/>
        <v>1</v>
      </c>
      <c r="AB33" s="1814">
        <f t="shared" si="4"/>
        <v>1</v>
      </c>
      <c r="AC33" s="1814">
        <f t="shared" si="5"/>
        <v>1</v>
      </c>
    </row>
    <row r="34" spans="1:29" ht="15">
      <c r="A34" s="440" t="s">
        <v>2569</v>
      </c>
      <c r="B34" s="456" t="s">
        <v>2757</v>
      </c>
      <c r="C34" s="679">
        <f>'数据-基础表'!A3</f>
        <v>95244.13</v>
      </c>
      <c r="D34" s="467">
        <v>100</v>
      </c>
      <c r="E34" s="679">
        <f>土地案例!D3</f>
        <v>57769</v>
      </c>
      <c r="F34" s="467">
        <f>LOOKUP(E34,108:108,109:109)-LOOKUP(C34,108:108,109:109)+100</f>
        <v>100</v>
      </c>
      <c r="G34" s="679">
        <f>土地案例!D4</f>
        <v>32779.72</v>
      </c>
      <c r="H34" s="467">
        <f>LOOKUP(G34,108:108,109:109)-LOOKUP(C34,108:108,109:109)+100</f>
        <v>98</v>
      </c>
      <c r="I34" s="530">
        <f>土地案例!D7</f>
        <v>49749.07</v>
      </c>
      <c r="J34" s="467">
        <f>LOOKUP(I34,108:108,109:109)-LOOKUP(C34,108:108,109:109)+100</f>
        <v>98</v>
      </c>
      <c r="K34" s="613"/>
      <c r="L34" s="1143"/>
      <c r="M34" s="1134"/>
      <c r="N34" s="1134"/>
      <c r="O34" s="1142"/>
      <c r="P34" s="3168"/>
      <c r="Q34" s="1813" t="str">
        <f>B34</f>
        <v>宗地面积</v>
      </c>
      <c r="R34" s="774" t="s">
        <v>17</v>
      </c>
      <c r="S34" s="775">
        <f t="shared" si="10"/>
        <v>100</v>
      </c>
      <c r="T34" s="774" t="s">
        <v>17</v>
      </c>
      <c r="U34" s="775">
        <f t="shared" si="11"/>
        <v>98</v>
      </c>
      <c r="V34" s="774" t="s">
        <v>17</v>
      </c>
      <c r="W34" s="775">
        <f t="shared" si="12"/>
        <v>98</v>
      </c>
      <c r="X34" s="1816"/>
      <c r="Y34" s="3168"/>
      <c r="Z34" s="1817" t="str">
        <f t="shared" si="13"/>
        <v>宗地面积</v>
      </c>
      <c r="AA34" s="1814">
        <f t="shared" si="3"/>
        <v>1</v>
      </c>
      <c r="AB34" s="1814">
        <f t="shared" si="4"/>
        <v>1.0204081632653061</v>
      </c>
      <c r="AC34" s="1814">
        <f t="shared" si="5"/>
        <v>1.0204081632653061</v>
      </c>
    </row>
    <row r="35" spans="1:29" ht="15">
      <c r="A35" s="472"/>
      <c r="B35" s="422" t="s">
        <v>2758</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68"/>
      <c r="Q35" s="1813" t="str">
        <f t="shared" ref="Q35:Q40" si="14">B35</f>
        <v>宗地形状</v>
      </c>
      <c r="R35" s="774" t="s">
        <v>17</v>
      </c>
      <c r="S35" s="775">
        <f t="shared" si="10"/>
        <v>100</v>
      </c>
      <c r="T35" s="774" t="s">
        <v>17</v>
      </c>
      <c r="U35" s="775">
        <f t="shared" si="11"/>
        <v>100</v>
      </c>
      <c r="V35" s="774" t="s">
        <v>17</v>
      </c>
      <c r="W35" s="775">
        <f t="shared" si="12"/>
        <v>100</v>
      </c>
      <c r="X35" s="1816"/>
      <c r="Y35" s="3168"/>
      <c r="Z35" s="1817" t="str">
        <f t="shared" si="13"/>
        <v>宗地形状</v>
      </c>
      <c r="AA35" s="1814">
        <f t="shared" si="3"/>
        <v>1</v>
      </c>
      <c r="AB35" s="1814">
        <f t="shared" si="4"/>
        <v>1</v>
      </c>
      <c r="AC35" s="1814">
        <f t="shared" si="5"/>
        <v>1</v>
      </c>
    </row>
    <row r="36" spans="1:29" s="117" customFormat="1" ht="15">
      <c r="A36" s="473"/>
      <c r="B36" s="422" t="s">
        <v>2760</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68"/>
      <c r="Q36" s="1813" t="str">
        <f t="shared" si="14"/>
        <v>宗地开发程度</v>
      </c>
      <c r="R36" s="770" t="s">
        <v>17</v>
      </c>
      <c r="S36" s="771">
        <f t="shared" si="10"/>
        <v>100</v>
      </c>
      <c r="T36" s="770" t="s">
        <v>17</v>
      </c>
      <c r="U36" s="771">
        <f t="shared" si="11"/>
        <v>100</v>
      </c>
      <c r="V36" s="770" t="s">
        <v>17</v>
      </c>
      <c r="W36" s="771">
        <f t="shared" si="12"/>
        <v>100</v>
      </c>
      <c r="X36" s="772"/>
      <c r="Y36" s="3168"/>
      <c r="Z36" s="55" t="str">
        <f t="shared" si="13"/>
        <v>宗地开发程度</v>
      </c>
      <c r="AA36" s="773">
        <f t="shared" si="3"/>
        <v>1</v>
      </c>
      <c r="AB36" s="773">
        <f t="shared" si="4"/>
        <v>1</v>
      </c>
      <c r="AC36" s="773">
        <f t="shared" si="5"/>
        <v>1</v>
      </c>
    </row>
    <row r="37" spans="1:29" ht="15">
      <c r="A37" s="472"/>
      <c r="B37" s="422" t="s">
        <v>2761</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68" t="s">
        <v>2571</v>
      </c>
      <c r="Q37" s="1813" t="str">
        <f t="shared" si="14"/>
        <v>工程地质条件</v>
      </c>
      <c r="R37" s="774" t="s">
        <v>17</v>
      </c>
      <c r="S37" s="775">
        <f t="shared" si="10"/>
        <v>100</v>
      </c>
      <c r="T37" s="774" t="s">
        <v>17</v>
      </c>
      <c r="U37" s="775">
        <f t="shared" si="11"/>
        <v>100</v>
      </c>
      <c r="V37" s="774" t="s">
        <v>17</v>
      </c>
      <c r="W37" s="775">
        <f t="shared" si="12"/>
        <v>100</v>
      </c>
      <c r="X37" s="1816"/>
      <c r="Y37" s="3168" t="s">
        <v>2571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8"/>
      <c r="Q38" s="1813">
        <f t="shared" si="14"/>
        <v>111</v>
      </c>
      <c r="R38" s="774" t="s">
        <v>17</v>
      </c>
      <c r="S38" s="775">
        <f t="shared" si="10"/>
        <v>100</v>
      </c>
      <c r="T38" s="774" t="s">
        <v>17</v>
      </c>
      <c r="U38" s="775">
        <f t="shared" si="11"/>
        <v>100</v>
      </c>
      <c r="V38" s="774" t="s">
        <v>17</v>
      </c>
      <c r="W38" s="775">
        <f t="shared" si="12"/>
        <v>100</v>
      </c>
      <c r="X38" s="1816"/>
      <c r="Y38" s="316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8"/>
      <c r="Q39" s="1813">
        <f t="shared" si="14"/>
        <v>111</v>
      </c>
      <c r="R39" s="774" t="s">
        <v>17</v>
      </c>
      <c r="S39" s="775">
        <f t="shared" si="10"/>
        <v>100</v>
      </c>
      <c r="T39" s="774" t="s">
        <v>17</v>
      </c>
      <c r="U39" s="775">
        <f t="shared" si="11"/>
        <v>100</v>
      </c>
      <c r="V39" s="774" t="s">
        <v>17</v>
      </c>
      <c r="W39" s="775">
        <f t="shared" si="12"/>
        <v>100</v>
      </c>
      <c r="X39" s="1816"/>
      <c r="Y39" s="3168"/>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8"/>
      <c r="Q40" s="1813">
        <f t="shared" si="14"/>
        <v>111</v>
      </c>
      <c r="R40" s="777" t="s">
        <v>17</v>
      </c>
      <c r="S40" s="778">
        <f t="shared" si="10"/>
        <v>100</v>
      </c>
      <c r="T40" s="777" t="s">
        <v>17</v>
      </c>
      <c r="U40" s="778">
        <f t="shared" si="11"/>
        <v>100</v>
      </c>
      <c r="V40" s="777" t="s">
        <v>17</v>
      </c>
      <c r="W40" s="778">
        <f t="shared" si="12"/>
        <v>100</v>
      </c>
      <c r="X40" s="779"/>
      <c r="Y40" s="3168"/>
      <c r="Z40" s="780">
        <f t="shared" si="13"/>
        <v>111</v>
      </c>
      <c r="AA40" s="1814">
        <f t="shared" si="3"/>
        <v>1</v>
      </c>
      <c r="AB40" s="1814">
        <f t="shared" si="4"/>
        <v>1</v>
      </c>
      <c r="AC40" s="1814">
        <f t="shared" si="5"/>
        <v>1</v>
      </c>
    </row>
    <row r="41" spans="1:29" ht="15">
      <c r="A41" s="479" t="s">
        <v>2726</v>
      </c>
      <c r="B41" s="2710" t="s">
        <v>3136</v>
      </c>
      <c r="C41" s="682" t="s">
        <v>1</v>
      </c>
      <c r="D41" s="481"/>
      <c r="E41" s="482">
        <f>土地案例!N3</f>
        <v>1299</v>
      </c>
      <c r="F41" s="483"/>
      <c r="G41" s="484">
        <f>土地案例!N4</f>
        <v>1359</v>
      </c>
      <c r="H41" s="485"/>
      <c r="I41" s="482">
        <f>土地案例!N7</f>
        <v>1237</v>
      </c>
      <c r="J41" s="485"/>
      <c r="K41" s="783"/>
      <c r="L41" s="1146"/>
      <c r="M41" s="1134"/>
      <c r="N41" s="1134"/>
      <c r="O41" s="1147"/>
      <c r="P41" s="3162" t="str">
        <f>A41</f>
        <v>成交单价</v>
      </c>
      <c r="Q41" s="3162"/>
      <c r="R41" s="3164">
        <f>E41</f>
        <v>1299</v>
      </c>
      <c r="S41" s="3164"/>
      <c r="T41" s="3164">
        <f>G41</f>
        <v>1359</v>
      </c>
      <c r="U41" s="3164"/>
      <c r="V41" s="3164">
        <f>I41</f>
        <v>1237</v>
      </c>
      <c r="W41" s="3164"/>
      <c r="X41" s="759"/>
      <c r="Y41" s="781"/>
      <c r="Z41" s="759"/>
      <c r="AA41" s="759"/>
      <c r="AB41" s="759"/>
      <c r="AC41" s="759"/>
    </row>
    <row r="42" spans="1:29" ht="15.75" thickBot="1">
      <c r="A42" s="486" t="s">
        <v>2675</v>
      </c>
      <c r="B42" s="683"/>
      <c r="C42" s="490">
        <f>R43</f>
        <v>1253</v>
      </c>
      <c r="D42" s="489"/>
      <c r="E42" s="490">
        <f>R42</f>
        <v>1216</v>
      </c>
      <c r="F42" s="491"/>
      <c r="G42" s="488">
        <f>T42</f>
        <v>1299</v>
      </c>
      <c r="H42" s="489"/>
      <c r="I42" s="490">
        <f>V42</f>
        <v>1243</v>
      </c>
      <c r="J42" s="489"/>
      <c r="K42" s="784"/>
      <c r="L42" s="1146"/>
      <c r="M42" s="1134"/>
      <c r="N42" s="1134"/>
      <c r="O42" s="1147"/>
      <c r="P42" s="3162" t="str">
        <f>A42</f>
        <v>比较价值（元/平方米）</v>
      </c>
      <c r="Q42" s="3162"/>
      <c r="R42" s="3163">
        <f>ROUND(PRODUCT(R41,AA7:AA40),0)</f>
        <v>1216</v>
      </c>
      <c r="S42" s="3163"/>
      <c r="T42" s="3163">
        <f>ROUND(PRODUCT(T41,AB7:AB40),0)</f>
        <v>1299</v>
      </c>
      <c r="U42" s="3163"/>
      <c r="V42" s="3163">
        <f>ROUND(PRODUCT(V41,AC7:AC40),0)</f>
        <v>1243</v>
      </c>
      <c r="W42" s="3163"/>
      <c r="X42" s="759"/>
      <c r="Y42" s="759"/>
      <c r="Z42" s="759"/>
      <c r="AA42" s="759"/>
      <c r="AB42" s="759"/>
      <c r="AC42" s="759"/>
    </row>
    <row r="43" spans="1:29" ht="15.75" thickBot="1">
      <c r="A43" s="492" t="s">
        <v>2676</v>
      </c>
      <c r="B43" s="493"/>
      <c r="C43" s="494">
        <f>R43</f>
        <v>1253</v>
      </c>
      <c r="D43" s="494"/>
      <c r="E43" s="494"/>
      <c r="F43" s="494"/>
      <c r="G43" s="494"/>
      <c r="H43" s="494"/>
      <c r="I43" s="494"/>
      <c r="J43" s="494"/>
      <c r="K43" s="785"/>
      <c r="L43" s="1146"/>
      <c r="M43" s="1134"/>
      <c r="N43" s="1134"/>
      <c r="O43" s="1147"/>
      <c r="P43" s="3159" t="str">
        <f>A43</f>
        <v>估价对象XX用房的比较价值（楼面单价，元/平方米）</v>
      </c>
      <c r="Q43" s="3160"/>
      <c r="R43" s="3161">
        <f>ROUND(AVERAGE(R42:V42),0)</f>
        <v>1253</v>
      </c>
      <c r="S43" s="3161"/>
      <c r="T43" s="3161"/>
      <c r="U43" s="3161"/>
      <c r="V43" s="3161"/>
      <c r="W43" s="316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2677</v>
      </c>
      <c r="D46" s="498"/>
      <c r="E46" s="499">
        <f>IF(E41&lt;E42,E42/E41-1,E41/E42-1)</f>
        <v>6.8256578947368363E-2</v>
      </c>
      <c r="F46" s="500" t="str">
        <f>IF(OR(E46&gt;=0.3,E46&lt;=-0.3),"超过30%","")</f>
        <v/>
      </c>
      <c r="G46" s="499">
        <f>IF(G41&lt;G42,G42/G41-1,G41/G42-1)</f>
        <v>4.6189376443418029E-2</v>
      </c>
      <c r="H46" s="500" t="str">
        <f>IF(OR(G46&gt;=0.3,G46&lt;=-0.3),"超过30%","")</f>
        <v/>
      </c>
      <c r="I46" s="499">
        <f>IF(I41&lt;I42,I42/I41-1,I41/I42-1)</f>
        <v>4.8504446240904553E-3</v>
      </c>
      <c r="J46" s="500" t="str">
        <f>IF(OR(I46&gt;=0.3,I46&lt;=-0.3),"超过30%","")</f>
        <v/>
      </c>
      <c r="K46" s="1108"/>
      <c r="L46" s="1109"/>
      <c r="M46" s="1134"/>
      <c r="N46" s="1134"/>
      <c r="O46" s="1147"/>
    </row>
    <row r="47" spans="1:29" ht="13.5" customHeight="1">
      <c r="A47" s="1147"/>
      <c r="B47" s="1147"/>
      <c r="C47" s="497" t="s">
        <v>2678</v>
      </c>
      <c r="D47" s="501"/>
      <c r="E47" s="499">
        <f>IF(E42&lt;G42,G42/E42-1,E42/G42-1)</f>
        <v>6.8256578947368363E-2</v>
      </c>
      <c r="F47" s="500" t="str">
        <f>IF(OR(E47&gt;=0.2,E47&lt;=-0.2),"超过20%","")</f>
        <v/>
      </c>
      <c r="G47" s="499">
        <f>IF(G42&lt;I42,I42/G42-1,G42/I42-1)</f>
        <v>4.5052292839903529E-2</v>
      </c>
      <c r="H47" s="500" t="str">
        <f>IF(OR(G47&gt;=0.2,G47&lt;=-0.2),"超过20%","")</f>
        <v/>
      </c>
      <c r="I47" s="499">
        <f>IF(I42&lt;E42,E42/I42-1,I42/E42-1)</f>
        <v>2.2203947368421018E-2</v>
      </c>
      <c r="J47" s="500" t="str">
        <f>IF(OR(I47&gt;=0.2,I47&lt;=-0.2),"超过20%","")</f>
        <v/>
      </c>
      <c r="K47" s="1108"/>
      <c r="L47" s="1109"/>
      <c r="M47" s="1147"/>
      <c r="N47" s="1147"/>
      <c r="O47" s="1147"/>
    </row>
    <row r="48" spans="1:29" s="502" customFormat="1" ht="13.5" customHeight="1">
      <c r="A48" s="1148"/>
      <c r="B48" s="1148"/>
      <c r="C48" s="497" t="s">
        <v>2679</v>
      </c>
      <c r="D48" s="501"/>
      <c r="E48" s="499">
        <f>IF(E41&lt;G41,G41/E41-1,E41/G41-1)</f>
        <v>4.6189376443418029E-2</v>
      </c>
      <c r="F48" s="500" t="str">
        <f>IF(OR(E48&gt;=0.3,E48&lt;=-0.3),"超过30%","")</f>
        <v/>
      </c>
      <c r="G48" s="499">
        <f>IF(G41&lt;I41,I41/G41-1,G41/I41-1)</f>
        <v>9.8625707356507775E-2</v>
      </c>
      <c r="H48" s="500" t="str">
        <f>IF(OR(G48&gt;=0.3,G48&lt;=-0.3),"超过30%","")</f>
        <v/>
      </c>
      <c r="I48" s="499">
        <f>IF(I41&lt;E41,E41/I41-1,I41/E41-1)</f>
        <v>5.0121261115602334E-2</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2764</v>
      </c>
      <c r="B50" s="685" t="s">
        <v>2765</v>
      </c>
      <c r="C50" s="2711" t="s">
        <v>2766</v>
      </c>
      <c r="D50" s="2712" t="s">
        <v>2767</v>
      </c>
      <c r="E50" s="686" t="s">
        <v>2768</v>
      </c>
      <c r="F50" s="687" t="s">
        <v>2769</v>
      </c>
      <c r="G50" s="3172" t="s">
        <v>2770</v>
      </c>
      <c r="H50" s="3186"/>
      <c r="I50" s="1817" t="s">
        <v>2806</v>
      </c>
      <c r="J50" s="1817">
        <f>项目基本情况!F35</f>
        <v>0</v>
      </c>
      <c r="K50" s="2714" t="s">
        <v>2772</v>
      </c>
      <c r="L50" s="1109"/>
      <c r="M50" s="1147"/>
      <c r="N50" s="1147"/>
      <c r="O50" s="1147"/>
    </row>
    <row r="51" spans="1:17" s="692" customFormat="1">
      <c r="A51" s="688" t="s">
        <v>2773</v>
      </c>
      <c r="B51" s="689">
        <f>C43</f>
        <v>1253</v>
      </c>
      <c r="C51" s="690">
        <v>1</v>
      </c>
      <c r="D51" s="1166">
        <v>1</v>
      </c>
      <c r="E51" s="690">
        <f>'数据-汇总表'!E8+'数据-汇总表'!E9</f>
        <v>6170.06</v>
      </c>
      <c r="F51" s="691">
        <f t="shared" ref="F51:F60" si="15">ROUND(B51*E51/10000,0)</f>
        <v>773</v>
      </c>
      <c r="G51" s="3187"/>
      <c r="H51" s="3162"/>
      <c r="I51" s="945">
        <v>1</v>
      </c>
      <c r="J51" s="945">
        <v>1</v>
      </c>
      <c r="K51" s="1148"/>
      <c r="L51" s="944"/>
      <c r="M51" s="944"/>
      <c r="N51" s="944"/>
      <c r="O51" s="944"/>
    </row>
    <row r="52" spans="1:17" s="692" customFormat="1">
      <c r="A52" s="693" t="s">
        <v>2774</v>
      </c>
      <c r="B52" s="262">
        <f>ROUND($C$43*C52*D52,0)</f>
        <v>0</v>
      </c>
      <c r="C52" s="200">
        <f t="shared" ref="C52:C60" si="16">IF($C$50="北京市系数",I52,J52)</f>
        <v>0</v>
      </c>
      <c r="D52" s="1167">
        <v>0.25</v>
      </c>
      <c r="E52" s="694"/>
      <c r="F52" s="691">
        <f t="shared" si="15"/>
        <v>0</v>
      </c>
      <c r="G52" s="3188" t="s">
        <v>2775</v>
      </c>
      <c r="H52" s="1107">
        <f>项目基本情况!B37</f>
        <v>0</v>
      </c>
      <c r="I52" s="945">
        <f>SUMIF(修正!A45:A56,H52,修正!B45:B56)</f>
        <v>0</v>
      </c>
      <c r="J52" s="946"/>
      <c r="K52" s="1147"/>
      <c r="L52" s="944"/>
      <c r="M52" s="944"/>
      <c r="N52" s="944"/>
      <c r="O52" s="944"/>
    </row>
    <row r="53" spans="1:17" s="692" customFormat="1">
      <c r="A53" s="693" t="s">
        <v>2776</v>
      </c>
      <c r="B53" s="262">
        <f t="shared" ref="B53:B60" si="17">ROUND($C$43*C53*D53,0)</f>
        <v>0</v>
      </c>
      <c r="C53" s="200">
        <f t="shared" si="16"/>
        <v>0</v>
      </c>
      <c r="D53" s="1167">
        <v>0.25</v>
      </c>
      <c r="E53" s="694"/>
      <c r="F53" s="691">
        <f t="shared" si="15"/>
        <v>0</v>
      </c>
      <c r="G53" s="3188"/>
      <c r="H53" s="1107">
        <f>项目基本情况!B37</f>
        <v>0</v>
      </c>
      <c r="I53" s="945">
        <f>SUMIF(修正!A45:A56,H53,修正!C45:C56)</f>
        <v>0</v>
      </c>
      <c r="J53" s="946"/>
      <c r="K53" s="1148"/>
      <c r="L53" s="944"/>
      <c r="M53" s="944"/>
      <c r="N53" s="944"/>
      <c r="O53" s="944"/>
    </row>
    <row r="54" spans="1:17" s="692" customFormat="1">
      <c r="A54" s="693" t="s">
        <v>2777</v>
      </c>
      <c r="B54" s="262">
        <f t="shared" si="17"/>
        <v>0</v>
      </c>
      <c r="C54" s="200">
        <f t="shared" si="16"/>
        <v>0</v>
      </c>
      <c r="D54" s="1167">
        <v>0.25</v>
      </c>
      <c r="E54" s="694"/>
      <c r="F54" s="691">
        <f t="shared" si="15"/>
        <v>0</v>
      </c>
      <c r="G54" s="3188"/>
      <c r="H54" s="1107">
        <f>项目基本情况!B37</f>
        <v>0</v>
      </c>
      <c r="I54" s="945">
        <f>SUMIF(修正!A45:A56,H54,修正!D45:D56)</f>
        <v>0</v>
      </c>
      <c r="J54" s="946"/>
      <c r="K54" s="1147"/>
      <c r="L54" s="944"/>
      <c r="M54" s="944"/>
      <c r="N54" s="944"/>
      <c r="O54" s="944"/>
    </row>
    <row r="55" spans="1:17" s="692" customFormat="1">
      <c r="A55" s="693" t="s">
        <v>2778</v>
      </c>
      <c r="B55" s="262">
        <f t="shared" si="17"/>
        <v>0</v>
      </c>
      <c r="C55" s="200">
        <f t="shared" si="16"/>
        <v>0</v>
      </c>
      <c r="D55" s="1167">
        <v>0.25</v>
      </c>
      <c r="E55" s="694"/>
      <c r="F55" s="691">
        <f t="shared" si="15"/>
        <v>0</v>
      </c>
      <c r="G55" s="3188"/>
      <c r="H55" s="1107">
        <f>项目基本情况!B37</f>
        <v>0</v>
      </c>
      <c r="I55" s="945">
        <f>SUMIF(修正!A45:A56,H55,修正!E45:E56)</f>
        <v>0</v>
      </c>
      <c r="J55" s="946"/>
      <c r="K55" s="1148"/>
      <c r="L55" s="944"/>
      <c r="M55" s="944"/>
      <c r="N55" s="944"/>
      <c r="O55" s="944"/>
    </row>
    <row r="56" spans="1:17" s="692" customFormat="1">
      <c r="A56" s="693" t="s">
        <v>2779</v>
      </c>
      <c r="B56" s="262">
        <f t="shared" si="17"/>
        <v>0</v>
      </c>
      <c r="C56" s="200">
        <f t="shared" si="16"/>
        <v>0</v>
      </c>
      <c r="D56" s="1167">
        <v>0.25</v>
      </c>
      <c r="E56" s="261">
        <f>'数据-汇总表'!E11</f>
        <v>0</v>
      </c>
      <c r="F56" s="691">
        <f t="shared" si="15"/>
        <v>0</v>
      </c>
      <c r="G56" s="2715" t="s">
        <v>2780</v>
      </c>
      <c r="H56" s="1107">
        <f>项目基本情况!C37</f>
        <v>0</v>
      </c>
      <c r="I56" s="945">
        <f>SUMIF(修正!A45:A56,H56,修正!F45:F56)</f>
        <v>0</v>
      </c>
      <c r="J56" s="946"/>
      <c r="K56" s="1147"/>
      <c r="L56" s="944"/>
      <c r="M56" s="944"/>
      <c r="N56" s="944"/>
      <c r="O56" s="944"/>
    </row>
    <row r="57" spans="1:17" s="692" customFormat="1">
      <c r="A57" s="693" t="s">
        <v>2781</v>
      </c>
      <c r="B57" s="262">
        <f t="shared" si="17"/>
        <v>0</v>
      </c>
      <c r="C57" s="200">
        <f t="shared" si="16"/>
        <v>0</v>
      </c>
      <c r="D57" s="1167">
        <v>0.25</v>
      </c>
      <c r="E57" s="261">
        <f>'数据-汇总表'!E12</f>
        <v>0</v>
      </c>
      <c r="F57" s="691">
        <f t="shared" si="15"/>
        <v>0</v>
      </c>
      <c r="G57" s="1112" t="s">
        <v>2782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2783</v>
      </c>
      <c r="B58" s="262">
        <f t="shared" si="17"/>
        <v>47</v>
      </c>
      <c r="C58" s="200">
        <f t="shared" si="16"/>
        <v>0.15</v>
      </c>
      <c r="D58" s="1167">
        <v>0.25</v>
      </c>
      <c r="E58" s="261">
        <f>'数据-汇总表'!E13</f>
        <v>0</v>
      </c>
      <c r="F58" s="691">
        <f t="shared" si="15"/>
        <v>0</v>
      </c>
      <c r="G58" s="1112" t="s">
        <v>6</v>
      </c>
      <c r="H58" s="1107" t="str">
        <f>IF(G58="商业",项目基本情况!B37,IF(G58="办公",项目基本情况!C37,IF(G58="住宅",项目基本情况!D37,项目基本情况!E37)))</f>
        <v>九级</v>
      </c>
      <c r="I58" s="945">
        <f>SUMIF(修正!A45:A56,H58,修正!H45:H56)</f>
        <v>0.15</v>
      </c>
      <c r="J58" s="946"/>
      <c r="K58" s="1147"/>
      <c r="L58" s="944"/>
      <c r="M58" s="944"/>
      <c r="N58" s="944"/>
      <c r="O58" s="944"/>
    </row>
    <row r="59" spans="1:17" s="692" customFormat="1">
      <c r="A59" s="693" t="s">
        <v>2785</v>
      </c>
      <c r="B59" s="262">
        <f t="shared" si="17"/>
        <v>0</v>
      </c>
      <c r="C59" s="200">
        <f t="shared" si="16"/>
        <v>0</v>
      </c>
      <c r="D59" s="1167">
        <v>0.25</v>
      </c>
      <c r="E59" s="261">
        <f>'数据-汇总表'!E14</f>
        <v>0</v>
      </c>
      <c r="F59" s="691">
        <f t="shared" si="15"/>
        <v>0</v>
      </c>
      <c r="G59" s="2715" t="s">
        <v>2775</v>
      </c>
      <c r="H59" s="1107">
        <f>项目基本情况!B37</f>
        <v>0</v>
      </c>
      <c r="I59" s="945">
        <f>SUMIF(修正!A45:A56,H59,修正!H45:H56)</f>
        <v>0</v>
      </c>
      <c r="J59" s="946"/>
      <c r="K59" s="1148"/>
      <c r="L59" s="944"/>
      <c r="M59" s="944"/>
      <c r="N59" s="944"/>
      <c r="O59" s="944"/>
    </row>
    <row r="60" spans="1:17" s="692" customFormat="1" ht="15" thickBot="1">
      <c r="A60" s="693" t="s">
        <v>2786</v>
      </c>
      <c r="B60" s="262">
        <f t="shared" si="17"/>
        <v>0</v>
      </c>
      <c r="C60" s="200">
        <f t="shared" si="16"/>
        <v>0</v>
      </c>
      <c r="D60" s="1167">
        <v>0.25</v>
      </c>
      <c r="E60" s="261">
        <f>'数据-汇总表'!E15</f>
        <v>0</v>
      </c>
      <c r="F60" s="691">
        <f t="shared" si="15"/>
        <v>0</v>
      </c>
      <c r="G60" s="2716" t="s">
        <v>2780</v>
      </c>
      <c r="H60" s="1117">
        <f>项目基本情况!C37</f>
        <v>0</v>
      </c>
      <c r="I60" s="945">
        <f>SUMIF(修正!A45:A56,H60,修正!H45:H56)</f>
        <v>0</v>
      </c>
      <c r="J60" s="946"/>
      <c r="K60" s="1147"/>
      <c r="L60" s="944"/>
      <c r="M60" s="944"/>
      <c r="N60" s="944"/>
      <c r="O60" s="944"/>
    </row>
    <row r="61" spans="1:17" s="692" customFormat="1" ht="15" thickBot="1">
      <c r="A61" s="695" t="s">
        <v>2787</v>
      </c>
      <c r="B61" s="696" t="s">
        <v>28</v>
      </c>
      <c r="C61" s="696" t="s">
        <v>29</v>
      </c>
      <c r="D61" s="696" t="s">
        <v>1029</v>
      </c>
      <c r="E61" s="696">
        <f>IF(B41="楼面地价",SUM(E51:E60),'数据-汇总表'!D3)</f>
        <v>11400.66</v>
      </c>
      <c r="F61" s="697">
        <f>IF(B41="楼面地价",SUM(F51:F60),ROUND(C43*E61/10000,0))</f>
        <v>1429</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2680</v>
      </c>
      <c r="B64" s="759"/>
      <c r="C64" s="764"/>
      <c r="D64" s="764"/>
      <c r="E64" s="764"/>
      <c r="F64" s="765"/>
      <c r="G64" s="765"/>
      <c r="H64" s="764"/>
      <c r="I64" s="764"/>
      <c r="J64" s="764"/>
      <c r="K64" s="766"/>
      <c r="L64" s="767"/>
      <c r="M64" s="764"/>
      <c r="N64" s="764"/>
      <c r="O64" s="1162"/>
      <c r="P64" s="503"/>
      <c r="Q64" s="504"/>
    </row>
    <row r="65" spans="1:17" s="508" customFormat="1" ht="15">
      <c r="A65" s="2717" t="s">
        <v>2788</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2" t="s">
        <v>2807</v>
      </c>
      <c r="B66" s="332" t="str">
        <f>"北京市平均增长率"&amp;TEXT(基准地价修正!P24,"0.00%")</f>
        <v>北京市平均增长率1.31%</v>
      </c>
      <c r="C66" s="603">
        <v>100</v>
      </c>
      <c r="D66" s="595">
        <f>C66-1.5</f>
        <v>98.5</v>
      </c>
      <c r="E66" s="595">
        <f t="shared" ref="E66:O66" si="20">D66-1.5</f>
        <v>97</v>
      </c>
      <c r="F66" s="595">
        <f t="shared" si="20"/>
        <v>95.5</v>
      </c>
      <c r="G66" s="595">
        <f t="shared" si="20"/>
        <v>94</v>
      </c>
      <c r="H66" s="595">
        <f t="shared" si="20"/>
        <v>92.5</v>
      </c>
      <c r="I66" s="595">
        <f t="shared" si="20"/>
        <v>91</v>
      </c>
      <c r="J66" s="595">
        <f t="shared" si="20"/>
        <v>89.5</v>
      </c>
      <c r="K66" s="595">
        <f t="shared" si="20"/>
        <v>88</v>
      </c>
      <c r="L66" s="595">
        <f t="shared" si="20"/>
        <v>86.5</v>
      </c>
      <c r="M66" s="595">
        <f t="shared" si="20"/>
        <v>85</v>
      </c>
      <c r="N66" s="595">
        <f t="shared" si="20"/>
        <v>83.5</v>
      </c>
      <c r="O66" s="595">
        <f t="shared" si="20"/>
        <v>82</v>
      </c>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2594</v>
      </c>
      <c r="B70" s="528" t="s">
        <v>2560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2564</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6"/>
      <c r="O74" s="1156"/>
      <c r="P74" s="45"/>
      <c r="Q74" s="504"/>
    </row>
    <row r="75" spans="1:17" ht="15">
      <c r="A75" s="534"/>
      <c r="B75" s="548"/>
      <c r="C75" s="549">
        <v>0</v>
      </c>
      <c r="D75" s="549">
        <v>1</v>
      </c>
      <c r="E75" s="549">
        <v>2</v>
      </c>
      <c r="F75" s="549">
        <v>3</v>
      </c>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2">IF($B$41="单位面积地价",D76+$K11,D76-$K11)</f>
        <v>100</v>
      </c>
      <c r="F76" s="544">
        <f t="shared" si="22"/>
        <v>100</v>
      </c>
      <c r="G76" s="544">
        <f t="shared" si="22"/>
        <v>100</v>
      </c>
      <c r="H76" s="544">
        <f t="shared" si="22"/>
        <v>100</v>
      </c>
      <c r="I76" s="544">
        <f t="shared" si="22"/>
        <v>100</v>
      </c>
      <c r="J76" s="544">
        <f t="shared" si="22"/>
        <v>100</v>
      </c>
      <c r="K76" s="544">
        <f t="shared" si="22"/>
        <v>100</v>
      </c>
      <c r="L76" s="544">
        <f t="shared" si="22"/>
        <v>100</v>
      </c>
      <c r="M76" s="544">
        <f t="shared" si="22"/>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2681</v>
      </c>
      <c r="D93" s="660" t="s">
        <v>2682</v>
      </c>
      <c r="E93" s="660" t="s">
        <v>2683</v>
      </c>
      <c r="F93" s="660" t="s">
        <v>2684</v>
      </c>
      <c r="G93" s="660" t="s">
        <v>2685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5"/>
      <c r="O95" s="1155"/>
      <c r="P95" s="45"/>
      <c r="Q95" s="504"/>
    </row>
    <row r="96" spans="1:17" ht="15.75" thickBot="1">
      <c r="A96" s="534"/>
      <c r="B96" s="543"/>
      <c r="C96" s="544">
        <v>100</v>
      </c>
      <c r="D96" s="544">
        <f t="shared" ref="D96:M96" si="23">C96-$K27</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4">
        <f t="shared" si="23"/>
        <v>100</v>
      </c>
      <c r="N96" s="1156"/>
      <c r="O96" s="1156"/>
      <c r="P96" s="45"/>
      <c r="Q96" s="504"/>
    </row>
    <row r="97" spans="1:17" ht="27.75" thickTop="1">
      <c r="A97" s="534"/>
      <c r="B97" s="538" t="s">
        <v>2697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4">C98-$K28</f>
        <v>100</v>
      </c>
      <c r="E98" s="544">
        <f t="shared" si="24"/>
        <v>100</v>
      </c>
      <c r="F98" s="544">
        <f t="shared" si="24"/>
        <v>100</v>
      </c>
      <c r="G98" s="544">
        <f t="shared" si="24"/>
        <v>100</v>
      </c>
      <c r="H98" s="544">
        <f t="shared" si="24"/>
        <v>100</v>
      </c>
      <c r="I98" s="544">
        <f t="shared" si="24"/>
        <v>100</v>
      </c>
      <c r="J98" s="544">
        <f t="shared" si="24"/>
        <v>100</v>
      </c>
      <c r="K98" s="544">
        <f t="shared" si="24"/>
        <v>100</v>
      </c>
      <c r="L98" s="544">
        <f t="shared" si="24"/>
        <v>100</v>
      </c>
      <c r="M98" s="544">
        <f t="shared" si="24"/>
        <v>100</v>
      </c>
      <c r="N98" s="1156"/>
      <c r="O98" s="1156"/>
      <c r="P98" s="45"/>
      <c r="Q98" s="504"/>
    </row>
    <row r="99" spans="1:17" ht="15.75" thickTop="1">
      <c r="A99" s="534"/>
      <c r="B99" s="538" t="s">
        <v>2756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2569</v>
      </c>
      <c r="B107" s="528" t="s">
        <v>2797</v>
      </c>
      <c r="C107" s="529" t="str">
        <f t="shared" ref="C107:L107" si="26">C108&amp;"(含)"&amp;"-"&amp;D108</f>
        <v>0(含)-50000</v>
      </c>
      <c r="D107" s="529" t="str">
        <f t="shared" si="26"/>
        <v>50000(含)-100000</v>
      </c>
      <c r="E107" s="529" t="str">
        <f t="shared" si="26"/>
        <v>100000(含)-150000</v>
      </c>
      <c r="F107" s="529" t="str">
        <f t="shared" si="26"/>
        <v>150000(含)-</v>
      </c>
      <c r="G107" s="529" t="str">
        <f t="shared" si="26"/>
        <v>(含)-</v>
      </c>
      <c r="H107" s="529" t="str">
        <f t="shared" si="26"/>
        <v>(含)-</v>
      </c>
      <c r="I107" s="529" t="str">
        <f t="shared" si="26"/>
        <v>(含)-</v>
      </c>
      <c r="J107" s="529" t="str">
        <f t="shared" si="26"/>
        <v>(含)-</v>
      </c>
      <c r="K107" s="1769" t="str">
        <f t="shared" si="26"/>
        <v>(含)-</v>
      </c>
      <c r="L107" s="1769" t="str">
        <f t="shared" si="26"/>
        <v>(含)-</v>
      </c>
      <c r="M107" s="1770" t="str">
        <f>M108&amp;"(含)"&amp;"-"&amp;P108</f>
        <v>(含)-</v>
      </c>
      <c r="N107" s="1155"/>
      <c r="O107" s="1155"/>
      <c r="P107" s="45"/>
      <c r="Q107" s="504"/>
    </row>
    <row r="108" spans="1:17" ht="15">
      <c r="A108" s="534"/>
      <c r="B108" s="546"/>
      <c r="C108" s="595">
        <v>0</v>
      </c>
      <c r="D108" s="595">
        <v>50000</v>
      </c>
      <c r="E108" s="595">
        <v>100000</v>
      </c>
      <c r="F108" s="595">
        <v>150000</v>
      </c>
      <c r="G108" s="595"/>
      <c r="H108" s="595"/>
      <c r="I108" s="595"/>
      <c r="J108" s="596"/>
      <c r="K108" s="596"/>
      <c r="L108" s="597"/>
      <c r="M108" s="598"/>
      <c r="N108" s="1155"/>
      <c r="O108" s="1155"/>
      <c r="P108" s="45"/>
      <c r="Q108" s="504"/>
    </row>
    <row r="109" spans="1:17" ht="15.75" thickBot="1">
      <c r="A109" s="534"/>
      <c r="B109" s="543"/>
      <c r="C109" s="570">
        <v>100</v>
      </c>
      <c r="D109" s="591">
        <v>102</v>
      </c>
      <c r="E109" s="591">
        <v>104</v>
      </c>
      <c r="F109" s="591">
        <v>106</v>
      </c>
      <c r="G109" s="591"/>
      <c r="H109" s="591"/>
      <c r="I109" s="591"/>
      <c r="J109" s="591"/>
      <c r="K109" s="591"/>
      <c r="L109" s="591"/>
      <c r="M109" s="592"/>
      <c r="N109" s="1156"/>
      <c r="O109" s="1156"/>
      <c r="P109" s="45"/>
      <c r="Q109" s="504"/>
    </row>
    <row r="110" spans="1:17" ht="15" thickTop="1">
      <c r="A110" s="599"/>
      <c r="B110" s="538" t="s">
        <v>2798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7">C111-$K35</f>
        <v>100</v>
      </c>
      <c r="E111" s="544">
        <f t="shared" si="27"/>
        <v>100</v>
      </c>
      <c r="F111" s="544">
        <f t="shared" si="27"/>
        <v>100</v>
      </c>
      <c r="G111" s="544">
        <f t="shared" si="27"/>
        <v>100</v>
      </c>
      <c r="H111" s="544">
        <f t="shared" si="27"/>
        <v>100</v>
      </c>
      <c r="I111" s="544">
        <f t="shared" si="27"/>
        <v>100</v>
      </c>
      <c r="J111" s="544">
        <f t="shared" si="27"/>
        <v>100</v>
      </c>
      <c r="K111" s="544">
        <f t="shared" si="27"/>
        <v>100</v>
      </c>
      <c r="L111" s="544">
        <f t="shared" si="27"/>
        <v>100</v>
      </c>
      <c r="M111" s="545">
        <f t="shared" si="27"/>
        <v>100</v>
      </c>
      <c r="N111" s="1156"/>
      <c r="O111" s="1156"/>
      <c r="P111" s="45"/>
      <c r="Q111" s="504"/>
    </row>
    <row r="112" spans="1:17" s="471" customFormat="1" ht="15" thickTop="1">
      <c r="A112" s="593"/>
      <c r="B112" s="538" t="s">
        <v>2800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8">C113-$K36</f>
        <v>100</v>
      </c>
      <c r="E113" s="544">
        <f t="shared" si="28"/>
        <v>100</v>
      </c>
      <c r="F113" s="544">
        <f t="shared" si="28"/>
        <v>100</v>
      </c>
      <c r="G113" s="544">
        <f t="shared" si="28"/>
        <v>100</v>
      </c>
      <c r="H113" s="544">
        <f t="shared" si="28"/>
        <v>100</v>
      </c>
      <c r="I113" s="544">
        <f t="shared" si="28"/>
        <v>100</v>
      </c>
      <c r="J113" s="544">
        <f t="shared" si="28"/>
        <v>100</v>
      </c>
      <c r="K113" s="544">
        <f t="shared" si="28"/>
        <v>100</v>
      </c>
      <c r="L113" s="544">
        <f t="shared" si="28"/>
        <v>100</v>
      </c>
      <c r="M113" s="545">
        <f t="shared" si="28"/>
        <v>100</v>
      </c>
      <c r="N113" s="1157"/>
      <c r="O113" s="1157"/>
      <c r="P113" s="558"/>
      <c r="Q113" s="559"/>
    </row>
    <row r="114" spans="1:17" ht="15" thickTop="1">
      <c r="A114" s="599"/>
      <c r="B114" s="538" t="s">
        <v>2801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9">C115-$K37</f>
        <v>100</v>
      </c>
      <c r="E115" s="544">
        <f t="shared" si="29"/>
        <v>100</v>
      </c>
      <c r="F115" s="544">
        <f t="shared" si="29"/>
        <v>100</v>
      </c>
      <c r="G115" s="544">
        <f t="shared" si="29"/>
        <v>100</v>
      </c>
      <c r="H115" s="544">
        <f t="shared" si="29"/>
        <v>100</v>
      </c>
      <c r="I115" s="544">
        <f t="shared" si="29"/>
        <v>100</v>
      </c>
      <c r="J115" s="544">
        <f t="shared" si="29"/>
        <v>100</v>
      </c>
      <c r="K115" s="544">
        <f t="shared" si="29"/>
        <v>100</v>
      </c>
      <c r="L115" s="544">
        <f t="shared" si="29"/>
        <v>100</v>
      </c>
      <c r="M115" s="545">
        <f t="shared" si="29"/>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disablePrompts="1"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40" sqref="H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3139</v>
      </c>
      <c r="D1" s="1823" t="s">
        <v>70</v>
      </c>
      <c r="E1" s="1824" t="s">
        <v>1387</v>
      </c>
      <c r="F1" s="1286">
        <f ca="1">J53</f>
        <v>38.26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0</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204" t="s">
        <v>1403</v>
      </c>
      <c r="C6" s="1299">
        <f ca="1">ROUND(F6*F8*F7*(1-F9)/10000,0)</f>
        <v>0</v>
      </c>
      <c r="D6" s="164" t="s">
        <v>3041</v>
      </c>
      <c r="E6" s="347" t="s">
        <v>1405</v>
      </c>
      <c r="F6" s="348">
        <f ca="1">INDIRECT("'数据-取费表'!u"&amp;$G$1)</f>
        <v>1.2</v>
      </c>
      <c r="G6" s="1854"/>
      <c r="H6" s="1294" t="s">
        <v>1035</v>
      </c>
      <c r="I6" s="3204" t="s">
        <v>1403</v>
      </c>
      <c r="J6" s="346">
        <f ca="1">ROUND(M6*M8*M7*(1-M9)/10000,0)</f>
        <v>0</v>
      </c>
      <c r="K6" s="164" t="s">
        <v>3040</v>
      </c>
      <c r="L6" s="347" t="s">
        <v>1405</v>
      </c>
      <c r="M6" s="348">
        <f ca="1">INDIRECT("'数据-取费表'!z"&amp;$G$1)</f>
        <v>0</v>
      </c>
    </row>
    <row r="7" spans="1:37" ht="18" customHeight="1">
      <c r="A7" s="1298"/>
      <c r="B7" s="3205"/>
      <c r="C7" s="1300"/>
      <c r="D7" s="352"/>
      <c r="E7" s="1301" t="s">
        <v>1406</v>
      </c>
      <c r="F7" s="348">
        <f ca="1">IF(INDIRECT("'数据-取费表'!ah"&amp;$G$1)="",INDIRECT("'数据-取费表'!k"&amp;$G$1),INDIRECT("'数据-取费表'!ah"&amp;$G$1))</f>
        <v>0</v>
      </c>
      <c r="G7" s="1854"/>
      <c r="H7" s="349"/>
      <c r="I7" s="3205"/>
      <c r="J7" s="351"/>
      <c r="K7" s="352"/>
      <c r="L7" s="347" t="s">
        <v>1406</v>
      </c>
      <c r="M7" s="348">
        <f ca="1">F7</f>
        <v>0</v>
      </c>
    </row>
    <row r="8" spans="1:37" ht="18" customHeight="1">
      <c r="A8" s="349"/>
      <c r="B8" s="3205"/>
      <c r="C8" s="351"/>
      <c r="D8" s="352"/>
      <c r="E8" s="347" t="s">
        <v>1407</v>
      </c>
      <c r="F8" s="348">
        <f ca="1">INDIRECT("'数据-取费表'!ai"&amp;$G$1)</f>
        <v>365</v>
      </c>
      <c r="G8" s="1854"/>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0.1</v>
      </c>
      <c r="G9" s="1854"/>
      <c r="H9" s="349"/>
      <c r="I9" s="3206"/>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3042</v>
      </c>
      <c r="E10" s="358" t="s">
        <v>1411</v>
      </c>
      <c r="F10" s="1369" t="s">
        <v>3115</v>
      </c>
      <c r="G10" s="1854"/>
      <c r="H10" s="1294" t="s">
        <v>1039</v>
      </c>
      <c r="I10" s="1826" t="s">
        <v>1409</v>
      </c>
      <c r="J10" s="346">
        <f ca="1">ROUND(IF(M10="押一",M6*M8*M7/12*M11,IF(M10="押二",M6*M8*M7/12*2*M11,IF(M10="押三",M6*M8*M7/12*3*M11,J11*M11)))/10000,0)</f>
        <v>0</v>
      </c>
      <c r="K10" s="1827" t="s">
        <v>3043</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1</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ROUND(F17*(F43+INDIRECT("'数据-取费表'!S"&amp;$G$1))/10000,0)</f>
        <v>0</v>
      </c>
      <c r="D17" s="347" t="s">
        <v>1428</v>
      </c>
      <c r="E17" s="347" t="s">
        <v>1429</v>
      </c>
      <c r="F17" s="26">
        <f>'数据-取费表'!B35</f>
        <v>150</v>
      </c>
      <c r="G17" s="1857"/>
      <c r="H17" s="1204" t="s">
        <v>1035</v>
      </c>
      <c r="I17" s="347" t="s">
        <v>1430</v>
      </c>
      <c r="J17" s="24">
        <f ca="1">ROUND(IF(项目基本情况!B11="自然人",J5*M17,J18+J19+J20),1)</f>
        <v>0</v>
      </c>
      <c r="K17" s="1803" t="s">
        <v>1431</v>
      </c>
      <c r="L17" s="1801" t="s">
        <v>1432</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IF(K19="按租金收入计税",ROUND(J5*M19,2),ROUND(C29*M19*0.7,2))</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0.03</v>
      </c>
      <c r="G20" s="1857"/>
      <c r="H20" s="1204" t="s">
        <v>1389</v>
      </c>
      <c r="I20" s="164" t="s">
        <v>1442</v>
      </c>
      <c r="J20" s="25">
        <f ca="1">ROUND(M20*M21/10000,2)</f>
        <v>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0.03</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0</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1.5</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1.1000000000000001E-3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c r="A26" s="1204" t="s">
        <v>1034</v>
      </c>
      <c r="B26" s="347" t="s">
        <v>1466</v>
      </c>
      <c r="C26" s="24">
        <f ca="1">ROUND((C19+C20)*F26,0)</f>
        <v>0</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4" t="s">
        <v>1036</v>
      </c>
      <c r="B27" s="347" t="s">
        <v>1472</v>
      </c>
      <c r="C27" s="24">
        <f ca="1">ROUND(F21*F26,4)</f>
        <v>3.0000000000000001E-3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0</v>
      </c>
      <c r="D31" s="1803" t="s">
        <v>1431</v>
      </c>
      <c r="E31" s="1801" t="s">
        <v>1482</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1434</v>
      </c>
      <c r="C32" s="24">
        <f ca="1">IF(项目基本情况!B11="自然人","——",ROUND(C5*F32/(1+'数据-取费表'!C42),2))</f>
        <v>0</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0</v>
      </c>
      <c r="D33" s="1831" t="s">
        <v>3120</v>
      </c>
      <c r="E33" s="347" t="s">
        <v>1423</v>
      </c>
      <c r="F33" s="367">
        <f>IF(D33="按票据","——",IF(D33="按租金收入计税",'数据-取费表'!B51,'数据-取费表'!B50))</f>
        <v>0.12</v>
      </c>
      <c r="G33" s="1854"/>
      <c r="H33" s="1862"/>
      <c r="I33" s="1863"/>
      <c r="J33" s="1864"/>
      <c r="K33" s="1865"/>
      <c r="L33" s="1862"/>
      <c r="M33" s="1862"/>
    </row>
    <row r="34" spans="1:18" ht="18" customHeight="1">
      <c r="A34" s="1294" t="s">
        <v>1389</v>
      </c>
      <c r="B34" s="164" t="s">
        <v>1442</v>
      </c>
      <c r="C34" s="25">
        <f ca="1">IF(项目基本情况!B11="自然人","——",ROUND(F34*F35/10000,2))</f>
        <v>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ROUND(C29*F36,1)</f>
        <v>0</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0</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0.01</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0</v>
      </c>
      <c r="D40" s="370" t="s">
        <v>1470</v>
      </c>
      <c r="E40" s="347" t="s">
        <v>1471</v>
      </c>
      <c r="F40" s="357">
        <f ca="1">INDIRECT("'数据-取费表'!I"&amp;$G$1)</f>
        <v>4.4999999999999998E-2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38.26</v>
      </c>
      <c r="G41" s="1854"/>
      <c r="H41" s="732"/>
      <c r="I41" s="1863"/>
      <c r="J41" s="1864"/>
      <c r="K41" s="751"/>
      <c r="L41" s="732"/>
      <c r="M41" s="732"/>
    </row>
    <row r="42" spans="1:18" ht="18" customHeight="1">
      <c r="A42" s="353"/>
      <c r="B42" s="354"/>
      <c r="C42" s="355"/>
      <c r="D42" s="373"/>
      <c r="E42" s="347" t="s">
        <v>1478</v>
      </c>
      <c r="F42" s="357">
        <f ca="1">INDIRECT("'数据-取费表'!v"&amp;$G$1)</f>
        <v>2.5000000000000001E-2</v>
      </c>
      <c r="G42" s="1854"/>
      <c r="H42" s="732"/>
      <c r="I42" s="1863"/>
      <c r="J42" s="1864"/>
      <c r="K42" s="751"/>
      <c r="L42" s="732"/>
      <c r="M42" s="732"/>
    </row>
    <row r="43" spans="1:18" ht="18" customHeight="1" thickBot="1">
      <c r="A43" s="380" t="s">
        <v>1033</v>
      </c>
      <c r="B43" s="381" t="s">
        <v>1488</v>
      </c>
      <c r="C43" s="382" t="e">
        <f ca="1">ROUND(C40*10000/F43,0)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0</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3116</v>
      </c>
      <c r="K47" s="1885" t="s">
        <v>1528</v>
      </c>
      <c r="L47" s="1886">
        <f ca="1">INDIRECT("'数据-取费表'!d"&amp;$G$1)</f>
        <v>50</v>
      </c>
      <c r="M47" s="1841" t="str">
        <f>IF(ISNUMBER(FIND("住宅",C1)),"住宅","非住宅")</f>
        <v>非住宅</v>
      </c>
      <c r="O47" s="1887" t="s">
        <v>1040</v>
      </c>
      <c r="P47" s="1888" t="s">
        <v>1529</v>
      </c>
      <c r="Q47" s="1889">
        <f ca="1">C40+J29</f>
        <v>0</v>
      </c>
      <c r="R47" s="1889" t="s">
        <v>1530</v>
      </c>
    </row>
    <row r="48" spans="1:18" s="1845" customFormat="1" ht="28.5" thickBot="1">
      <c r="A48" s="1363" t="s">
        <v>1135</v>
      </c>
      <c r="B48" s="345" t="s">
        <v>1401</v>
      </c>
      <c r="C48" s="1820">
        <f ca="1">C49+C53+C55</f>
        <v>0</v>
      </c>
      <c r="D48" s="1365"/>
      <c r="E48" s="1366"/>
      <c r="F48" s="1184"/>
      <c r="G48" s="792"/>
      <c r="H48" s="793"/>
      <c r="I48" s="1890" t="s">
        <v>1531</v>
      </c>
      <c r="J48" s="1891" t="s">
        <v>3117</v>
      </c>
      <c r="K48" s="1892" t="s">
        <v>1532</v>
      </c>
      <c r="L48" s="1893">
        <f ca="1">INDIRECT("'数据-取费表'!f"&amp;$G$1)</f>
        <v>38.26</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3044</v>
      </c>
      <c r="E49" s="1833" t="s">
        <v>1492</v>
      </c>
      <c r="F49" s="1284"/>
      <c r="G49" s="1894"/>
      <c r="H49" s="793"/>
      <c r="I49" s="1890" t="s">
        <v>1535</v>
      </c>
      <c r="J49" s="1895">
        <v>2018</v>
      </c>
      <c r="K49" s="1892" t="s">
        <v>1536</v>
      </c>
      <c r="L49" s="1896"/>
      <c r="O49" s="1897" t="s">
        <v>1042</v>
      </c>
      <c r="P49" s="1888" t="s">
        <v>1537</v>
      </c>
      <c r="Q49" s="1889">
        <f ca="1">C29</f>
        <v>0</v>
      </c>
      <c r="R49" s="1889" t="s">
        <v>1530</v>
      </c>
    </row>
    <row r="50" spans="1:18" s="1845" customFormat="1" ht="13.5" thickBot="1">
      <c r="A50" s="1198"/>
      <c r="B50" s="1201"/>
      <c r="C50" s="1371"/>
      <c r="D50" s="1175"/>
      <c r="E50" s="1280" t="s">
        <v>1406</v>
      </c>
      <c r="F50" s="1281">
        <f ca="1">F7</f>
        <v>0</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60</v>
      </c>
      <c r="K51" s="1903" t="s">
        <v>1542</v>
      </c>
      <c r="L51" s="1904">
        <f ca="1">ROUND(-PV(INDIRECT("'数据-取费表'!h"&amp;$G$1),L48,(C39-C13*C76),0),0)</f>
        <v>0</v>
      </c>
      <c r="M51" s="1905"/>
      <c r="O51" s="1897" t="s">
        <v>1044</v>
      </c>
      <c r="P51" s="1888" t="s">
        <v>1543</v>
      </c>
      <c r="Q51" s="1900">
        <f>J52</f>
        <v>0.09</v>
      </c>
      <c r="R51" s="1889"/>
    </row>
    <row r="52" spans="1:18" s="1845" customFormat="1" ht="13.5" thickBot="1">
      <c r="A52" s="1199"/>
      <c r="B52" s="1201"/>
      <c r="C52" s="1202"/>
      <c r="D52" s="1175"/>
      <c r="E52" s="1203" t="s">
        <v>1408</v>
      </c>
      <c r="F52" s="1278"/>
      <c r="I52" s="1906" t="s">
        <v>1544</v>
      </c>
      <c r="J52" s="1907">
        <v>0.09</v>
      </c>
      <c r="K52" s="1906" t="s">
        <v>1545</v>
      </c>
      <c r="L52" s="1907"/>
      <c r="O52" s="1897" t="s">
        <v>1045</v>
      </c>
      <c r="P52" s="1888" t="s">
        <v>1546</v>
      </c>
      <c r="Q52" s="1889">
        <f ca="1">J53</f>
        <v>38.26</v>
      </c>
      <c r="R52" s="1889" t="s">
        <v>1547</v>
      </c>
    </row>
    <row r="53" spans="1:18" s="1845" customFormat="1" ht="24.75" thickBot="1">
      <c r="A53" s="1408" t="s">
        <v>1137</v>
      </c>
      <c r="B53" s="1834" t="s">
        <v>1409</v>
      </c>
      <c r="C53" s="361">
        <f ca="1">ROUND(IF(F53="押一",F49*F51*F50/12*F11,IF(F53="押二",F49*F51*F50/12*2*F11,IF(F53="押三",F49*F51*F50/12*3*F11,C54*F11)))/10000,0)</f>
        <v>0</v>
      </c>
      <c r="D53" s="1827" t="s">
        <v>3042</v>
      </c>
      <c r="E53" s="358" t="s">
        <v>1411</v>
      </c>
      <c r="F53" s="1369"/>
      <c r="I53" s="1908" t="s">
        <v>1548</v>
      </c>
      <c r="J53" s="1909">
        <f ca="1">IF(M47="住宅",J51,IF(D1="——",MIN(J51,L48),IF(D1="在建（套用方法）",MIN(J51,L48-'数据-取费表'!B24),IF(D1="土地（套用方法）",MIN(J51,L48-'数据-取费表'!B20)))))</f>
        <v>38.26</v>
      </c>
      <c r="K53" s="3202" t="s">
        <v>1549</v>
      </c>
      <c r="L53" s="3203"/>
      <c r="O53" s="1887" t="s">
        <v>1046</v>
      </c>
      <c r="P53" s="1888" t="s">
        <v>1550</v>
      </c>
      <c r="Q53" s="1889">
        <f ca="1">Q47+Q48</f>
        <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0</v>
      </c>
      <c r="D56" s="1917"/>
      <c r="E56" s="1918"/>
      <c r="F56" s="1910"/>
      <c r="I56" s="1919" t="s">
        <v>1555</v>
      </c>
      <c r="J56" s="1920" t="s">
        <v>3063</v>
      </c>
      <c r="K56" s="1890" t="s">
        <v>1556</v>
      </c>
      <c r="L56" s="1893" t="str">
        <f ca="1">IF(L48&lt;J51,"——",L48-J53)</f>
        <v>——</v>
      </c>
      <c r="O56" s="1887" t="s">
        <v>1040</v>
      </c>
      <c r="P56" s="1888" t="s">
        <v>1529</v>
      </c>
      <c r="Q56" s="1889">
        <f ca="1">C40+J29</f>
        <v>0</v>
      </c>
      <c r="R56" s="1889" t="s">
        <v>1530</v>
      </c>
    </row>
    <row r="57" spans="1:18" s="1845" customFormat="1" ht="24.75" thickBot="1">
      <c r="A57" s="1921"/>
      <c r="B57" s="1172" t="s">
        <v>1479</v>
      </c>
      <c r="C57" s="282">
        <f ca="1">C29</f>
        <v>0</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0</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0</v>
      </c>
      <c r="D59" s="1185" t="s">
        <v>1431</v>
      </c>
      <c r="E59" s="1186" t="s">
        <v>1432</v>
      </c>
      <c r="F59" s="368">
        <f ca="1">IF(项目基本情况!B11="企业","",IF(INDIRECT("'数据-取费表'!c"&amp;$G$1)="住宅",5%,IF(F49*F50*F51/12/(1+'数据-取费表'!C42)&gt;20000,12%,7%)))</f>
        <v>7.0000000000000007E-2</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0</v>
      </c>
      <c r="D61" s="1831" t="s">
        <v>1439</v>
      </c>
      <c r="E61" s="1172" t="s">
        <v>1495</v>
      </c>
      <c r="F61" s="367">
        <f t="shared" si="0"/>
        <v>0.12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0</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0</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0</v>
      </c>
      <c r="D65" s="1186" t="s">
        <v>1455</v>
      </c>
      <c r="E65" s="1172" t="s">
        <v>1456</v>
      </c>
      <c r="F65" s="376">
        <f t="shared" ca="1" si="0"/>
        <v>1.5E-3</v>
      </c>
      <c r="I65" s="1932" t="s">
        <v>1580</v>
      </c>
      <c r="J65" s="1933">
        <v>40</v>
      </c>
      <c r="K65" s="1933">
        <v>30</v>
      </c>
      <c r="L65" s="1933">
        <v>50</v>
      </c>
      <c r="M65" s="1935">
        <v>0.02</v>
      </c>
      <c r="O65" s="1887" t="s">
        <v>1040</v>
      </c>
      <c r="P65" s="1888" t="s">
        <v>1581</v>
      </c>
      <c r="Q65" s="1889">
        <f ca="1">C40+J29</f>
        <v>0</v>
      </c>
      <c r="R65" s="1889" t="s">
        <v>1530</v>
      </c>
    </row>
    <row r="66" spans="1:18" s="1845" customFormat="1" ht="16.5" thickBot="1">
      <c r="A66" s="1204" t="s">
        <v>1505</v>
      </c>
      <c r="B66" s="1172" t="s">
        <v>1440</v>
      </c>
      <c r="C66" s="24">
        <f ca="1">ROUND(C48*F66,1)</f>
        <v>0</v>
      </c>
      <c r="D66" s="1186" t="s">
        <v>1506</v>
      </c>
      <c r="E66" s="1172" t="s">
        <v>1423</v>
      </c>
      <c r="F66" s="357">
        <f t="shared" ca="1" si="0"/>
        <v>0.01</v>
      </c>
      <c r="O66" s="1887" t="s">
        <v>1041</v>
      </c>
      <c r="P66" s="1888" t="s">
        <v>1559</v>
      </c>
      <c r="Q66" s="1889">
        <f ca="1">L60</f>
        <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f ca="1">ROUND(C67*(1-((1+F70)/(1+F68))^F69)/(F68-F70),0)</f>
        <v>0</v>
      </c>
      <c r="D68" s="1187" t="s">
        <v>1470</v>
      </c>
      <c r="E68" s="1172" t="s">
        <v>1471</v>
      </c>
      <c r="F68" s="357">
        <f ca="1">F40</f>
        <v>4.4999999999999998E-2</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38.26</v>
      </c>
      <c r="O69" s="1897" t="s">
        <v>1048</v>
      </c>
      <c r="P69" s="1937" t="s">
        <v>1585</v>
      </c>
      <c r="Q69" s="1889">
        <f ca="1">C39</f>
        <v>0</v>
      </c>
      <c r="R69" s="1889" t="s">
        <v>1530</v>
      </c>
    </row>
    <row r="70" spans="1:18" s="1845" customFormat="1" ht="13.5" thickBot="1">
      <c r="A70" s="1176"/>
      <c r="B70" s="1177"/>
      <c r="C70" s="355"/>
      <c r="D70" s="1188"/>
      <c r="E70" s="1172" t="s">
        <v>1478</v>
      </c>
      <c r="F70" s="1278"/>
      <c r="O70" s="1897" t="s">
        <v>1049</v>
      </c>
      <c r="P70" s="1937" t="s">
        <v>1586</v>
      </c>
      <c r="Q70" s="1889">
        <f ca="1">C13</f>
        <v>0</v>
      </c>
      <c r="R70" s="1889" t="s">
        <v>1530</v>
      </c>
    </row>
    <row r="71" spans="1:18" s="1845" customFormat="1" ht="13.5" thickBot="1">
      <c r="A71" s="1193" t="s">
        <v>1033</v>
      </c>
      <c r="B71" s="1194" t="s">
        <v>1488</v>
      </c>
      <c r="C71" s="382" t="e">
        <f ca="1">ROUND(C68*10000/F71,0)</f>
        <v>#DIV/0!</v>
      </c>
      <c r="D71" s="1195" t="s">
        <v>1489</v>
      </c>
      <c r="E71" s="1196" t="s">
        <v>1490</v>
      </c>
      <c r="F71" s="385">
        <f ca="1">F43</f>
        <v>0</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f ca="1">Q65+Q66</f>
        <v>0</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J38" sqref="J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48</v>
      </c>
      <c r="D1" s="1823" t="s">
        <v>70</v>
      </c>
      <c r="E1" s="1824" t="s">
        <v>1387</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#N/A</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t="e">
        <f ca="1">C6+C10+C12</f>
        <v>#N/A</v>
      </c>
      <c r="D5" s="1825" t="s">
        <v>1402</v>
      </c>
      <c r="E5" s="1296"/>
      <c r="F5" s="1297"/>
      <c r="G5" s="1854"/>
      <c r="H5" s="344">
        <v>1</v>
      </c>
      <c r="I5" s="345" t="s">
        <v>1401</v>
      </c>
      <c r="J5" s="1295" t="e">
        <f ca="1">J6+J10+J12</f>
        <v>#N/A</v>
      </c>
      <c r="K5" s="1825" t="s">
        <v>1402</v>
      </c>
      <c r="L5" s="1296"/>
      <c r="M5" s="1297"/>
    </row>
    <row r="6" spans="1:37" ht="18" customHeight="1">
      <c r="A6" s="1294" t="s">
        <v>1035</v>
      </c>
      <c r="B6" s="3204" t="s">
        <v>1403</v>
      </c>
      <c r="C6" s="1299" t="e">
        <f ca="1">ROUND(F6*F8*F7*(1-F9)/10000,0)</f>
        <v>#N/A</v>
      </c>
      <c r="D6" s="164" t="s">
        <v>3041</v>
      </c>
      <c r="E6" s="347" t="s">
        <v>1405</v>
      </c>
      <c r="F6" s="348" t="e">
        <f ca="1">INDIRECT("'数据-取费表'!u"&amp;$G$1)</f>
        <v>#N/A</v>
      </c>
      <c r="G6" s="1854"/>
      <c r="H6" s="1294" t="s">
        <v>1035</v>
      </c>
      <c r="I6" s="3204" t="s">
        <v>1403</v>
      </c>
      <c r="J6" s="346" t="e">
        <f ca="1">ROUND(M6*M8*M7*(1-M9)/10000,0)</f>
        <v>#N/A</v>
      </c>
      <c r="K6" s="164" t="s">
        <v>3040</v>
      </c>
      <c r="L6" s="347" t="s">
        <v>1405</v>
      </c>
      <c r="M6" s="348" t="e">
        <f ca="1">INDIRECT("'数据-取费表'!z"&amp;$G$1)</f>
        <v>#N/A</v>
      </c>
    </row>
    <row r="7" spans="1:37" ht="18" customHeight="1">
      <c r="A7" s="1298"/>
      <c r="B7" s="3205"/>
      <c r="C7" s="1300"/>
      <c r="D7" s="352"/>
      <c r="E7" s="2936" t="s">
        <v>1406</v>
      </c>
      <c r="F7" s="348" t="e">
        <f ca="1">IF(INDIRECT("'数据-取费表'!ah"&amp;$G$1)="",INDIRECT("'数据-取费表'!k"&amp;$G$1),INDIRECT("'数据-取费表'!ah"&amp;$G$1))</f>
        <v>#N/A</v>
      </c>
      <c r="G7" s="1854"/>
      <c r="H7" s="349"/>
      <c r="I7" s="3205"/>
      <c r="J7" s="351"/>
      <c r="K7" s="352"/>
      <c r="L7" s="347" t="s">
        <v>1406</v>
      </c>
      <c r="M7" s="348" t="e">
        <f ca="1">F7</f>
        <v>#N/A</v>
      </c>
    </row>
    <row r="8" spans="1:37" ht="18" customHeight="1">
      <c r="A8" s="349"/>
      <c r="B8" s="3205"/>
      <c r="C8" s="351"/>
      <c r="D8" s="352"/>
      <c r="E8" s="347" t="s">
        <v>1407</v>
      </c>
      <c r="F8" s="348" t="e">
        <f ca="1">INDIRECT("'数据-取费表'!ai"&amp;$G$1)</f>
        <v>#N/A</v>
      </c>
      <c r="G8" s="1854"/>
      <c r="H8" s="349"/>
      <c r="I8" s="3205"/>
      <c r="J8" s="351"/>
      <c r="K8" s="352"/>
      <c r="L8" s="347" t="s">
        <v>1407</v>
      </c>
      <c r="M8" s="348" t="e">
        <f ca="1">INDIRECT("'数据-取费表'!ai"&amp;$G$1)</f>
        <v>#N/A</v>
      </c>
    </row>
    <row r="9" spans="1:37" ht="18" customHeight="1">
      <c r="A9" s="349"/>
      <c r="B9" s="3206"/>
      <c r="C9" s="351"/>
      <c r="D9" s="352"/>
      <c r="E9" s="347" t="s">
        <v>1408</v>
      </c>
      <c r="F9" s="357" t="e">
        <f ca="1">INDIRECT("'数据-取费表'!w"&amp;$G$1)</f>
        <v>#N/A</v>
      </c>
      <c r="G9" s="1854"/>
      <c r="H9" s="349"/>
      <c r="I9" s="3206"/>
      <c r="J9" s="351"/>
      <c r="K9" s="352"/>
      <c r="L9" s="358" t="s">
        <v>1408</v>
      </c>
      <c r="M9" s="359" t="e">
        <f ca="1">INDIRECT("'数据-取费表'!ab"&amp;$G$1)</f>
        <v>#N/A</v>
      </c>
    </row>
    <row r="10" spans="1:37" ht="18" customHeight="1">
      <c r="A10" s="1294" t="s">
        <v>1039</v>
      </c>
      <c r="B10" s="1826" t="s">
        <v>1409</v>
      </c>
      <c r="C10" s="361">
        <f ca="1">ROUND(IF(F10="押一",F6*F8*F7/12*F11,IF(F10="押二",F6*F8*F7/12*2*F11,IF(F10="押三",F6*F8*F7/12*3*F11,C11*F11)))/10000,0)</f>
        <v>0</v>
      </c>
      <c r="D10" s="1827" t="s">
        <v>3037</v>
      </c>
      <c r="E10" s="358" t="s">
        <v>1411</v>
      </c>
      <c r="F10" s="1369" t="s">
        <v>3119</v>
      </c>
      <c r="G10" s="1854"/>
      <c r="H10" s="1294" t="s">
        <v>1039</v>
      </c>
      <c r="I10" s="1826" t="s">
        <v>1409</v>
      </c>
      <c r="J10" s="346" t="e">
        <f ca="1">ROUND(IF(M10="押一",M6*M8*M7/12*M11,IF(M10="押二",M6*M8*M7/12*2*M11,IF(M10="押三",M6*M8*M7/12*3*M11,J11*M11)))/10000,0)</f>
        <v>#N/A</v>
      </c>
      <c r="K10" s="1827" t="s">
        <v>3037</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t="e">
        <f ca="1">ROUND(C29*F13,0)</f>
        <v>#N/A</v>
      </c>
      <c r="D13" s="1334" t="s">
        <v>1416</v>
      </c>
      <c r="E13" s="1334" t="s">
        <v>1417</v>
      </c>
      <c r="F13" s="1335" t="e">
        <f ca="1">INDIRECT("'数据-取费表'!y"&amp;$G$1)</f>
        <v>#N/A</v>
      </c>
      <c r="G13" s="1854"/>
      <c r="H13" s="1332">
        <v>2</v>
      </c>
      <c r="I13" s="1333" t="s">
        <v>1415</v>
      </c>
      <c r="J13" s="1293" t="e">
        <f ca="1">ROUND(J14*J15,0)</f>
        <v>#N/A</v>
      </c>
      <c r="K13" s="1340" t="s">
        <v>1416</v>
      </c>
      <c r="L13" s="1855"/>
      <c r="M13" s="1856"/>
    </row>
    <row r="14" spans="1:37" ht="18" customHeight="1">
      <c r="A14" s="1204" t="s">
        <v>1034</v>
      </c>
      <c r="B14" s="347" t="s">
        <v>1418</v>
      </c>
      <c r="C14" s="363" t="e">
        <f ca="1">INDIRECT("'数据-取费表'!m"&amp;$G$1)+INDIRECT("'数据-取费表'!t"&amp;$G$1)</f>
        <v>#N/A</v>
      </c>
      <c r="D14" s="2939" t="s">
        <v>1419</v>
      </c>
      <c r="E14" s="2938"/>
      <c r="F14" s="364"/>
      <c r="G14" s="1854"/>
      <c r="H14" s="1204" t="s">
        <v>1035</v>
      </c>
      <c r="I14" s="347" t="s">
        <v>1420</v>
      </c>
      <c r="J14" s="24" t="e">
        <f ca="1">C29</f>
        <v>#N/A</v>
      </c>
      <c r="K14" s="2935"/>
      <c r="L14" s="982"/>
      <c r="M14" s="983"/>
    </row>
    <row r="15" spans="1:37" s="1861" customFormat="1" ht="18" customHeight="1" thickBot="1">
      <c r="A15" s="1204" t="s">
        <v>1036</v>
      </c>
      <c r="B15" s="347" t="s">
        <v>1421</v>
      </c>
      <c r="C15" s="24" t="e">
        <f ca="1">ROUND(C14*F15,0)</f>
        <v>#N/A</v>
      </c>
      <c r="D15" s="365" t="s">
        <v>1422</v>
      </c>
      <c r="E15" s="365" t="s">
        <v>1423</v>
      </c>
      <c r="F15" s="366">
        <f>'数据-取费表'!B33</f>
        <v>0.03</v>
      </c>
      <c r="G15" s="1857"/>
      <c r="H15" s="1342" t="s">
        <v>1039</v>
      </c>
      <c r="I15" s="1343" t="s">
        <v>1417</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t="e">
        <f ca="1">ROUND(INDIRECT("'数据-取费表'!m"&amp;$G$1)*F16,0)</f>
        <v>#N/A</v>
      </c>
      <c r="D16" s="347" t="s">
        <v>1422</v>
      </c>
      <c r="E16" s="347" t="s">
        <v>1423</v>
      </c>
      <c r="F16" s="367" t="e">
        <f ca="1">IF(INDIRECT("'数据-取费表'!c"&amp;$G$1)="住宅",'数据-取费表'!B34,0)</f>
        <v>#N/A</v>
      </c>
      <c r="G16" s="1854"/>
      <c r="H16" s="1332" t="s">
        <v>1030</v>
      </c>
      <c r="I16" s="1333" t="s">
        <v>1425</v>
      </c>
      <c r="J16" s="355" t="e">
        <f ca="1">ROUND(J17+J22+J23+J24,0)</f>
        <v>#N/A</v>
      </c>
      <c r="K16" s="1340" t="s">
        <v>1426</v>
      </c>
      <c r="L16" s="2941"/>
      <c r="M16" s="1297"/>
    </row>
    <row r="17" spans="1:37" s="1861" customFormat="1" ht="18" customHeight="1">
      <c r="A17" s="1204" t="s">
        <v>1390</v>
      </c>
      <c r="B17" s="347" t="s">
        <v>1427</v>
      </c>
      <c r="C17" s="24" t="e">
        <f ca="1">ROUND(F17*(F43+INDIRECT("'数据-取费表'!S"&amp;$G$1))/10000,0)</f>
        <v>#N/A</v>
      </c>
      <c r="D17" s="347" t="s">
        <v>1428</v>
      </c>
      <c r="E17" s="347" t="s">
        <v>1429</v>
      </c>
      <c r="F17" s="26">
        <f>'数据-取费表'!B35</f>
        <v>150</v>
      </c>
      <c r="G17" s="1857"/>
      <c r="H17" s="1204" t="s">
        <v>1035</v>
      </c>
      <c r="I17" s="347" t="s">
        <v>1430</v>
      </c>
      <c r="J17" s="24" t="e">
        <f ca="1">ROUND(IF(项目基本情况!B11="自然人",J5*M17,J18+J19+J20),1)</f>
        <v>#N/A</v>
      </c>
      <c r="K17" s="2939" t="s">
        <v>1431</v>
      </c>
      <c r="L17" s="2940" t="s">
        <v>1432</v>
      </c>
      <c r="M17" s="368" t="e">
        <f ca="1">IF(项目基本情况!B11="企业","",IF(INDIRECT("'数据-取费表'!c"&amp;$G$1)="住宅",5%,IF(M6*M7*M8/12/(1+'数据-取费表'!C42)&gt;20000,12%,7%)))</f>
        <v>#N/A</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t="e">
        <f ca="1">ROUND(C14*F18,0)</f>
        <v>#N/A</v>
      </c>
      <c r="D18" s="347" t="s">
        <v>1422</v>
      </c>
      <c r="E18" s="347" t="s">
        <v>1423</v>
      </c>
      <c r="F18" s="367">
        <f>'数据-取费表'!B36</f>
        <v>1.4999999999999999E-2</v>
      </c>
      <c r="G18" s="1857"/>
      <c r="H18" s="1204" t="s">
        <v>1034</v>
      </c>
      <c r="I18" s="347" t="s">
        <v>1434</v>
      </c>
      <c r="J18" s="24" t="e">
        <f ca="1">ROUND(J5*M18/(1+'数据-取费表'!C42),2)</f>
        <v>#N/A</v>
      </c>
      <c r="K18" s="2940"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t="e">
        <f ca="1">SUM(C14:C18)</f>
        <v>#N/A</v>
      </c>
      <c r="D19" s="140" t="s">
        <v>1437</v>
      </c>
      <c r="E19" s="2934"/>
      <c r="F19" s="26"/>
      <c r="G19" s="1854"/>
      <c r="H19" s="1204" t="s">
        <v>1036</v>
      </c>
      <c r="I19" s="347" t="s">
        <v>1438</v>
      </c>
      <c r="J19" s="24" t="e">
        <f ca="1">IF(K19="按租金收入计税",ROUND(J5*M19,2),ROUND(C29*M19*0.7,2))</f>
        <v>#N/A</v>
      </c>
      <c r="K19" s="1831" t="s">
        <v>1439</v>
      </c>
      <c r="L19" s="347" t="s">
        <v>1423</v>
      </c>
      <c r="M19" s="367">
        <f>IF(K19="按租金收入计税",'数据-取费表'!B51,'数据-取费表'!B50)</f>
        <v>1.2E-2</v>
      </c>
    </row>
    <row r="20" spans="1:37" s="1861" customFormat="1" ht="18" customHeight="1">
      <c r="A20" s="1204" t="s">
        <v>1039</v>
      </c>
      <c r="B20" s="347" t="s">
        <v>1440</v>
      </c>
      <c r="C20" s="24" t="e">
        <f ca="1">ROUND(C19*F20,0)</f>
        <v>#N/A</v>
      </c>
      <c r="D20" s="369" t="s">
        <v>1441</v>
      </c>
      <c r="E20" s="347" t="s">
        <v>1423</v>
      </c>
      <c r="F20" s="367">
        <f>'数据-取费表'!B37</f>
        <v>0.03</v>
      </c>
      <c r="G20" s="1857"/>
      <c r="H20" s="1204" t="s">
        <v>1389</v>
      </c>
      <c r="I20" s="164" t="s">
        <v>1442</v>
      </c>
      <c r="J20" s="25" t="e">
        <f ca="1">ROUND(M20*M21/10000,2)</f>
        <v>#N/A</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0.03</v>
      </c>
      <c r="G21" s="1857"/>
      <c r="H21" s="372"/>
      <c r="I21" s="356"/>
      <c r="J21" s="29"/>
      <c r="K21" s="373"/>
      <c r="L21" s="347" t="s">
        <v>1448</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34"/>
      <c r="F22" s="26"/>
      <c r="G22" s="1854"/>
      <c r="H22" s="1204" t="s">
        <v>1039</v>
      </c>
      <c r="I22" s="347" t="s">
        <v>1450</v>
      </c>
      <c r="J22" s="24" t="e">
        <f ca="1">ROUND(J14*M22,1)</f>
        <v>#N/A</v>
      </c>
      <c r="K22" s="2940" t="s">
        <v>1451</v>
      </c>
      <c r="L22" s="347" t="s">
        <v>1423</v>
      </c>
      <c r="M22" s="374" t="e">
        <f ca="1">INDIRECT("'数据-取费表'!Ak"&amp;$G$1)</f>
        <v>#N/A</v>
      </c>
    </row>
    <row r="23" spans="1:37" s="1861" customFormat="1" ht="18" customHeight="1">
      <c r="A23" s="1204"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1.5</v>
      </c>
      <c r="G23" s="1857"/>
      <c r="H23" s="1204" t="s">
        <v>1075</v>
      </c>
      <c r="I23" s="347" t="s">
        <v>1454</v>
      </c>
      <c r="J23" s="24" t="e">
        <f ca="1">ROUND(J13*M23,1)</f>
        <v>#N/A</v>
      </c>
      <c r="K23" s="2940" t="s">
        <v>1455</v>
      </c>
      <c r="L23" s="347" t="s">
        <v>1423</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1.1000000000000001E-3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t="e">
        <f ca="1">ROUND(J5*M24,1)</f>
        <v>#N/A</v>
      </c>
      <c r="K24" s="1345" t="s">
        <v>1460</v>
      </c>
      <c r="L24" s="1343" t="s">
        <v>1423</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2934"/>
      <c r="F25" s="26"/>
      <c r="G25" s="1854"/>
      <c r="H25" s="1332" t="s">
        <v>1031</v>
      </c>
      <c r="I25" s="1347" t="s">
        <v>1464</v>
      </c>
      <c r="J25" s="355" t="e">
        <f ca="1">J5-J16</f>
        <v>#N/A</v>
      </c>
      <c r="K25" s="1348" t="s">
        <v>1465</v>
      </c>
      <c r="L25" s="1349"/>
      <c r="M25" s="1350"/>
    </row>
    <row r="26" spans="1:37">
      <c r="A26" s="1204" t="s">
        <v>1034</v>
      </c>
      <c r="B26" s="347" t="s">
        <v>1466</v>
      </c>
      <c r="C26" s="24" t="e">
        <f ca="1">ROUND((C19+C20)*F26,0)</f>
        <v>#N/A</v>
      </c>
      <c r="D26" s="369" t="s">
        <v>1467</v>
      </c>
      <c r="E26" s="358" t="s">
        <v>1468</v>
      </c>
      <c r="F26" s="357" t="e">
        <f ca="1">INDIRECT("'数据-取费表'!q"&amp;$G$1)</f>
        <v>#N/A</v>
      </c>
      <c r="G26" s="1854"/>
      <c r="H26" s="344" t="s">
        <v>1032</v>
      </c>
      <c r="I26" s="345" t="s">
        <v>1469</v>
      </c>
      <c r="J26" s="346" t="e">
        <f ca="1">IF(J5&lt;&gt;0,ROUND(J25*(1-((1+M28)/(1+M26))^M27)/(M26-M28),0),0)</f>
        <v>#N/A</v>
      </c>
      <c r="K26" s="370" t="s">
        <v>1470</v>
      </c>
      <c r="L26" s="347" t="s">
        <v>1471</v>
      </c>
      <c r="M26" s="357" t="e">
        <f ca="1">INDIRECT("'数据-取费表'!I"&amp;$G$1)</f>
        <v>#N/A</v>
      </c>
    </row>
    <row r="27" spans="1:37" ht="18" customHeight="1">
      <c r="A27" s="1204" t="s">
        <v>1036</v>
      </c>
      <c r="B27" s="347" t="s">
        <v>1472</v>
      </c>
      <c r="C27" s="24" t="e">
        <f ca="1">ROUND(F21*F26,4)</f>
        <v>#N/A</v>
      </c>
      <c r="D27" s="369" t="s">
        <v>1473</v>
      </c>
      <c r="E27" s="365"/>
      <c r="F27" s="366"/>
      <c r="G27" s="1854"/>
      <c r="H27" s="349"/>
      <c r="I27" s="350"/>
      <c r="J27" s="351"/>
      <c r="K27" s="378" t="s">
        <v>1474</v>
      </c>
      <c r="L27" s="347" t="s">
        <v>1475</v>
      </c>
      <c r="M27" s="379" t="e">
        <f ca="1">INDIRECT("'数据-取费表'!ag"&amp;$G$1)</f>
        <v>#N/A</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t="e">
        <f ca="1">ROUND((C19+C20+C23+C26)/(1-F21-C24-C27-C28),0)</f>
        <v>#N/A</v>
      </c>
      <c r="D29" s="1345"/>
      <c r="E29" s="1343"/>
      <c r="F29" s="1346"/>
      <c r="G29" s="1857"/>
      <c r="H29" s="380" t="s">
        <v>1033</v>
      </c>
      <c r="I29" s="381" t="s">
        <v>1480</v>
      </c>
      <c r="J29" s="382" t="e">
        <f ca="1">ROUND(J26/(1+F40)^F41,0)</f>
        <v>#N/A</v>
      </c>
      <c r="K29" s="383" t="s">
        <v>1481</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t="e">
        <f ca="1">ROUND(C31+C36+C37+C38,0)</f>
        <v>#N/A</v>
      </c>
      <c r="D30" s="1340" t="s">
        <v>1426</v>
      </c>
      <c r="E30" s="2941"/>
      <c r="F30" s="1297"/>
      <c r="G30" s="1854"/>
      <c r="H30" s="745"/>
      <c r="I30" s="746"/>
      <c r="J30" s="747"/>
      <c r="K30" s="748"/>
      <c r="L30" s="749"/>
      <c r="M30" s="750"/>
    </row>
    <row r="31" spans="1:37" ht="18" customHeight="1">
      <c r="A31" s="1204" t="s">
        <v>1035</v>
      </c>
      <c r="B31" s="347" t="s">
        <v>1430</v>
      </c>
      <c r="C31" s="24" t="e">
        <f ca="1">ROUND(IF(项目基本情况!B11="自然人",C5*F31,C32+C33+C34),1)</f>
        <v>#N/A</v>
      </c>
      <c r="D31" s="2939" t="s">
        <v>1431</v>
      </c>
      <c r="E31" s="2940" t="s">
        <v>1482</v>
      </c>
      <c r="F31" s="368" t="e">
        <f ca="1">IF(项目基本情况!B11="企业","",IF(INDIRECT("'数据-取费表'!c"&amp;$G$1)="住宅",5%,IF(F6*F7*F8/12/(1+'数据-取费表'!C42)&gt;20000,12%,7%)))</f>
        <v>#N/A</v>
      </c>
      <c r="G31" s="1854"/>
      <c r="H31" s="745"/>
      <c r="I31" s="746"/>
      <c r="J31" s="747"/>
      <c r="K31" s="748"/>
      <c r="L31" s="749"/>
      <c r="M31" s="750"/>
    </row>
    <row r="32" spans="1:37" ht="18" customHeight="1">
      <c r="A32" s="1204" t="s">
        <v>1034</v>
      </c>
      <c r="B32" s="347" t="s">
        <v>1434</v>
      </c>
      <c r="C32" s="24" t="e">
        <f ca="1">IF(项目基本情况!B11="自然人","——",ROUND(C5*F32/(1+'数据-取费表'!C42),2))</f>
        <v>#N/A</v>
      </c>
      <c r="D32" s="2940" t="s">
        <v>1435</v>
      </c>
      <c r="E32" s="347" t="s">
        <v>1423</v>
      </c>
      <c r="F32" s="377">
        <f>'数据-取费表'!B41</f>
        <v>5.5000000000000007E-2</v>
      </c>
      <c r="G32" s="1854"/>
      <c r="H32" s="745"/>
      <c r="I32" s="746"/>
      <c r="J32" s="747"/>
      <c r="K32" s="748"/>
      <c r="L32" s="749"/>
      <c r="M32" s="750"/>
    </row>
    <row r="33" spans="1:18" ht="18" customHeight="1">
      <c r="A33" s="1204" t="s">
        <v>1036</v>
      </c>
      <c r="B33" s="347" t="s">
        <v>1438</v>
      </c>
      <c r="C33" s="24" t="e">
        <f ca="1">IF(项目基本情况!B11="自然人","——",IF(D33="按租金收入计税",ROUND(C5*F33,2),IF(D33="按房产原值计税",ROUND(C29*F33*0.7,2),INDIRECT("'数据-取费表'!Aj"&amp;$G$1))))</f>
        <v>#N/A</v>
      </c>
      <c r="D33" s="1831" t="s">
        <v>3120</v>
      </c>
      <c r="E33" s="347" t="s">
        <v>1423</v>
      </c>
      <c r="F33" s="367">
        <f>IF(D33="按票据","——",IF(D33="按租金收入计税",'数据-取费表'!B51,'数据-取费表'!B50))</f>
        <v>0.12</v>
      </c>
      <c r="G33" s="1854"/>
      <c r="H33" s="1862"/>
      <c r="I33" s="1863"/>
      <c r="J33" s="1864"/>
      <c r="K33" s="1865"/>
      <c r="L33" s="1862"/>
      <c r="M33" s="1862"/>
    </row>
    <row r="34" spans="1:18" ht="18" customHeight="1">
      <c r="A34" s="1294" t="s">
        <v>1389</v>
      </c>
      <c r="B34" s="164" t="s">
        <v>1442</v>
      </c>
      <c r="C34" s="25" t="e">
        <f ca="1">IF(项目基本情况!B11="自然人","——",ROUND(F34*F35/10000,2))</f>
        <v>#N/A</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t="e">
        <f ca="1">INDIRECT("'数据-取费表'!r"&amp;$G$1)</f>
        <v>#N/A</v>
      </c>
      <c r="G35" s="1854"/>
      <c r="H35" s="745"/>
      <c r="I35" s="1863"/>
      <c r="J35" s="1864"/>
      <c r="K35" s="1865"/>
      <c r="L35" s="1862"/>
      <c r="M35" s="1862"/>
    </row>
    <row r="36" spans="1:18" ht="18" customHeight="1">
      <c r="A36" s="1355" t="s">
        <v>1039</v>
      </c>
      <c r="B36" s="347" t="s">
        <v>1450</v>
      </c>
      <c r="C36" s="24" t="e">
        <f ca="1">ROUND(C29*F36,1)</f>
        <v>#N/A</v>
      </c>
      <c r="D36" s="2940" t="s">
        <v>1483</v>
      </c>
      <c r="E36" s="347" t="s">
        <v>1423</v>
      </c>
      <c r="F36" s="374" t="e">
        <f ca="1">INDIRECT("'数据-取费表'!Ak"&amp;$G$1)</f>
        <v>#N/A</v>
      </c>
      <c r="G36" s="1854"/>
      <c r="H36" s="1862"/>
      <c r="I36" s="1863"/>
      <c r="J36" s="1864"/>
      <c r="K36" s="751"/>
      <c r="L36" s="1862"/>
      <c r="M36" s="1862"/>
    </row>
    <row r="37" spans="1:18" ht="18" customHeight="1">
      <c r="A37" s="1204" t="s">
        <v>1075</v>
      </c>
      <c r="B37" s="347" t="s">
        <v>1454</v>
      </c>
      <c r="C37" s="24" t="e">
        <f ca="1">ROUND(C13*F37,1)</f>
        <v>#N/A</v>
      </c>
      <c r="D37" s="2940" t="s">
        <v>1455</v>
      </c>
      <c r="E37" s="347" t="s">
        <v>1423</v>
      </c>
      <c r="F37" s="376" t="e">
        <f ca="1">INDIRECT("'数据-取费表'!Al"&amp;$G$1)</f>
        <v>#N/A</v>
      </c>
      <c r="G37" s="1854"/>
      <c r="H37" s="1862"/>
      <c r="I37" s="1863"/>
      <c r="J37" s="1864"/>
      <c r="K37" s="751"/>
      <c r="L37" s="1862"/>
      <c r="M37" s="1862"/>
    </row>
    <row r="38" spans="1:18" ht="18" customHeight="1" thickBot="1">
      <c r="A38" s="1342" t="s">
        <v>1393</v>
      </c>
      <c r="B38" s="1343" t="s">
        <v>1440</v>
      </c>
      <c r="C38" s="1344" t="e">
        <f ca="1">ROUND(C5*F38,1)</f>
        <v>#N/A</v>
      </c>
      <c r="D38" s="1345" t="s">
        <v>1460</v>
      </c>
      <c r="E38" s="1343" t="s">
        <v>1423</v>
      </c>
      <c r="F38" s="1339" t="e">
        <f ca="1">INDIRECT("'数据-取费表'!Am"&amp;$G$1)</f>
        <v>#N/A</v>
      </c>
      <c r="G38" s="1854"/>
      <c r="H38" s="1862"/>
      <c r="I38" s="1863"/>
      <c r="J38" s="1864"/>
      <c r="K38" s="1868"/>
      <c r="L38" s="1862"/>
      <c r="M38" s="1862"/>
    </row>
    <row r="39" spans="1:18" ht="24.6" customHeight="1" thickTop="1">
      <c r="A39" s="1332" t="s">
        <v>1031</v>
      </c>
      <c r="B39" s="1347" t="s">
        <v>1464</v>
      </c>
      <c r="C39" s="355" t="e">
        <f ca="1">C5-C30</f>
        <v>#N/A</v>
      </c>
      <c r="D39" s="1348" t="s">
        <v>1465</v>
      </c>
      <c r="E39" s="1349"/>
      <c r="F39" s="1350"/>
      <c r="G39" s="1854"/>
      <c r="H39" s="1862"/>
      <c r="I39" s="1863"/>
      <c r="J39" s="1864"/>
      <c r="K39" s="1868"/>
      <c r="L39" s="1862"/>
      <c r="M39" s="1862"/>
    </row>
    <row r="40" spans="1:18" ht="18" customHeight="1">
      <c r="A40" s="344" t="s">
        <v>1032</v>
      </c>
      <c r="B40" s="345" t="s">
        <v>1486</v>
      </c>
      <c r="C40" s="346" t="e">
        <f ca="1">ROUND(C39*(1-((1+F42)/(1+F40))^F41)/(F40-F42),0)</f>
        <v>#N/A</v>
      </c>
      <c r="D40" s="370" t="s">
        <v>1470</v>
      </c>
      <c r="E40" s="347" t="s">
        <v>1471</v>
      </c>
      <c r="F40" s="357" t="e">
        <f ca="1">INDIRECT("'数据-取费表'!I"&amp;$G$1)</f>
        <v>#N/A</v>
      </c>
      <c r="G40" s="1854"/>
      <c r="H40" s="1842"/>
      <c r="I40" s="1863"/>
      <c r="J40" s="1864"/>
      <c r="K40" s="1868"/>
      <c r="L40" s="1842"/>
      <c r="M40" s="1842"/>
    </row>
    <row r="41" spans="1:18" ht="18" customHeight="1">
      <c r="A41" s="349"/>
      <c r="B41" s="350"/>
      <c r="C41" s="351"/>
      <c r="D41" s="378" t="s">
        <v>1487</v>
      </c>
      <c r="E41" s="347" t="s">
        <v>1475</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1478</v>
      </c>
      <c r="F42" s="357" t="e">
        <f ca="1">INDIRECT("'数据-取费表'!v"&amp;$G$1)</f>
        <v>#N/A</v>
      </c>
      <c r="G42" s="1854"/>
      <c r="H42" s="732"/>
      <c r="I42" s="1863"/>
      <c r="J42" s="1864"/>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#N/A</v>
      </c>
      <c r="D46" s="1875" t="str">
        <f>C2</f>
        <v>万元</v>
      </c>
      <c r="E46" s="1869"/>
      <c r="F46" s="1869"/>
      <c r="I46" s="1876" t="s">
        <v>1522</v>
      </c>
      <c r="J46" s="1877"/>
      <c r="K46" s="1878"/>
      <c r="L46" s="1879" t="e">
        <f ca="1">IF(M47="住宅",0,IF(L48&gt;J51,L60,J60))</f>
        <v>#N/A</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3116</v>
      </c>
      <c r="K47" s="1885" t="s">
        <v>1528</v>
      </c>
      <c r="L47" s="1886" t="e">
        <f ca="1">INDIRECT("'数据-取费表'!d"&amp;$G$1)</f>
        <v>#N/A</v>
      </c>
      <c r="M47" s="1841" t="str">
        <f>IF(ISNUMBER(FIND("住宅",C1)),"住宅","非住宅")</f>
        <v>非住宅</v>
      </c>
      <c r="O47" s="1887" t="s">
        <v>1040</v>
      </c>
      <c r="P47" s="1888" t="s">
        <v>1529</v>
      </c>
      <c r="Q47" s="1889" t="e">
        <f ca="1">C40+J29</f>
        <v>#N/A</v>
      </c>
      <c r="R47" s="1889" t="s">
        <v>1530</v>
      </c>
    </row>
    <row r="48" spans="1:18" s="1845" customFormat="1" ht="28.5" thickBot="1">
      <c r="A48" s="1363" t="s">
        <v>1135</v>
      </c>
      <c r="B48" s="345" t="s">
        <v>1401</v>
      </c>
      <c r="C48" s="2933" t="e">
        <f ca="1">C49+C53+C55</f>
        <v>#N/A</v>
      </c>
      <c r="D48" s="1365"/>
      <c r="E48" s="1366"/>
      <c r="F48" s="1184"/>
      <c r="G48" s="792"/>
      <c r="H48" s="793"/>
      <c r="I48" s="1890" t="s">
        <v>1531</v>
      </c>
      <c r="J48" s="1891" t="s">
        <v>3117</v>
      </c>
      <c r="K48" s="1892" t="s">
        <v>1532</v>
      </c>
      <c r="L48" s="1893" t="e">
        <f ca="1">INDIRECT("'数据-取费表'!f"&amp;$G$1)</f>
        <v>#N/A</v>
      </c>
      <c r="O48" s="1887" t="s">
        <v>1041</v>
      </c>
      <c r="P48" s="1888" t="s">
        <v>1533</v>
      </c>
      <c r="Q48" s="1889" t="e">
        <f ca="1">J60</f>
        <v>#N/A</v>
      </c>
      <c r="R48" s="1889" t="s">
        <v>1534</v>
      </c>
    </row>
    <row r="49" spans="1:18" s="1845" customFormat="1" ht="13.5" thickBot="1">
      <c r="A49" s="1197" t="s">
        <v>1136</v>
      </c>
      <c r="B49" s="1832" t="s">
        <v>1491</v>
      </c>
      <c r="C49" s="1367" t="e">
        <f ca="1">ROUND(F49*F51*F50*(1-F52)/10000,0)</f>
        <v>#N/A</v>
      </c>
      <c r="D49" s="1279" t="s">
        <v>3040</v>
      </c>
      <c r="E49" s="1833" t="s">
        <v>1492</v>
      </c>
      <c r="F49" s="1284"/>
      <c r="G49" s="1894"/>
      <c r="H49" s="793"/>
      <c r="I49" s="1890" t="s">
        <v>1535</v>
      </c>
      <c r="J49" s="1895">
        <v>2018</v>
      </c>
      <c r="K49" s="1892" t="s">
        <v>1536</v>
      </c>
      <c r="L49" s="1896"/>
      <c r="O49" s="1897" t="s">
        <v>1042</v>
      </c>
      <c r="P49" s="1888" t="s">
        <v>1537</v>
      </c>
      <c r="Q49" s="1889" t="e">
        <f ca="1">C29</f>
        <v>#N/A</v>
      </c>
      <c r="R49" s="1889" t="s">
        <v>1530</v>
      </c>
    </row>
    <row r="50" spans="1:18" s="1845" customFormat="1" ht="13.5" thickBot="1">
      <c r="A50" s="1198"/>
      <c r="B50" s="1201"/>
      <c r="C50" s="1371"/>
      <c r="D50" s="1175"/>
      <c r="E50" s="1280" t="s">
        <v>1406</v>
      </c>
      <c r="F50" s="1281" t="e">
        <f ca="1">F7</f>
        <v>#N/A</v>
      </c>
      <c r="H50" s="793"/>
      <c r="I50" s="1890" t="s">
        <v>1538</v>
      </c>
      <c r="J50" s="1898">
        <f>SUMPRODUCT((I63:I65=J47)*(J62:L62=J48)*(J63:L65))</f>
        <v>60</v>
      </c>
      <c r="K50" s="1892" t="s">
        <v>1539</v>
      </c>
      <c r="L50" s="1896"/>
      <c r="M50" s="1899"/>
      <c r="O50" s="1897" t="s">
        <v>1043</v>
      </c>
      <c r="P50" s="1888" t="s">
        <v>1540</v>
      </c>
      <c r="Q50" s="1900" t="e">
        <f ca="1">J58</f>
        <v>#N/A</v>
      </c>
      <c r="R50" s="1889"/>
    </row>
    <row r="51" spans="1:18" s="1845" customFormat="1" ht="13.5" thickBot="1">
      <c r="A51" s="1199"/>
      <c r="B51" s="1201"/>
      <c r="C51" s="1202"/>
      <c r="D51" s="1175"/>
      <c r="E51" s="1203" t="s">
        <v>1407</v>
      </c>
      <c r="F51" s="348" t="e">
        <f ca="1">F8</f>
        <v>#N/A</v>
      </c>
      <c r="I51" s="1901" t="s">
        <v>1541</v>
      </c>
      <c r="J51" s="1902">
        <f>IF(J49="",J50,J49+J50-YEAR('数据-取费表'!B2))</f>
        <v>60</v>
      </c>
      <c r="K51" s="1903" t="s">
        <v>1542</v>
      </c>
      <c r="L51" s="1904" t="e">
        <f ca="1">ROUND(-PV(INDIRECT("'数据-取费表'!h"&amp;$G$1),L48,(C39-C13*C76),0),0)</f>
        <v>#N/A</v>
      </c>
      <c r="M51" s="1905"/>
      <c r="O51" s="1897" t="s">
        <v>1044</v>
      </c>
      <c r="P51" s="1888" t="s">
        <v>1543</v>
      </c>
      <c r="Q51" s="1900">
        <f>J52</f>
        <v>0.09</v>
      </c>
      <c r="R51" s="1889"/>
    </row>
    <row r="52" spans="1:18" s="1845" customFormat="1" ht="13.5" thickBot="1">
      <c r="A52" s="1199"/>
      <c r="B52" s="1201"/>
      <c r="C52" s="1202"/>
      <c r="D52" s="1175"/>
      <c r="E52" s="1203" t="s">
        <v>1408</v>
      </c>
      <c r="F52" s="1278"/>
      <c r="I52" s="1906" t="s">
        <v>1544</v>
      </c>
      <c r="J52" s="1907">
        <v>0.09</v>
      </c>
      <c r="K52" s="1906" t="s">
        <v>1545</v>
      </c>
      <c r="L52" s="1907"/>
      <c r="O52" s="1897" t="s">
        <v>1045</v>
      </c>
      <c r="P52" s="1888" t="s">
        <v>1546</v>
      </c>
      <c r="Q52" s="1889" t="e">
        <f ca="1">J53</f>
        <v>#N/A</v>
      </c>
      <c r="R52" s="1889" t="s">
        <v>1547</v>
      </c>
    </row>
    <row r="53" spans="1:18" s="1845" customFormat="1" ht="24.75" thickBot="1">
      <c r="A53" s="1408" t="s">
        <v>1137</v>
      </c>
      <c r="B53" s="1834" t="s">
        <v>1409</v>
      </c>
      <c r="C53" s="361">
        <f ca="1">ROUND(IF(F53="押一",F49*F51*F50/12*F11,IF(F53="押二",F49*F51*F50/12*2*F11,IF(F53="押三",F49*F51*F50/12*3*F11,C54*F11)))/10000,0)</f>
        <v>0</v>
      </c>
      <c r="D53" s="1827" t="s">
        <v>3037</v>
      </c>
      <c r="E53" s="358" t="s">
        <v>1411</v>
      </c>
      <c r="F53" s="1369"/>
      <c r="I53" s="1908" t="s">
        <v>1548</v>
      </c>
      <c r="J53" s="1909" t="e">
        <f ca="1">IF(M47="住宅",J51,IF(D1="——",MIN(J51,L48),IF(D1="在建（套用方法）",MIN(J51,L48-'数据-取费表'!B24),IF(D1="土地（套用方法）",MIN(J51,L48-'数据-取费表'!B20)))))</f>
        <v>#N/A</v>
      </c>
      <c r="K53" s="3202" t="s">
        <v>1549</v>
      </c>
      <c r="L53" s="3203"/>
      <c r="O53" s="1887" t="s">
        <v>1046</v>
      </c>
      <c r="P53" s="1888" t="s">
        <v>1550</v>
      </c>
      <c r="Q53" s="1889" t="e">
        <f ca="1">Q47+Q48</f>
        <v>#N/A</v>
      </c>
      <c r="R53" s="1889" t="s">
        <v>1047</v>
      </c>
    </row>
    <row r="54" spans="1:18" s="1845" customFormat="1" ht="13.5" thickBot="1">
      <c r="A54" s="1409"/>
      <c r="B54" s="1828" t="s">
        <v>1388</v>
      </c>
      <c r="C54" s="1181"/>
      <c r="D54" s="1827"/>
      <c r="E54" s="2937"/>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1551</v>
      </c>
      <c r="P54" s="1842"/>
      <c r="Q54" s="1842"/>
      <c r="R54" s="1842"/>
    </row>
    <row r="55" spans="1:18" s="1845" customFormat="1" ht="13.5" thickBot="1">
      <c r="A55" s="1336" t="s">
        <v>1075</v>
      </c>
      <c r="B55" s="1830" t="s">
        <v>1414</v>
      </c>
      <c r="C55" s="1337"/>
      <c r="D55" s="1827"/>
      <c r="E55" s="2937"/>
      <c r="F55" s="1910"/>
      <c r="I55" s="1913" t="s">
        <v>1552</v>
      </c>
      <c r="J55" s="1914" t="e">
        <f ca="1">ROUND(IF(J47="钢混",J57/J50,1-(1-2%)*(J50-J57)/J50),3)</f>
        <v>#N/A</v>
      </c>
      <c r="K55" s="1915" t="s">
        <v>1553</v>
      </c>
      <c r="L55" s="1916" t="s">
        <v>1554</v>
      </c>
      <c r="O55" s="1880" t="s">
        <v>1523</v>
      </c>
      <c r="P55" s="1881" t="s">
        <v>1524</v>
      </c>
      <c r="Q55" s="1882" t="s">
        <v>1525</v>
      </c>
      <c r="R55" s="1882" t="s">
        <v>1526</v>
      </c>
    </row>
    <row r="56" spans="1:18" s="1845" customFormat="1" ht="25.5" thickTop="1" thickBot="1">
      <c r="A56" s="1179">
        <v>2</v>
      </c>
      <c r="B56" s="1180" t="s">
        <v>1415</v>
      </c>
      <c r="C56" s="276" t="e">
        <f ca="1">C13</f>
        <v>#N/A</v>
      </c>
      <c r="D56" s="1917"/>
      <c r="E56" s="1918"/>
      <c r="F56" s="1910"/>
      <c r="I56" s="1919" t="s">
        <v>1555</v>
      </c>
      <c r="J56" s="1920" t="s">
        <v>3063</v>
      </c>
      <c r="K56" s="1890" t="s">
        <v>1556</v>
      </c>
      <c r="L56" s="1893" t="e">
        <f ca="1">IF(L48&lt;J51,"——",L48-J53)</f>
        <v>#N/A</v>
      </c>
      <c r="O56" s="1887" t="s">
        <v>1040</v>
      </c>
      <c r="P56" s="1888" t="s">
        <v>1529</v>
      </c>
      <c r="Q56" s="1889" t="e">
        <f ca="1">C40+J29</f>
        <v>#N/A</v>
      </c>
      <c r="R56" s="1889" t="s">
        <v>1530</v>
      </c>
    </row>
    <row r="57" spans="1:18" s="1845" customFormat="1" ht="24.75" thickBot="1">
      <c r="A57" s="1921"/>
      <c r="B57" s="1172" t="s">
        <v>1479</v>
      </c>
      <c r="C57" s="282" t="e">
        <f ca="1">C29</f>
        <v>#N/A</v>
      </c>
      <c r="D57" s="1922"/>
      <c r="E57" s="1923"/>
      <c r="F57" s="1924"/>
      <c r="I57" s="1925" t="s">
        <v>1557</v>
      </c>
      <c r="J57" s="1926" t="e">
        <f ca="1">IF(OR(M47="住宅",J51&lt;L48,J56="是"),"——",J51-L48)</f>
        <v>#N/A</v>
      </c>
      <c r="K57" s="1890" t="s">
        <v>1558</v>
      </c>
      <c r="L57" s="1893" t="e">
        <f ca="1">IF(L48&lt;J51,"——",IF(L55="比较法",L49,IF(L55="基准地价",L50,L51)))</f>
        <v>#N/A</v>
      </c>
      <c r="O57" s="1887" t="s">
        <v>1041</v>
      </c>
      <c r="P57" s="1888" t="s">
        <v>1559</v>
      </c>
      <c r="Q57" s="1889" t="e">
        <f ca="1">L60</f>
        <v>#N/A</v>
      </c>
      <c r="R57" s="1889" t="s">
        <v>1560</v>
      </c>
    </row>
    <row r="58" spans="1:18" s="1845" customFormat="1" ht="24.75" thickBot="1">
      <c r="A58" s="360" t="s">
        <v>1030</v>
      </c>
      <c r="B58" s="1180" t="s">
        <v>1425</v>
      </c>
      <c r="C58" s="361" t="e">
        <f ca="1">ROUND(C59+C64+C65+C66,0)</f>
        <v>#N/A</v>
      </c>
      <c r="D58" s="1182" t="s">
        <v>1426</v>
      </c>
      <c r="E58" s="1183"/>
      <c r="F58" s="1184"/>
      <c r="I58" s="1925" t="s">
        <v>1561</v>
      </c>
      <c r="J58" s="1927" t="e">
        <f ca="1">IF(J55&lt;0.4,0.4,J55)</f>
        <v>#N/A</v>
      </c>
      <c r="K58" s="1903" t="s">
        <v>1562</v>
      </c>
      <c r="L58" s="1893" t="e">
        <f ca="1">ROUND(POWER(1+L52,L47-L48)*(POWER(1+L52,L48)-1)/(POWER(1+L52,L47)-1),4)</f>
        <v>#N/A</v>
      </c>
      <c r="O58" s="1897" t="s">
        <v>1042</v>
      </c>
      <c r="P58" s="1888" t="s">
        <v>1563</v>
      </c>
      <c r="Q58" s="1889">
        <f>IF(L55="比较法",L49,IF(L55="基准地价",L50,0))</f>
        <v>0</v>
      </c>
      <c r="R58" s="1889" t="s">
        <v>1530</v>
      </c>
    </row>
    <row r="59" spans="1:18" s="1845" customFormat="1" ht="24.75" thickBot="1">
      <c r="A59" s="1204" t="s">
        <v>1035</v>
      </c>
      <c r="B59" s="1172" t="s">
        <v>1430</v>
      </c>
      <c r="C59" s="24" t="e">
        <f ca="1">ROUND(IF(项目基本情况!B11="自然人",C48*F59,C60+C61+C62),1)</f>
        <v>#N/A</v>
      </c>
      <c r="D59" s="1185" t="s">
        <v>1431</v>
      </c>
      <c r="E59" s="1186" t="s">
        <v>1432</v>
      </c>
      <c r="F59" s="368" t="e">
        <f ca="1">IF(项目基本情况!B11="企业","",IF(INDIRECT("'数据-取费表'!c"&amp;$G$1)="住宅",5%,IF(F49*F50*F51/12/(1+'数据-取费表'!C42)&gt;20000,12%,7%)))</f>
        <v>#N/A</v>
      </c>
      <c r="I59" s="1925" t="s">
        <v>1564</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1043</v>
      </c>
      <c r="P59" s="1888" t="s">
        <v>1565</v>
      </c>
      <c r="Q59" s="1900">
        <f>L52</f>
        <v>0</v>
      </c>
      <c r="R59" s="1889"/>
    </row>
    <row r="60" spans="1:18" s="1845" customFormat="1" ht="16.5" thickBot="1">
      <c r="A60" s="1204" t="s">
        <v>1034</v>
      </c>
      <c r="B60" s="1172" t="s">
        <v>1434</v>
      </c>
      <c r="C60" s="24" t="e">
        <f ca="1">IF(项目基本情况!B11="自然人","——",ROUND(C48*F60/(1+'数据-取费表'!C42),2))</f>
        <v>#N/A</v>
      </c>
      <c r="D60" s="1186" t="s">
        <v>1435</v>
      </c>
      <c r="E60" s="1172" t="s">
        <v>1423</v>
      </c>
      <c r="F60" s="377">
        <f t="shared" ref="F60:F66" si="0">F32</f>
        <v>5.5000000000000007E-2</v>
      </c>
      <c r="I60" s="1928" t="s">
        <v>1566</v>
      </c>
      <c r="J60" s="1929" t="e">
        <f ca="1">IF(OR(M47="住宅",J51&lt;L48,J56="是"),"0",ROUND(J59/(1+J52)^J53,0))</f>
        <v>#N/A</v>
      </c>
      <c r="K60" s="1930" t="s">
        <v>1567</v>
      </c>
      <c r="L60" s="1929" t="e">
        <f ca="1">IF(OR(M47="住宅",L48&lt;J51),0,ROUND(L57*(L58/L59-1),0))</f>
        <v>#N/A</v>
      </c>
      <c r="O60" s="1897" t="s">
        <v>1044</v>
      </c>
      <c r="P60" s="1888" t="s">
        <v>1568</v>
      </c>
      <c r="Q60" s="1889" t="e">
        <f ca="1">L58</f>
        <v>#N/A</v>
      </c>
      <c r="R60" s="1889" t="s">
        <v>1569</v>
      </c>
    </row>
    <row r="61" spans="1:18" s="1845" customFormat="1" ht="13.5" thickBot="1">
      <c r="A61" s="1204" t="s">
        <v>1493</v>
      </c>
      <c r="B61" s="1172" t="s">
        <v>1494</v>
      </c>
      <c r="C61" s="24" t="e">
        <f ca="1">IF(项目基本情况!B11="自然人","——",IF(D61="按租金收入计税",ROUND(C48*F61,2),IF(D61="按房产原值计税",ROUND(C57*F61*0.7,2),INDIRECT("'数据-取费表'!Aj"&amp;$G$1))))</f>
        <v>#N/A</v>
      </c>
      <c r="D61" s="1831" t="s">
        <v>1439</v>
      </c>
      <c r="E61" s="1172" t="s">
        <v>1495</v>
      </c>
      <c r="F61" s="367">
        <f t="shared" si="0"/>
        <v>0.12</v>
      </c>
      <c r="I61" s="1931"/>
      <c r="J61" s="1931"/>
      <c r="K61" s="1931"/>
      <c r="L61" s="1931"/>
      <c r="O61" s="1897" t="s">
        <v>1045</v>
      </c>
      <c r="P61" s="1888" t="str">
        <f>K59</f>
        <v>建筑物剩余耐用年限下的土地年期修正系数Kn</v>
      </c>
      <c r="Q61" s="1889" t="e">
        <f ca="1">L59</f>
        <v>#N/A</v>
      </c>
      <c r="R61" s="1889" t="s">
        <v>1570</v>
      </c>
    </row>
    <row r="62" spans="1:18" s="1845" customFormat="1" ht="13.5" thickBot="1">
      <c r="A62" s="1204" t="s">
        <v>1496</v>
      </c>
      <c r="B62" s="1171" t="s">
        <v>1442</v>
      </c>
      <c r="C62" s="25" t="e">
        <f ca="1">IF(项目基本情况!B11="自然人","——",ROUND(F62*F63/10000,2))</f>
        <v>#N/A</v>
      </c>
      <c r="D62" s="1187" t="s">
        <v>1498</v>
      </c>
      <c r="E62" s="1172" t="s">
        <v>1444</v>
      </c>
      <c r="F62" s="371">
        <f t="shared" si="0"/>
        <v>1.5</v>
      </c>
      <c r="I62" s="1932" t="s">
        <v>1571</v>
      </c>
      <c r="J62" s="1933" t="s">
        <v>1572</v>
      </c>
      <c r="K62" s="1933" t="s">
        <v>1573</v>
      </c>
      <c r="L62" s="1933" t="s">
        <v>1574</v>
      </c>
      <c r="M62" s="1934" t="s">
        <v>1575</v>
      </c>
      <c r="O62" s="1887" t="s">
        <v>1046</v>
      </c>
      <c r="P62" s="1888" t="s">
        <v>1576</v>
      </c>
      <c r="Q62" s="1889" t="e">
        <f ca="1">Q56+Q57</f>
        <v>#N/A</v>
      </c>
      <c r="R62" s="1889" t="s">
        <v>1047</v>
      </c>
    </row>
    <row r="63" spans="1:18" s="1845" customFormat="1" ht="13.5" thickBot="1">
      <c r="A63" s="372"/>
      <c r="B63" s="1178"/>
      <c r="C63" s="29"/>
      <c r="D63" s="1188"/>
      <c r="E63" s="1172" t="s">
        <v>1500</v>
      </c>
      <c r="F63" s="348" t="e">
        <f t="shared" ca="1" si="0"/>
        <v>#N/A</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t="e">
        <f ca="1">ROUND(C57*F64,1)</f>
        <v>#N/A</v>
      </c>
      <c r="D64" s="1186" t="s">
        <v>1503</v>
      </c>
      <c r="E64" s="1172" t="s">
        <v>1495</v>
      </c>
      <c r="F64" s="374" t="e">
        <f t="shared" ca="1" si="0"/>
        <v>#N/A</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t="e">
        <f ca="1">ROUND(C56*F65,1)</f>
        <v>#N/A</v>
      </c>
      <c r="D65" s="1186" t="s">
        <v>1455</v>
      </c>
      <c r="E65" s="1172" t="s">
        <v>1423</v>
      </c>
      <c r="F65" s="376" t="e">
        <f t="shared" ca="1" si="0"/>
        <v>#N/A</v>
      </c>
      <c r="I65" s="1932" t="s">
        <v>1580</v>
      </c>
      <c r="J65" s="1933">
        <v>40</v>
      </c>
      <c r="K65" s="1933">
        <v>30</v>
      </c>
      <c r="L65" s="1933">
        <v>50</v>
      </c>
      <c r="M65" s="1935">
        <v>0.02</v>
      </c>
      <c r="O65" s="1887" t="s">
        <v>1040</v>
      </c>
      <c r="P65" s="1888" t="s">
        <v>1529</v>
      </c>
      <c r="Q65" s="1889" t="e">
        <f ca="1">C40+J29</f>
        <v>#N/A</v>
      </c>
      <c r="R65" s="1889" t="s">
        <v>1530</v>
      </c>
    </row>
    <row r="66" spans="1:18" s="1845" customFormat="1" ht="16.5" thickBot="1">
      <c r="A66" s="1204" t="s">
        <v>1505</v>
      </c>
      <c r="B66" s="1172" t="s">
        <v>1440</v>
      </c>
      <c r="C66" s="24" t="e">
        <f ca="1">ROUND(C48*F66,1)</f>
        <v>#N/A</v>
      </c>
      <c r="D66" s="1186" t="s">
        <v>1460</v>
      </c>
      <c r="E66" s="1172" t="s">
        <v>1423</v>
      </c>
      <c r="F66" s="357" t="e">
        <f t="shared" ca="1" si="0"/>
        <v>#N/A</v>
      </c>
      <c r="O66" s="1887" t="s">
        <v>1041</v>
      </c>
      <c r="P66" s="1888" t="s">
        <v>1559</v>
      </c>
      <c r="Q66" s="1889" t="e">
        <f ca="1">L60</f>
        <v>#N/A</v>
      </c>
      <c r="R66" s="1889" t="s">
        <v>1582</v>
      </c>
    </row>
    <row r="67" spans="1:18" s="1845" customFormat="1" ht="16.5" thickBot="1">
      <c r="A67" s="1179" t="s">
        <v>1031</v>
      </c>
      <c r="B67" s="1189" t="s">
        <v>1464</v>
      </c>
      <c r="C67" s="361" t="e">
        <f ca="1">C48-C58</f>
        <v>#N/A</v>
      </c>
      <c r="D67" s="1185" t="s">
        <v>1465</v>
      </c>
      <c r="E67" s="1190"/>
      <c r="F67" s="1191"/>
      <c r="O67" s="1897" t="s">
        <v>1042</v>
      </c>
      <c r="P67" s="1888" t="s">
        <v>1563</v>
      </c>
      <c r="Q67" s="1936" t="e">
        <f ca="1">L51</f>
        <v>#N/A</v>
      </c>
      <c r="R67" s="1889" t="s">
        <v>1583</v>
      </c>
    </row>
    <row r="68" spans="1:18" s="1845" customFormat="1" ht="16.5" thickBot="1">
      <c r="A68" s="1169" t="s">
        <v>1032</v>
      </c>
      <c r="B68" s="1170" t="s">
        <v>1486</v>
      </c>
      <c r="C68" s="346" t="e">
        <f ca="1">ROUND(C67*(1-((1+F70)/(1+F68))^F69)/(F68-F70),0)</f>
        <v>#N/A</v>
      </c>
      <c r="D68" s="1187" t="s">
        <v>1470</v>
      </c>
      <c r="E68" s="1172" t="s">
        <v>1471</v>
      </c>
      <c r="F68" s="357" t="e">
        <f ca="1">F40</f>
        <v>#N/A</v>
      </c>
      <c r="O68" s="1897" t="s">
        <v>1043</v>
      </c>
      <c r="P68" s="1937" t="s">
        <v>1584</v>
      </c>
      <c r="Q68" s="1889" t="e">
        <f ca="1">ROUND(Q69-Q70*Q71,0)</f>
        <v>#N/A</v>
      </c>
      <c r="R68" s="1889" t="s">
        <v>1051</v>
      </c>
    </row>
    <row r="69" spans="1:18" s="1845" customFormat="1" ht="13.5" thickBot="1">
      <c r="A69" s="1173"/>
      <c r="B69" s="1174"/>
      <c r="C69" s="351"/>
      <c r="D69" s="1192" t="s">
        <v>1474</v>
      </c>
      <c r="E69" s="1172" t="s">
        <v>1475</v>
      </c>
      <c r="F69" s="379" t="e">
        <f ca="1">F41</f>
        <v>#N/A</v>
      </c>
      <c r="O69" s="1897" t="s">
        <v>1048</v>
      </c>
      <c r="P69" s="1937" t="s">
        <v>1585</v>
      </c>
      <c r="Q69" s="1889" t="e">
        <f ca="1">C39</f>
        <v>#N/A</v>
      </c>
      <c r="R69" s="1889" t="s">
        <v>1530</v>
      </c>
    </row>
    <row r="70" spans="1:18" s="1845" customFormat="1" ht="13.5" thickBot="1">
      <c r="A70" s="1176"/>
      <c r="B70" s="1177"/>
      <c r="C70" s="355"/>
      <c r="D70" s="1188"/>
      <c r="E70" s="1172" t="s">
        <v>1478</v>
      </c>
      <c r="F70" s="1278"/>
      <c r="O70" s="1897" t="s">
        <v>1049</v>
      </c>
      <c r="P70" s="1937" t="s">
        <v>1586</v>
      </c>
      <c r="Q70" s="1889" t="e">
        <f ca="1">C13</f>
        <v>#N/A</v>
      </c>
      <c r="R70" s="1889" t="s">
        <v>1530</v>
      </c>
    </row>
    <row r="71" spans="1:18" s="1845" customFormat="1" ht="13.5" thickBot="1">
      <c r="A71" s="1193" t="s">
        <v>1033</v>
      </c>
      <c r="B71" s="1194" t="s">
        <v>1488</v>
      </c>
      <c r="C71" s="382" t="e">
        <f ca="1">ROUND(C68*10000/F71,0)</f>
        <v>#N/A</v>
      </c>
      <c r="D71" s="1195" t="s">
        <v>1489</v>
      </c>
      <c r="E71" s="1196" t="s">
        <v>1490</v>
      </c>
      <c r="F71" s="385" t="e">
        <f ca="1">F43</f>
        <v>#N/A</v>
      </c>
      <c r="O71" s="1897" t="s">
        <v>1050</v>
      </c>
      <c r="P71" s="1937" t="s">
        <v>1587</v>
      </c>
      <c r="Q71" s="1900" t="e">
        <f ca="1">C76</f>
        <v>#N/A</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#N/A</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#N/A</v>
      </c>
      <c r="R74" s="1889" t="s">
        <v>1570</v>
      </c>
    </row>
    <row r="75" spans="1:18" ht="13.5" thickBot="1">
      <c r="A75" s="1845"/>
      <c r="B75" s="386" t="s">
        <v>1507</v>
      </c>
      <c r="C75" s="387" t="e">
        <f ca="1">ROUND(C13*C76,0)</f>
        <v>#N/A</v>
      </c>
      <c r="D75" s="1845"/>
      <c r="E75" s="1845"/>
      <c r="F75" s="1845"/>
      <c r="K75" s="1871"/>
      <c r="L75" s="1845"/>
      <c r="O75" s="1887" t="s">
        <v>1046</v>
      </c>
      <c r="P75" s="1888" t="s">
        <v>1550</v>
      </c>
      <c r="Q75" s="1889" t="e">
        <f ca="1">Q65+Q66</f>
        <v>#N/A</v>
      </c>
      <c r="R75" s="1889" t="s">
        <v>1047</v>
      </c>
    </row>
    <row r="76" spans="1:18">
      <c r="B76" s="388" t="s">
        <v>1508</v>
      </c>
      <c r="C76" s="389" t="e">
        <f ca="1">INDIRECT("'数据-取费表'!j"&amp;$G$1)</f>
        <v>#N/A</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31" sqref="H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3137</v>
      </c>
      <c r="D1" s="1823" t="s">
        <v>70</v>
      </c>
      <c r="E1" s="1824" t="s">
        <v>1387</v>
      </c>
      <c r="F1" s="1286">
        <f ca="1">J53</f>
        <v>38.26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f ca="1">ROUND(D2/10000,0)</f>
        <v>1737</v>
      </c>
      <c r="C2" s="1848" t="s">
        <v>1592</v>
      </c>
      <c r="D2" s="1941">
        <f ca="1">C40+J29+L46</f>
        <v>17366050</v>
      </c>
      <c r="E2" s="1849" t="s">
        <v>1593</v>
      </c>
      <c r="F2" s="1850"/>
      <c r="G2" s="1851"/>
      <c r="H2" s="1843"/>
      <c r="I2" s="1843"/>
      <c r="J2" s="1843"/>
      <c r="K2" s="1844"/>
      <c r="L2" s="1843"/>
      <c r="M2" s="1843"/>
    </row>
    <row r="3" spans="1:37" ht="18" customHeight="1" thickBot="1">
      <c r="A3" s="1852" t="s">
        <v>1594</v>
      </c>
      <c r="B3" s="1853">
        <f ca="1">IF(ISERROR(D2/F43),0,ROUND(D2/F43,0))</f>
        <v>2815</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1014840</v>
      </c>
      <c r="D5" s="1825" t="s">
        <v>1602</v>
      </c>
      <c r="E5" s="1296"/>
      <c r="F5" s="1297"/>
      <c r="G5" s="1854"/>
      <c r="H5" s="344">
        <v>1</v>
      </c>
      <c r="I5" s="345" t="s">
        <v>1601</v>
      </c>
      <c r="J5" s="1295">
        <f ca="1">J6+J10+J12</f>
        <v>0</v>
      </c>
      <c r="K5" s="1825" t="s">
        <v>1602</v>
      </c>
      <c r="L5" s="1296"/>
      <c r="M5" s="1297"/>
    </row>
    <row r="6" spans="1:37" ht="18" customHeight="1">
      <c r="A6" s="1294" t="s">
        <v>1035</v>
      </c>
      <c r="B6" s="3204" t="s">
        <v>1403</v>
      </c>
      <c r="C6" s="1299">
        <f ca="1">ROUND(F6*F8*F7*(1-F9),0)</f>
        <v>1013432</v>
      </c>
      <c r="D6" s="164" t="s">
        <v>3036</v>
      </c>
      <c r="E6" s="347" t="s">
        <v>1405</v>
      </c>
      <c r="F6" s="348">
        <f ca="1">INDIRECT("'数据-取费表'!u"&amp;$G$1)</f>
        <v>0.5</v>
      </c>
      <c r="G6" s="1854"/>
      <c r="H6" s="1294" t="s">
        <v>1035</v>
      </c>
      <c r="I6" s="3204" t="s">
        <v>1403</v>
      </c>
      <c r="J6" s="346">
        <f ca="1">ROUND(M6*M8*M7*(1-M9),0)</f>
        <v>0</v>
      </c>
      <c r="K6" s="1837" t="s">
        <v>3039</v>
      </c>
      <c r="L6" s="347" t="s">
        <v>1405</v>
      </c>
      <c r="M6" s="348">
        <f ca="1">INDIRECT("'数据-取费表'!z"&amp;$G$1)</f>
        <v>0</v>
      </c>
    </row>
    <row r="7" spans="1:37" ht="18" customHeight="1">
      <c r="A7" s="1298"/>
      <c r="B7" s="3205"/>
      <c r="C7" s="1300"/>
      <c r="D7" s="352"/>
      <c r="E7" s="1301" t="s">
        <v>1406</v>
      </c>
      <c r="F7" s="348">
        <f ca="1">IF(INDIRECT("'数据-取费表'!ah"&amp;$G$1)="",INDIRECT("'数据-取费表'!k"&amp;$G$1),INDIRECT("'数据-取费表'!ah"&amp;$G$1))</f>
        <v>6170.06</v>
      </c>
      <c r="G7" s="1854"/>
      <c r="H7" s="349"/>
      <c r="I7" s="3205"/>
      <c r="J7" s="351"/>
      <c r="K7" s="352"/>
      <c r="L7" s="347" t="s">
        <v>1406</v>
      </c>
      <c r="M7" s="348">
        <f ca="1">F7</f>
        <v>6170.06</v>
      </c>
    </row>
    <row r="8" spans="1:37" ht="18" customHeight="1">
      <c r="A8" s="349"/>
      <c r="B8" s="3205"/>
      <c r="C8" s="351"/>
      <c r="D8" s="352"/>
      <c r="E8" s="347" t="s">
        <v>1407</v>
      </c>
      <c r="F8" s="348">
        <f ca="1">INDIRECT("'数据-取费表'!ai"&amp;$G$1)</f>
        <v>365</v>
      </c>
      <c r="G8" s="1854"/>
      <c r="H8" s="349"/>
      <c r="I8" s="3205"/>
      <c r="J8" s="351"/>
      <c r="K8" s="352"/>
      <c r="L8" s="347" t="s">
        <v>1407</v>
      </c>
      <c r="M8" s="348">
        <f ca="1">INDIRECT("'数据-取费表'!ai"&amp;$G$1)</f>
        <v>365</v>
      </c>
    </row>
    <row r="9" spans="1:37" ht="18" customHeight="1">
      <c r="A9" s="349"/>
      <c r="B9" s="3206"/>
      <c r="C9" s="351"/>
      <c r="D9" s="352"/>
      <c r="E9" s="347" t="s">
        <v>1408</v>
      </c>
      <c r="F9" s="357">
        <f ca="1">INDIRECT("'数据-取费表'!w"&amp;$G$1)</f>
        <v>0.1</v>
      </c>
      <c r="G9" s="1854"/>
      <c r="H9" s="349"/>
      <c r="I9" s="3206"/>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1408</v>
      </c>
      <c r="D10" s="1827" t="s">
        <v>3037</v>
      </c>
      <c r="E10" s="358" t="s">
        <v>1411</v>
      </c>
      <c r="F10" s="1369" t="s">
        <v>3115</v>
      </c>
      <c r="G10" s="1854"/>
      <c r="H10" s="1294" t="s">
        <v>1039</v>
      </c>
      <c r="I10" s="1826" t="s">
        <v>1409</v>
      </c>
      <c r="J10" s="346">
        <f ca="1">ROUND(IF(M10="押一",M6*M8*M7/12*M11,IF(M10="押二",M6*M8*M7/12*2*M11,IF(M10="押三",M6*M8*M7/12*3*M11,J11*M11))),0)</f>
        <v>0</v>
      </c>
      <c r="K10" s="1838" t="s">
        <v>3038</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1227509</v>
      </c>
      <c r="D13" s="1334" t="s">
        <v>1416</v>
      </c>
      <c r="E13" s="1334" t="s">
        <v>1417</v>
      </c>
      <c r="F13" s="1335">
        <f ca="1">INDIRECT("'数据-取费表'!y"&amp;$G$1)</f>
        <v>0.2</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3702036</v>
      </c>
      <c r="D14" s="1803" t="s">
        <v>1419</v>
      </c>
      <c r="E14" s="1797"/>
      <c r="F14" s="364"/>
      <c r="G14" s="1854"/>
      <c r="H14" s="1204" t="s">
        <v>1035</v>
      </c>
      <c r="I14" s="347" t="s">
        <v>1420</v>
      </c>
      <c r="J14" s="24">
        <f ca="1">C29</f>
        <v>6137546</v>
      </c>
      <c r="K14" s="15"/>
      <c r="L14" s="982"/>
      <c r="M14" s="983"/>
    </row>
    <row r="15" spans="1:37" s="1861" customFormat="1" ht="18" customHeight="1" thickBot="1">
      <c r="A15" s="1204" t="s">
        <v>1036</v>
      </c>
      <c r="B15" s="347" t="s">
        <v>1421</v>
      </c>
      <c r="C15" s="24">
        <f ca="1">ROUND(C14*F15,0)</f>
        <v>111061</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160719</v>
      </c>
      <c r="K16" s="1340" t="s">
        <v>1426</v>
      </c>
      <c r="L16" s="1341"/>
      <c r="M16" s="1297"/>
    </row>
    <row r="17" spans="1:37" s="1861" customFormat="1" ht="18" customHeight="1">
      <c r="A17" s="1204" t="s">
        <v>1390</v>
      </c>
      <c r="B17" s="347" t="s">
        <v>1427</v>
      </c>
      <c r="C17" s="24">
        <f ca="1">ROUND(F17*(F43+INDIRECT("'数据-取费表'!S"&amp;$G$1)),0)</f>
        <v>925509</v>
      </c>
      <c r="D17" s="347" t="s">
        <v>1428</v>
      </c>
      <c r="E17" s="347" t="s">
        <v>1429</v>
      </c>
      <c r="F17" s="26">
        <f>'数据-取费表'!B35</f>
        <v>150</v>
      </c>
      <c r="G17" s="1857"/>
      <c r="H17" s="1204" t="s">
        <v>1035</v>
      </c>
      <c r="I17" s="347" t="s">
        <v>1430</v>
      </c>
      <c r="J17" s="24">
        <f ca="1">ROUND(IF(项目基本情况!B11="自然人",J5*M17,J18+J19+J20),0)</f>
        <v>68656</v>
      </c>
      <c r="K17" s="1803" t="s">
        <v>1431</v>
      </c>
      <c r="L17" s="1801" t="s">
        <v>1432</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55531</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4794137</v>
      </c>
      <c r="D19" s="140" t="s">
        <v>1437</v>
      </c>
      <c r="E19" s="1821"/>
      <c r="F19" s="26"/>
      <c r="G19" s="1854"/>
      <c r="H19" s="1204" t="s">
        <v>1036</v>
      </c>
      <c r="I19" s="347" t="s">
        <v>1438</v>
      </c>
      <c r="J19" s="24">
        <f ca="1">IF(K19="按租金收入计税",ROUND(J5*M19,0),ROUND(C29*M19*0.7,0))</f>
        <v>51555</v>
      </c>
      <c r="K19" s="1831" t="s">
        <v>1439</v>
      </c>
      <c r="L19" s="347" t="s">
        <v>1423</v>
      </c>
      <c r="M19" s="367">
        <f>IF(K19="按租金收入计税",'数据-取费表'!B51,'数据-取费表'!B50)</f>
        <v>1.2E-2</v>
      </c>
    </row>
    <row r="20" spans="1:37" s="1861" customFormat="1" ht="18" customHeight="1">
      <c r="A20" s="1204" t="s">
        <v>1039</v>
      </c>
      <c r="B20" s="347" t="s">
        <v>1440</v>
      </c>
      <c r="C20" s="24">
        <f ca="1">ROUND(C19*F20,0)</f>
        <v>143824</v>
      </c>
      <c r="D20" s="369" t="s">
        <v>1441</v>
      </c>
      <c r="E20" s="347" t="s">
        <v>1423</v>
      </c>
      <c r="F20" s="367">
        <f>'数据-取费表'!B37</f>
        <v>0.03</v>
      </c>
      <c r="G20" s="1857"/>
      <c r="H20" s="1204" t="s">
        <v>1389</v>
      </c>
      <c r="I20" s="164" t="s">
        <v>1442</v>
      </c>
      <c r="J20" s="25">
        <f ca="1">ROUND(M20*M21,0)</f>
        <v>17101</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0.03</v>
      </c>
      <c r="G21" s="1857"/>
      <c r="H21" s="372"/>
      <c r="I21" s="356"/>
      <c r="J21" s="29"/>
      <c r="K21" s="373"/>
      <c r="L21" s="347" t="s">
        <v>1448</v>
      </c>
      <c r="M21" s="348">
        <f ca="1">INDIRECT("'数据-取费表'!r"&amp;$G$1)</f>
        <v>11400.66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92063</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174891</v>
      </c>
      <c r="D23" s="375" t="str">
        <f>IF(F23&lt;=1,"(建造成本+管理费用)×利率×(建设周期÷2)","(建造成本+管理费用)×((1+利率)^(建设周期÷2)-1)")</f>
        <v>(建造成本+管理费用)×((1+利率)^(建设周期÷2)-1)</v>
      </c>
      <c r="E23" s="347" t="s">
        <v>1453</v>
      </c>
      <c r="F23" s="371">
        <f>'数据-取费表'!B20</f>
        <v>1.5</v>
      </c>
      <c r="G23" s="1857"/>
      <c r="H23" s="1204" t="s">
        <v>1075</v>
      </c>
      <c r="I23" s="347" t="s">
        <v>1454</v>
      </c>
      <c r="J23" s="24">
        <f ca="1">ROUND(J13*M23,0)</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1.1000000000000001E-3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-160719</v>
      </c>
      <c r="K25" s="1348" t="s">
        <v>1465</v>
      </c>
      <c r="L25" s="1349"/>
      <c r="M25" s="1350"/>
    </row>
    <row r="26" spans="1:37" ht="18" customHeight="1">
      <c r="A26" s="1204" t="s">
        <v>1034</v>
      </c>
      <c r="B26" s="347" t="s">
        <v>1466</v>
      </c>
      <c r="C26" s="24">
        <f ca="1">ROUND((C19+C20)*F26,0)</f>
        <v>493796</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4" t="s">
        <v>1036</v>
      </c>
      <c r="B27" s="347" t="s">
        <v>1472</v>
      </c>
      <c r="C27" s="24">
        <f ca="1">ROUND(F21*F26,4)</f>
        <v>3.0000000000000001E-3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6137546</v>
      </c>
      <c r="D29" s="1345"/>
      <c r="E29" s="1343"/>
      <c r="F29" s="1346"/>
      <c r="G29" s="1857"/>
      <c r="H29" s="380" t="s">
        <v>1033</v>
      </c>
      <c r="I29" s="381" t="s">
        <v>1480</v>
      </c>
      <c r="J29" s="382">
        <f ca="1">ROUND(J26/(1+F40)^F41,0)</f>
        <v>0</v>
      </c>
      <c r="K29" s="383" t="s">
        <v>1481</v>
      </c>
      <c r="L29" s="384"/>
      <c r="M29" s="385">
        <f ca="1">INDIRECT("'数据-取费表'!k"&amp;$G$1)</f>
        <v>6170.06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296092</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192040</v>
      </c>
      <c r="D31" s="1803" t="s">
        <v>1431</v>
      </c>
      <c r="E31" s="1801" t="s">
        <v>1482</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1434</v>
      </c>
      <c r="C32" s="24">
        <f ca="1">IF(项目基本情况!B11="自然人","——",ROUND(C5*F32/(1+'数据-取费表'!C42),0))</f>
        <v>53158</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121781</v>
      </c>
      <c r="D33" s="1831" t="s">
        <v>3120</v>
      </c>
      <c r="E33" s="347" t="s">
        <v>1423</v>
      </c>
      <c r="F33" s="367">
        <f>IF(D33="按票据","——",IF(D33="按租金收入计税",'数据-取费表'!B51,'数据-取费表'!B50))</f>
        <v>0.12</v>
      </c>
      <c r="G33" s="1854"/>
      <c r="H33" s="1862"/>
      <c r="I33" s="1863"/>
      <c r="J33" s="1864"/>
      <c r="K33" s="1865"/>
      <c r="L33" s="1862"/>
      <c r="M33" s="1862"/>
    </row>
    <row r="34" spans="1:18" ht="18" customHeight="1">
      <c r="A34" s="1294" t="s">
        <v>1389</v>
      </c>
      <c r="B34" s="164" t="s">
        <v>1442</v>
      </c>
      <c r="C34" s="25">
        <f ca="1">IF(项目基本情况!B11="自然人","——",ROUND(F34*F35,))</f>
        <v>17101</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11400.66</v>
      </c>
      <c r="G35" s="1854"/>
      <c r="H35" s="745"/>
      <c r="I35" s="1863"/>
      <c r="J35" s="1864"/>
      <c r="K35" s="1865"/>
      <c r="L35" s="1862"/>
      <c r="M35" s="1862"/>
    </row>
    <row r="36" spans="1:18" ht="18" customHeight="1">
      <c r="A36" s="1355" t="s">
        <v>1039</v>
      </c>
      <c r="B36" s="347" t="s">
        <v>1450</v>
      </c>
      <c r="C36" s="24">
        <f ca="1">ROUND(C29*F36,0)</f>
        <v>92063</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ROUND(C13*F37,0)</f>
        <v>1841</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10148.4</v>
      </c>
      <c r="D38" s="1345" t="s">
        <v>1460</v>
      </c>
      <c r="E38" s="1343" t="s">
        <v>1456</v>
      </c>
      <c r="F38" s="1339">
        <f ca="1">INDIRECT("'数据-取费表'!Am"&amp;$G$1)</f>
        <v>0.01</v>
      </c>
      <c r="G38" s="1854"/>
      <c r="H38" s="1862"/>
      <c r="I38" s="1863"/>
      <c r="J38" s="1864"/>
      <c r="K38" s="1868"/>
      <c r="L38" s="1862"/>
      <c r="M38" s="1862"/>
    </row>
    <row r="39" spans="1:18" ht="24.6" customHeight="1" thickTop="1">
      <c r="A39" s="1332" t="s">
        <v>1031</v>
      </c>
      <c r="B39" s="1347" t="s">
        <v>1484</v>
      </c>
      <c r="C39" s="355">
        <f ca="1">C5-C30</f>
        <v>718748</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17366050</v>
      </c>
      <c r="D40" s="370" t="s">
        <v>1470</v>
      </c>
      <c r="E40" s="347" t="s">
        <v>1471</v>
      </c>
      <c r="F40" s="357">
        <f ca="1">INDIRECT("'数据-取费表'!I"&amp;$G$1)</f>
        <v>4.4999999999999998E-2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38.26</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ROUND(C40/F43,0)</f>
        <v>2815</v>
      </c>
      <c r="D43" s="383" t="s">
        <v>1489</v>
      </c>
      <c r="E43" s="384" t="s">
        <v>1490</v>
      </c>
      <c r="F43" s="385">
        <f ca="1">INDIRECT("'数据-取费表'!k"&amp;$G$1)</f>
        <v>6170.06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-32504673</v>
      </c>
      <c r="D45" s="1943" t="s">
        <v>1605</v>
      </c>
      <c r="E45" s="1869"/>
      <c r="F45" s="1869"/>
      <c r="O45" s="1872" t="s">
        <v>1520</v>
      </c>
      <c r="P45" s="1842"/>
      <c r="Q45" s="1842"/>
      <c r="R45" s="1842"/>
    </row>
    <row r="46" spans="1:18" s="1845" customFormat="1" ht="13.5" thickBot="1">
      <c r="A46" s="1873" t="s">
        <v>1521</v>
      </c>
      <c r="C46" s="1874">
        <f ca="1">ROUND(C45/10000,0)</f>
        <v>-3250</v>
      </c>
      <c r="D46" s="1875" t="str">
        <f>C2</f>
        <v>万元</v>
      </c>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t="s">
        <v>3133</v>
      </c>
      <c r="K47" s="1885" t="s">
        <v>1528</v>
      </c>
      <c r="L47" s="1886">
        <f ca="1">INDIRECT("'数据-取费表'!d"&amp;$G$1)</f>
        <v>50</v>
      </c>
      <c r="M47" s="1841" t="str">
        <f>IF(ISNUMBER(FIND("住宅",C1)),"住宅","非住宅")</f>
        <v>非住宅</v>
      </c>
      <c r="O47" s="1887" t="s">
        <v>1040</v>
      </c>
      <c r="P47" s="1888" t="s">
        <v>1529</v>
      </c>
      <c r="Q47" s="1889">
        <f ca="1">C40+J29</f>
        <v>17366050</v>
      </c>
      <c r="R47" s="1889" t="s">
        <v>1530</v>
      </c>
    </row>
    <row r="48" spans="1:18" s="1845" customFormat="1" ht="28.5" thickBot="1">
      <c r="A48" s="1363" t="s">
        <v>1135</v>
      </c>
      <c r="B48" s="345" t="s">
        <v>1401</v>
      </c>
      <c r="C48" s="1820">
        <f ca="1">C49+C53+C55</f>
        <v>0</v>
      </c>
      <c r="D48" s="1365"/>
      <c r="E48" s="1366"/>
      <c r="F48" s="1184"/>
      <c r="G48" s="792"/>
      <c r="H48" s="793"/>
      <c r="I48" s="1890" t="s">
        <v>1531</v>
      </c>
      <c r="J48" s="1891" t="s">
        <v>3117</v>
      </c>
      <c r="K48" s="1892" t="s">
        <v>1532</v>
      </c>
      <c r="L48" s="1893">
        <f ca="1">INDIRECT("'数据-取费表'!f"&amp;$G$1)</f>
        <v>38.26</v>
      </c>
      <c r="O48" s="1887" t="s">
        <v>1041</v>
      </c>
      <c r="P48" s="1888" t="s">
        <v>1533</v>
      </c>
      <c r="Q48" s="1889" t="str">
        <f ca="1">J60</f>
        <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v>2008</v>
      </c>
      <c r="K49" s="1892" t="s">
        <v>1536</v>
      </c>
      <c r="L49" s="1896"/>
      <c r="O49" s="1897" t="s">
        <v>1042</v>
      </c>
      <c r="P49" s="1888" t="s">
        <v>1537</v>
      </c>
      <c r="Q49" s="1889">
        <f ca="1">C29</f>
        <v>6137546</v>
      </c>
      <c r="R49" s="1889" t="s">
        <v>1530</v>
      </c>
    </row>
    <row r="50" spans="1:18" s="1845" customFormat="1" ht="13.5" thickBot="1">
      <c r="A50" s="1198"/>
      <c r="B50" s="1201"/>
      <c r="C50" s="1202"/>
      <c r="D50" s="1175"/>
      <c r="E50" s="1280" t="s">
        <v>1406</v>
      </c>
      <c r="F50" s="1281">
        <f ca="1">F7</f>
        <v>6170.06</v>
      </c>
      <c r="H50" s="793"/>
      <c r="I50" s="1890" t="s">
        <v>1538</v>
      </c>
      <c r="J50" s="1898">
        <f>SUMPRODUCT((I63:I65=J47)*(J62:L62=J48)*(J63:L65))</f>
        <v>50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40</v>
      </c>
      <c r="K51" s="1903" t="s">
        <v>1542</v>
      </c>
      <c r="L51" s="1904">
        <f ca="1">ROUND(-PV(INDIRECT("'数据-取费表'!h"&amp;$G$1),L48,(C39-C13*C76),0),0)</f>
        <v>12054134</v>
      </c>
      <c r="M51" s="1905"/>
      <c r="O51" s="1897" t="s">
        <v>1044</v>
      </c>
      <c r="P51" s="1888" t="s">
        <v>1543</v>
      </c>
      <c r="Q51" s="1900">
        <f>J52</f>
        <v>8.5000000000000006E-2</v>
      </c>
      <c r="R51" s="1889"/>
    </row>
    <row r="52" spans="1:18" s="1845" customFormat="1" ht="13.5" thickBot="1">
      <c r="A52" s="1199"/>
      <c r="B52" s="1201"/>
      <c r="C52" s="1202"/>
      <c r="D52" s="1175"/>
      <c r="E52" s="1203" t="s">
        <v>1408</v>
      </c>
      <c r="F52" s="1278"/>
      <c r="I52" s="1906" t="s">
        <v>1544</v>
      </c>
      <c r="J52" s="1907">
        <v>8.5000000000000006E-2</v>
      </c>
      <c r="K52" s="1906" t="s">
        <v>1545</v>
      </c>
      <c r="L52" s="1907"/>
      <c r="O52" s="1897" t="s">
        <v>1045</v>
      </c>
      <c r="P52" s="1888" t="s">
        <v>1546</v>
      </c>
      <c r="Q52" s="1889">
        <f ca="1">J53</f>
        <v>38.26</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f ca="1">IF(M47="住宅",J51,IF(D1="——",MIN(J51,L48),IF(D1="在建（套用方法）",MIN(J51,L48-'数据-取费表'!B24),IF(D1="土地（套用方法）",MIN(J51,L48-'数据-取费表'!B20)))))</f>
        <v>38.26</v>
      </c>
      <c r="K53" s="3202" t="s">
        <v>1549</v>
      </c>
      <c r="L53" s="3203"/>
      <c r="O53" s="1887" t="s">
        <v>1046</v>
      </c>
      <c r="P53" s="1888" t="s">
        <v>1550</v>
      </c>
      <c r="Q53" s="1889">
        <f ca="1">Q47+Q48</f>
        <v>17366050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3135</v>
      </c>
      <c r="O55" s="1880" t="s">
        <v>1523</v>
      </c>
      <c r="P55" s="1881" t="s">
        <v>1524</v>
      </c>
      <c r="Q55" s="1882" t="s">
        <v>1525</v>
      </c>
      <c r="R55" s="1882" t="s">
        <v>1526</v>
      </c>
    </row>
    <row r="56" spans="1:18" s="1845" customFormat="1" ht="36" customHeight="1" thickTop="1" thickBot="1">
      <c r="A56" s="1179">
        <v>2</v>
      </c>
      <c r="B56" s="1180" t="s">
        <v>1415</v>
      </c>
      <c r="C56" s="276">
        <f ca="1">C13</f>
        <v>1227509</v>
      </c>
      <c r="D56" s="1917"/>
      <c r="E56" s="1918"/>
      <c r="F56" s="1910"/>
      <c r="I56" s="1919" t="s">
        <v>1555</v>
      </c>
      <c r="J56" s="1920" t="s">
        <v>3063</v>
      </c>
      <c r="K56" s="1890" t="s">
        <v>1556</v>
      </c>
      <c r="L56" s="1893" t="str">
        <f ca="1">IF(L48&lt;J51,"——",L48-J51)</f>
        <v>——</v>
      </c>
      <c r="O56" s="1887" t="s">
        <v>1040</v>
      </c>
      <c r="P56" s="1888" t="s">
        <v>1529</v>
      </c>
      <c r="Q56" s="1889">
        <f ca="1">C40+J29</f>
        <v>17366050</v>
      </c>
      <c r="R56" s="1889" t="s">
        <v>1530</v>
      </c>
    </row>
    <row r="57" spans="1:18" s="1845" customFormat="1" ht="24.75" thickBot="1">
      <c r="A57" s="1921"/>
      <c r="B57" s="1172" t="s">
        <v>1479</v>
      </c>
      <c r="C57" s="282">
        <f ca="1">C29</f>
        <v>6137546</v>
      </c>
      <c r="D57" s="1922"/>
      <c r="E57" s="1923"/>
      <c r="F57" s="1924"/>
      <c r="I57" s="1925" t="s">
        <v>1557</v>
      </c>
      <c r="J57" s="1926" t="str">
        <f ca="1">IF(OR(M47="住宅",J51&lt;L48,J56="是"),"——",J51-L48)</f>
        <v>——</v>
      </c>
      <c r="K57" s="1890" t="s">
        <v>1606</v>
      </c>
      <c r="L57" s="1893" t="str">
        <f ca="1">IF(L48&lt;J51,"——",IF(L55="比较法",L49,IF(L55="基准地价",L50,L51)))</f>
        <v>——</v>
      </c>
      <c r="O57" s="1887" t="s">
        <v>1041</v>
      </c>
      <c r="P57" s="1888" t="s">
        <v>1607</v>
      </c>
      <c r="Q57" s="1889">
        <f ca="1">L60</f>
        <v>0</v>
      </c>
      <c r="R57" s="1889" t="s">
        <v>1608</v>
      </c>
    </row>
    <row r="58" spans="1:18" s="1845" customFormat="1" ht="24.75" thickBot="1">
      <c r="A58" s="360" t="s">
        <v>1030</v>
      </c>
      <c r="B58" s="1180" t="s">
        <v>1425</v>
      </c>
      <c r="C58" s="361">
        <f ca="1">ROUND(C59+C64+C65+C66,0)</f>
        <v>626559</v>
      </c>
      <c r="D58" s="1182" t="s">
        <v>1426</v>
      </c>
      <c r="E58" s="1183"/>
      <c r="F58" s="1184"/>
      <c r="I58" s="1925" t="s">
        <v>1561</v>
      </c>
      <c r="J58" s="1927" t="e">
        <f ca="1">IF(J55&lt;0.4,0.4,J55)</f>
        <v>#VALUE!</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532655</v>
      </c>
      <c r="D59" s="1185" t="s">
        <v>1431</v>
      </c>
      <c r="E59" s="1186" t="s">
        <v>1432</v>
      </c>
      <c r="F59" s="368">
        <f ca="1">IF(项目基本情况!B11="企业","",IF(INDIRECT("'数据-取费表'!c"&amp;$G$1)="住宅",5%,IF(F49*F50*F51/12/(1+'数据-取费表'!C42)&gt;20000,12%,7%)))</f>
        <v>7.0000000000000007E-2</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515554</v>
      </c>
      <c r="D61" s="1831" t="s">
        <v>1439</v>
      </c>
      <c r="E61" s="1172" t="s">
        <v>1495</v>
      </c>
      <c r="F61" s="367">
        <f t="shared" si="0"/>
        <v>0.12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IF(项目基本情况!B11="自然人","——",ROUND(F62*F63,0))</f>
        <v>17101</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17366050</v>
      </c>
      <c r="R62" s="1889" t="s">
        <v>1047</v>
      </c>
    </row>
    <row r="63" spans="1:18" s="1845" customFormat="1" ht="13.5" thickBot="1">
      <c r="A63" s="372"/>
      <c r="B63" s="1178"/>
      <c r="C63" s="29"/>
      <c r="D63" s="1188"/>
      <c r="E63" s="1172" t="s">
        <v>1500</v>
      </c>
      <c r="F63" s="348">
        <f t="shared" ca="1" si="0"/>
        <v>11400.66</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92063</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1841</v>
      </c>
      <c r="D65" s="1186" t="s">
        <v>1455</v>
      </c>
      <c r="E65" s="1172" t="s">
        <v>1456</v>
      </c>
      <c r="F65" s="376">
        <f t="shared" ca="1" si="0"/>
        <v>1.5E-3</v>
      </c>
      <c r="I65" s="1932" t="s">
        <v>1580</v>
      </c>
      <c r="J65" s="1933">
        <v>40</v>
      </c>
      <c r="K65" s="1933">
        <v>30</v>
      </c>
      <c r="L65" s="1933">
        <v>50</v>
      </c>
      <c r="M65" s="1935">
        <v>0.02</v>
      </c>
      <c r="O65" s="1887" t="s">
        <v>1040</v>
      </c>
      <c r="P65" s="1888" t="s">
        <v>1581</v>
      </c>
      <c r="Q65" s="1889">
        <f ca="1">C40+J29</f>
        <v>17366050</v>
      </c>
      <c r="R65" s="1889" t="s">
        <v>1530</v>
      </c>
    </row>
    <row r="66" spans="1:18" s="1845" customFormat="1" ht="16.5" thickBot="1">
      <c r="A66" s="1204" t="s">
        <v>1505</v>
      </c>
      <c r="B66" s="1172" t="s">
        <v>1440</v>
      </c>
      <c r="C66" s="24">
        <f ca="1">ROUND(C48*F66,0)</f>
        <v>0</v>
      </c>
      <c r="D66" s="1186" t="s">
        <v>1506</v>
      </c>
      <c r="E66" s="1172" t="s">
        <v>1423</v>
      </c>
      <c r="F66" s="357">
        <f t="shared" ca="1" si="0"/>
        <v>0.01</v>
      </c>
      <c r="O66" s="1887" t="s">
        <v>1041</v>
      </c>
      <c r="P66" s="1888" t="s">
        <v>1559</v>
      </c>
      <c r="Q66" s="1889">
        <f ca="1">L60</f>
        <v>0</v>
      </c>
      <c r="R66" s="1889" t="s">
        <v>1582</v>
      </c>
    </row>
    <row r="67" spans="1:18" s="1845" customFormat="1" ht="16.5" thickBot="1">
      <c r="A67" s="1179" t="s">
        <v>1031</v>
      </c>
      <c r="B67" s="1189" t="s">
        <v>1464</v>
      </c>
      <c r="C67" s="361">
        <f ca="1">C48-C58</f>
        <v>-626559</v>
      </c>
      <c r="D67" s="1185" t="s">
        <v>1465</v>
      </c>
      <c r="E67" s="1190"/>
      <c r="F67" s="1191"/>
      <c r="O67" s="1897" t="s">
        <v>1042</v>
      </c>
      <c r="P67" s="1888" t="s">
        <v>1563</v>
      </c>
      <c r="Q67" s="1936">
        <f ca="1">L51</f>
        <v>12054134</v>
      </c>
      <c r="R67" s="1889" t="s">
        <v>1583</v>
      </c>
    </row>
    <row r="68" spans="1:18" s="1845" customFormat="1" ht="16.5" thickBot="1">
      <c r="A68" s="1169" t="s">
        <v>1032</v>
      </c>
      <c r="B68" s="1170" t="s">
        <v>1486</v>
      </c>
      <c r="C68" s="346">
        <f ca="1">ROUND(C67*(1-((1+F70)/(1+F68))^F69)/(F68-F70),0)</f>
        <v>-15138623</v>
      </c>
      <c r="D68" s="1187" t="s">
        <v>1470</v>
      </c>
      <c r="E68" s="1172" t="s">
        <v>1471</v>
      </c>
      <c r="F68" s="357">
        <f ca="1">F40</f>
        <v>4.4999999999999998E-2</v>
      </c>
      <c r="O68" s="1897" t="s">
        <v>1043</v>
      </c>
      <c r="P68" s="1937" t="s">
        <v>1584</v>
      </c>
      <c r="Q68" s="1889">
        <f ca="1">ROUND(Q69-Q70*Q71,0)</f>
        <v>620547</v>
      </c>
      <c r="R68" s="1889" t="s">
        <v>1051</v>
      </c>
    </row>
    <row r="69" spans="1:18" s="1845" customFormat="1" ht="13.5" thickBot="1">
      <c r="A69" s="1173"/>
      <c r="B69" s="1174"/>
      <c r="C69" s="351"/>
      <c r="D69" s="1192" t="s">
        <v>1474</v>
      </c>
      <c r="E69" s="1172" t="s">
        <v>1475</v>
      </c>
      <c r="F69" s="379">
        <f ca="1">F41</f>
        <v>38.26</v>
      </c>
      <c r="O69" s="1897" t="s">
        <v>1048</v>
      </c>
      <c r="P69" s="1937" t="s">
        <v>1585</v>
      </c>
      <c r="Q69" s="1889">
        <f ca="1">C39</f>
        <v>718748</v>
      </c>
      <c r="R69" s="1889" t="s">
        <v>1530</v>
      </c>
    </row>
    <row r="70" spans="1:18" s="1845" customFormat="1" ht="13.5" thickBot="1">
      <c r="A70" s="1176"/>
      <c r="B70" s="1177"/>
      <c r="C70" s="355"/>
      <c r="D70" s="1188"/>
      <c r="E70" s="1172" t="s">
        <v>1478</v>
      </c>
      <c r="F70" s="1278">
        <f ca="1">F42</f>
        <v>0.02</v>
      </c>
      <c r="O70" s="1897" t="s">
        <v>1049</v>
      </c>
      <c r="P70" s="1937" t="s">
        <v>1586</v>
      </c>
      <c r="Q70" s="1889">
        <f ca="1">C13</f>
        <v>1227509</v>
      </c>
      <c r="R70" s="1889" t="s">
        <v>1530</v>
      </c>
    </row>
    <row r="71" spans="1:18" s="1845" customFormat="1" ht="13.5" thickBot="1">
      <c r="A71" s="1193" t="s">
        <v>1033</v>
      </c>
      <c r="B71" s="1194" t="s">
        <v>1488</v>
      </c>
      <c r="C71" s="382">
        <f ca="1">ROUND(C68/F71,0)</f>
        <v>-2454</v>
      </c>
      <c r="D71" s="1195" t="s">
        <v>1489</v>
      </c>
      <c r="E71" s="1196" t="s">
        <v>1490</v>
      </c>
      <c r="F71" s="385">
        <f ca="1">F43</f>
        <v>6170.06</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98201</v>
      </c>
      <c r="D75" s="1845"/>
      <c r="E75" s="1845"/>
      <c r="F75" s="1845"/>
      <c r="K75" s="1871"/>
      <c r="L75" s="1845"/>
      <c r="O75" s="1887" t="s">
        <v>1046</v>
      </c>
      <c r="P75" s="1888" t="s">
        <v>1550</v>
      </c>
      <c r="Q75" s="1889">
        <f ca="1">Q65+Q66</f>
        <v>17366050</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0.86299999999999999</v>
      </c>
    </row>
    <row r="80" spans="1:18">
      <c r="B80" s="386" t="s">
        <v>1512</v>
      </c>
      <c r="C80" s="318">
        <f ca="1">ROUND(C75/C39,3)</f>
        <v>0.13700000000000001</v>
      </c>
    </row>
    <row r="81" spans="2:3">
      <c r="B81" s="314" t="s">
        <v>1513</v>
      </c>
      <c r="C81" s="282"/>
    </row>
    <row r="82" spans="2:3">
      <c r="B82" s="317" t="s">
        <v>1514</v>
      </c>
      <c r="C82" s="319">
        <f ca="1">1-C83</f>
        <v>0.92900000000000005</v>
      </c>
    </row>
    <row r="83" spans="2:3">
      <c r="B83" s="317" t="s">
        <v>1515</v>
      </c>
      <c r="C83" s="318">
        <f ca="1">ROUND(C13/C40,3)</f>
        <v>7.0999999999999994E-2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1" sqref="I11"/>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2532</v>
      </c>
      <c r="B1" s="2568"/>
      <c r="C1" s="2568"/>
      <c r="D1" s="2568"/>
      <c r="E1" s="2569"/>
    </row>
    <row r="2" spans="1:6" ht="15.75">
      <c r="A2" s="2570" t="s">
        <v>2333</v>
      </c>
      <c r="B2" s="2571">
        <f ca="1">SUMIF(B6:B13,"&lt;&gt;#ref!",B6:B13)</f>
        <v>1737</v>
      </c>
      <c r="C2" s="2572" t="s">
        <v>2525</v>
      </c>
      <c r="D2" s="2573" t="s">
        <v>2526</v>
      </c>
      <c r="E2" s="2574">
        <f>SUM(E6:E13)</f>
        <v>6170.06</v>
      </c>
    </row>
    <row r="3" spans="1:6" ht="15.75">
      <c r="A3" s="2570" t="s">
        <v>1395</v>
      </c>
      <c r="B3" s="2571">
        <f ca="1">ROUND(B2*10000/E2,0)</f>
        <v>2815</v>
      </c>
      <c r="C3" s="2572" t="s">
        <v>2533</v>
      </c>
      <c r="D3" s="2575"/>
      <c r="E3" s="2576"/>
    </row>
    <row r="4" spans="1:6" ht="15.75">
      <c r="A4" s="2577"/>
      <c r="B4" s="2575"/>
      <c r="C4" s="2575"/>
      <c r="D4" s="2575"/>
      <c r="E4" s="2576"/>
    </row>
    <row r="5" spans="1:6" ht="15">
      <c r="A5" s="2578" t="s">
        <v>2527</v>
      </c>
      <c r="B5" s="3207" t="s">
        <v>2528</v>
      </c>
      <c r="C5" s="3207"/>
      <c r="D5" s="2579"/>
      <c r="E5" s="2580" t="s">
        <v>2529</v>
      </c>
      <c r="F5" s="2581" t="s">
        <v>2530</v>
      </c>
    </row>
    <row r="6" spans="1:6">
      <c r="A6" s="2582" t="str">
        <f>'数据-取费表'!AN6</f>
        <v>收益法 (元)</v>
      </c>
      <c r="B6" s="2581">
        <f ca="1">IF(F6="是",'数据-取费表'!AO6,0)</f>
        <v>1737</v>
      </c>
      <c r="C6" s="2572" t="s">
        <v>2525</v>
      </c>
      <c r="D6" s="2575"/>
      <c r="E6" s="2583">
        <f>IF(OR(A6=0,F6="否"),0,'数据-取费表'!K6+'数据-取费表'!S6)</f>
        <v>6170.06</v>
      </c>
      <c r="F6" s="2584" t="s">
        <v>3063</v>
      </c>
    </row>
    <row r="7" spans="1:6">
      <c r="A7" s="2582" t="str">
        <f>'数据-取费表'!AN7</f>
        <v>收益法-工业</v>
      </c>
      <c r="B7" s="2581">
        <f ca="1">IF(F7="是",'数据-取费表'!AO7,0)</f>
        <v>0</v>
      </c>
      <c r="C7" s="2572" t="s">
        <v>2525</v>
      </c>
      <c r="D7" s="2575"/>
      <c r="E7" s="2583">
        <f>IF(OR(A7=0,F7="否"),0,'数据-取费表'!K7+'数据-取费表'!S7)</f>
        <v>0</v>
      </c>
      <c r="F7" s="2584" t="s">
        <v>2531</v>
      </c>
    </row>
    <row r="8" spans="1:6">
      <c r="A8" s="2582">
        <f>'数据-取费表'!AN8</f>
        <v>0</v>
      </c>
      <c r="B8" s="2581" t="e">
        <f ca="1">IF(F8="是",'数据-取费表'!AO8,0)</f>
        <v>#REF!</v>
      </c>
      <c r="C8" s="2572" t="s">
        <v>2525</v>
      </c>
      <c r="D8" s="2575"/>
      <c r="E8" s="2583">
        <f>IF(OR(A8=0,F8="否"),0,'数据-取费表'!K8+'数据-取费表'!S8)</f>
        <v>0</v>
      </c>
      <c r="F8" s="2584" t="s">
        <v>2531</v>
      </c>
    </row>
    <row r="9" spans="1:6">
      <c r="A9" s="2582">
        <f>'数据-取费表'!AN9</f>
        <v>0</v>
      </c>
      <c r="B9" s="2581" t="e">
        <f ca="1">IF(F9="是",'数据-取费表'!AO9,0)</f>
        <v>#REF!</v>
      </c>
      <c r="C9" s="2572" t="s">
        <v>2525</v>
      </c>
      <c r="D9" s="2575"/>
      <c r="E9" s="2583">
        <f>IF(OR(A9=0,F9="否"),0,'数据-取费表'!K9+'数据-取费表'!S9)</f>
        <v>0</v>
      </c>
      <c r="F9" s="2584" t="s">
        <v>2531</v>
      </c>
    </row>
    <row r="10" spans="1:6">
      <c r="A10" s="2582">
        <f>'数据-取费表'!AN10</f>
        <v>0</v>
      </c>
      <c r="B10" s="2581" t="e">
        <f ca="1">IF(F10="是",'数据-取费表'!AO10,0)</f>
        <v>#REF!</v>
      </c>
      <c r="C10" s="2572" t="s">
        <v>2525</v>
      </c>
      <c r="D10" s="2575"/>
      <c r="E10" s="2583">
        <f>IF(OR(A10=0,F10="否"),0,'数据-取费表'!K10+'数据-取费表'!S10)</f>
        <v>0</v>
      </c>
      <c r="F10" s="2584" t="s">
        <v>2531</v>
      </c>
    </row>
    <row r="11" spans="1:6">
      <c r="A11" s="2582">
        <f>'数据-取费表'!AN11</f>
        <v>0</v>
      </c>
      <c r="B11" s="2581" t="e">
        <f ca="1">IF(F11="是",'数据-取费表'!AO11,0)</f>
        <v>#REF!</v>
      </c>
      <c r="C11" s="2572" t="s">
        <v>2525</v>
      </c>
      <c r="D11" s="2575"/>
      <c r="E11" s="2583">
        <f>IF(OR(A11=0,F11="否"),0,'数据-取费表'!K11+'数据-取费表'!S11)</f>
        <v>0</v>
      </c>
      <c r="F11" s="2584" t="s">
        <v>2531</v>
      </c>
    </row>
    <row r="12" spans="1:6">
      <c r="A12" s="2582">
        <f>'数据-取费表'!AN12</f>
        <v>0</v>
      </c>
      <c r="B12" s="2581" t="e">
        <f ca="1">IF(F12="是",'数据-取费表'!AO12,0)</f>
        <v>#REF!</v>
      </c>
      <c r="C12" s="2572" t="s">
        <v>2525</v>
      </c>
      <c r="D12" s="2575"/>
      <c r="E12" s="2583">
        <f>IF(OR(A12=0,F12="否"),0,'数据-取费表'!K12+'数据-取费表'!S12)</f>
        <v>0</v>
      </c>
      <c r="F12" s="2584" t="s">
        <v>2531</v>
      </c>
    </row>
    <row r="13" spans="1:6" ht="15" thickBot="1">
      <c r="A13" s="2585">
        <f>'数据-取费表'!AN13</f>
        <v>0</v>
      </c>
      <c r="B13" s="2581" t="e">
        <f ca="1">IF(F13="是",'数据-取费表'!AO13,0)</f>
        <v>#REF!</v>
      </c>
      <c r="C13" s="2586" t="s">
        <v>2525</v>
      </c>
      <c r="D13" s="2587"/>
      <c r="E13" s="2583">
        <f>IF(OR(A13=0,F13="否"),0,'数据-取费表'!K13+'数据-取费表'!S13)</f>
        <v>0</v>
      </c>
      <c r="F13" s="2584"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8" t="s">
        <v>1076</v>
      </c>
      <c r="B1" s="3209"/>
      <c r="C1" s="3210"/>
      <c r="D1" s="3211">
        <f>SUM(I10,I15,I20,I21,I23)</f>
        <v>0</v>
      </c>
      <c r="E1" s="3211"/>
      <c r="F1" s="3211"/>
      <c r="G1" s="3211"/>
      <c r="H1" s="3211"/>
      <c r="I1" s="3212"/>
    </row>
    <row r="2" spans="1:9">
      <c r="A2" s="3213" t="s">
        <v>1077</v>
      </c>
      <c r="B2" s="3214" t="s">
        <v>1078</v>
      </c>
      <c r="C2" s="3214"/>
      <c r="D2" s="1304" t="s">
        <v>1079</v>
      </c>
      <c r="E2" s="1304" t="s">
        <v>1080</v>
      </c>
      <c r="F2" s="1304" t="s">
        <v>1081</v>
      </c>
      <c r="G2" s="1304" t="s">
        <v>1082</v>
      </c>
      <c r="H2" s="1304" t="s">
        <v>1083</v>
      </c>
      <c r="I2" s="1305" t="s">
        <v>1084</v>
      </c>
    </row>
    <row r="3" spans="1:9">
      <c r="A3" s="3213"/>
      <c r="B3" s="3214" t="s">
        <v>1085</v>
      </c>
      <c r="C3" s="3214"/>
      <c r="D3" s="1306"/>
      <c r="E3" s="1304"/>
      <c r="F3" s="1307"/>
      <c r="G3" s="1307"/>
      <c r="H3" s="1308"/>
      <c r="I3" s="1309">
        <f>ROUND(D3*E3*F3*G3*H3/10000,0)</f>
        <v>0</v>
      </c>
    </row>
    <row r="4" spans="1:9">
      <c r="A4" s="3213"/>
      <c r="B4" s="3214" t="s">
        <v>1086</v>
      </c>
      <c r="C4" s="3214"/>
      <c r="D4" s="1306"/>
      <c r="E4" s="1304"/>
      <c r="F4" s="1307"/>
      <c r="G4" s="1307"/>
      <c r="H4" s="1308"/>
      <c r="I4" s="1309">
        <f t="shared" ref="I4:I9" si="0">ROUND(D4*E4*F4*G4*H4/10000,0)</f>
        <v>0</v>
      </c>
    </row>
    <row r="5" spans="1:9">
      <c r="A5" s="3213"/>
      <c r="B5" s="3214" t="s">
        <v>1087</v>
      </c>
      <c r="C5" s="3214"/>
      <c r="D5" s="1306"/>
      <c r="E5" s="1304"/>
      <c r="F5" s="1307"/>
      <c r="G5" s="1307"/>
      <c r="H5" s="1308"/>
      <c r="I5" s="1309">
        <f t="shared" si="0"/>
        <v>0</v>
      </c>
    </row>
    <row r="6" spans="1:9">
      <c r="A6" s="3213"/>
      <c r="B6" s="3214" t="s">
        <v>1088</v>
      </c>
      <c r="C6" s="3214"/>
      <c r="D6" s="1306"/>
      <c r="E6" s="1304"/>
      <c r="F6" s="1307"/>
      <c r="G6" s="1307"/>
      <c r="H6" s="1308"/>
      <c r="I6" s="1309">
        <f t="shared" si="0"/>
        <v>0</v>
      </c>
    </row>
    <row r="7" spans="1:9">
      <c r="A7" s="3213"/>
      <c r="B7" s="3214" t="s">
        <v>1089</v>
      </c>
      <c r="C7" s="3214"/>
      <c r="D7" s="1306"/>
      <c r="E7" s="1304"/>
      <c r="F7" s="1307"/>
      <c r="G7" s="1307"/>
      <c r="H7" s="1308"/>
      <c r="I7" s="1309">
        <f t="shared" si="0"/>
        <v>0</v>
      </c>
    </row>
    <row r="8" spans="1:9">
      <c r="A8" s="3213"/>
      <c r="B8" s="3214" t="s">
        <v>1090</v>
      </c>
      <c r="C8" s="3214"/>
      <c r="D8" s="1306"/>
      <c r="E8" s="1304"/>
      <c r="F8" s="1307"/>
      <c r="G8" s="1307"/>
      <c r="H8" s="1308"/>
      <c r="I8" s="1309">
        <f t="shared" si="0"/>
        <v>0</v>
      </c>
    </row>
    <row r="9" spans="1:9">
      <c r="A9" s="3213"/>
      <c r="B9" s="3214" t="s">
        <v>1091</v>
      </c>
      <c r="C9" s="3214"/>
      <c r="D9" s="1306"/>
      <c r="E9" s="1304"/>
      <c r="F9" s="1307"/>
      <c r="G9" s="1307"/>
      <c r="H9" s="1308"/>
      <c r="I9" s="1309">
        <f t="shared" si="0"/>
        <v>0</v>
      </c>
    </row>
    <row r="10" spans="1:9">
      <c r="A10" s="3213"/>
      <c r="B10" s="3215" t="s">
        <v>1092</v>
      </c>
      <c r="C10" s="3215"/>
      <c r="D10" s="1310"/>
      <c r="E10" s="1310" t="e">
        <f>ROUND(D1*10000/D10/H9,0)</f>
        <v>#DIV/0!</v>
      </c>
      <c r="F10" s="1311"/>
      <c r="G10" s="1311"/>
      <c r="H10" s="1312"/>
      <c r="I10" s="1313">
        <f>SUM(I3:I9)</f>
        <v>0</v>
      </c>
    </row>
    <row r="11" spans="1:9" ht="14.25">
      <c r="A11" s="3213" t="s">
        <v>1093</v>
      </c>
      <c r="B11" s="3214" t="s">
        <v>1094</v>
      </c>
      <c r="C11" s="3214"/>
      <c r="D11" s="1306" t="s">
        <v>1095</v>
      </c>
      <c r="E11" s="1306" t="s">
        <v>1096</v>
      </c>
      <c r="F11" s="1307" t="s">
        <v>1097</v>
      </c>
      <c r="G11" s="1307" t="s">
        <v>1083</v>
      </c>
      <c r="H11" s="1314" t="s">
        <v>1098</v>
      </c>
      <c r="I11" s="1305" t="s">
        <v>1084</v>
      </c>
    </row>
    <row r="12" spans="1:9">
      <c r="A12" s="3213"/>
      <c r="B12" s="3214" t="s">
        <v>1099</v>
      </c>
      <c r="C12" s="3214"/>
      <c r="D12" s="1306"/>
      <c r="E12" s="1306"/>
      <c r="F12" s="1307"/>
      <c r="G12" s="1308"/>
      <c r="H12" s="1315"/>
      <c r="I12" s="1305">
        <f>ROUND(D12*E12*F12*G12/10000,0)</f>
        <v>0</v>
      </c>
    </row>
    <row r="13" spans="1:9">
      <c r="A13" s="3213"/>
      <c r="B13" s="3214" t="s">
        <v>1100</v>
      </c>
      <c r="C13" s="3214"/>
      <c r="D13" s="1306"/>
      <c r="E13" s="1306"/>
      <c r="F13" s="1307"/>
      <c r="G13" s="1308"/>
      <c r="H13" s="1315"/>
      <c r="I13" s="1305">
        <f>ROUND(D13*E13*F13*G13/10000,0)</f>
        <v>0</v>
      </c>
    </row>
    <row r="14" spans="1:9">
      <c r="A14" s="3213"/>
      <c r="B14" s="3214" t="s">
        <v>1101</v>
      </c>
      <c r="C14" s="3214"/>
      <c r="D14" s="1306"/>
      <c r="E14" s="1306"/>
      <c r="F14" s="1307"/>
      <c r="G14" s="1308"/>
      <c r="H14" s="1315"/>
      <c r="I14" s="1305">
        <f>ROUND(D14*E14*F14*G14/10000,0)</f>
        <v>0</v>
      </c>
    </row>
    <row r="15" spans="1:9">
      <c r="A15" s="3213"/>
      <c r="B15" s="3215" t="s">
        <v>1092</v>
      </c>
      <c r="C15" s="3215"/>
      <c r="D15" s="1310"/>
      <c r="E15" s="1310">
        <f>SUM(E12:E14)</f>
        <v>0</v>
      </c>
      <c r="F15" s="1311"/>
      <c r="G15" s="1308"/>
      <c r="H15" s="1315"/>
      <c r="I15" s="1316">
        <f>SUM(I12:I14)</f>
        <v>0</v>
      </c>
    </row>
    <row r="16" spans="1:9" ht="24">
      <c r="A16" s="3213" t="s">
        <v>1102</v>
      </c>
      <c r="B16" s="3214" t="s">
        <v>1103</v>
      </c>
      <c r="C16" s="3214"/>
      <c r="D16" s="1306" t="s">
        <v>1079</v>
      </c>
      <c r="E16" s="1317" t="s">
        <v>1104</v>
      </c>
      <c r="F16" s="1307" t="s">
        <v>1105</v>
      </c>
      <c r="G16" s="1308" t="s">
        <v>1083</v>
      </c>
      <c r="H16" s="1314" t="s">
        <v>1098</v>
      </c>
      <c r="I16" s="1305" t="s">
        <v>1084</v>
      </c>
    </row>
    <row r="17" spans="1:9" ht="14.25">
      <c r="A17" s="3213"/>
      <c r="B17" s="3214" t="s">
        <v>1106</v>
      </c>
      <c r="C17" s="3214"/>
      <c r="D17" s="1306"/>
      <c r="E17" s="1306"/>
      <c r="F17" s="1307"/>
      <c r="G17" s="1308"/>
      <c r="H17" s="1318"/>
      <c r="I17" s="1319">
        <f>ROUND(D17*E17*F17*G17/10000,0)</f>
        <v>0</v>
      </c>
    </row>
    <row r="18" spans="1:9" ht="14.25">
      <c r="A18" s="3213"/>
      <c r="B18" s="3214" t="s">
        <v>1107</v>
      </c>
      <c r="C18" s="3214"/>
      <c r="D18" s="1306"/>
      <c r="E18" s="1306"/>
      <c r="F18" s="1307"/>
      <c r="G18" s="1308"/>
      <c r="H18" s="1318"/>
      <c r="I18" s="1319">
        <f>ROUND(D18*E18*F18*G18/10000,0)</f>
        <v>0</v>
      </c>
    </row>
    <row r="19" spans="1:9" ht="14.25">
      <c r="A19" s="3213"/>
      <c r="B19" s="3214" t="s">
        <v>1108</v>
      </c>
      <c r="C19" s="3214"/>
      <c r="D19" s="1306"/>
      <c r="E19" s="1306"/>
      <c r="F19" s="1307"/>
      <c r="G19" s="1308"/>
      <c r="H19" s="1318"/>
      <c r="I19" s="1319">
        <f>ROUND(D19*E19*F19*G19/10000,0)</f>
        <v>0</v>
      </c>
    </row>
    <row r="20" spans="1:9">
      <c r="A20" s="3213"/>
      <c r="B20" s="3215" t="s">
        <v>1092</v>
      </c>
      <c r="C20" s="3215"/>
      <c r="D20" s="1310">
        <f>SUM(D17:D19)</f>
        <v>0</v>
      </c>
      <c r="E20" s="1310"/>
      <c r="F20" s="1311"/>
      <c r="G20" s="1308"/>
      <c r="H20" s="1315"/>
      <c r="I20" s="1316">
        <f>SUM(I17:I19)</f>
        <v>0</v>
      </c>
    </row>
    <row r="21" spans="1:9">
      <c r="A21" s="3213" t="s">
        <v>1109</v>
      </c>
      <c r="B21" s="3217"/>
      <c r="C21" s="3217"/>
      <c r="D21" s="3217"/>
      <c r="E21" s="3217"/>
      <c r="F21" s="3217"/>
      <c r="G21" s="3217"/>
      <c r="H21" s="1768">
        <v>0.1</v>
      </c>
      <c r="I21" s="1313">
        <f>ROUND(I10*H21,0)</f>
        <v>0</v>
      </c>
    </row>
    <row r="22" spans="1:9" ht="14.25">
      <c r="A22" s="3218" t="s">
        <v>1110</v>
      </c>
      <c r="B22" s="3219"/>
      <c r="C22" s="3220"/>
      <c r="D22" s="1320" t="s">
        <v>1111</v>
      </c>
      <c r="E22" s="1320" t="s">
        <v>1112</v>
      </c>
      <c r="F22" s="1321" t="s">
        <v>1113</v>
      </c>
      <c r="G22" s="1321" t="s">
        <v>1114</v>
      </c>
      <c r="H22" s="1314" t="s">
        <v>1115</v>
      </c>
      <c r="I22" s="1305" t="s">
        <v>1116</v>
      </c>
    </row>
    <row r="23" spans="1:9" ht="14.25" thickBot="1">
      <c r="A23" s="3221"/>
      <c r="B23" s="3222"/>
      <c r="C23" s="3223"/>
      <c r="D23" s="1322"/>
      <c r="E23" s="1322"/>
      <c r="F23" s="1322"/>
      <c r="G23" s="1323"/>
      <c r="H23" s="1324"/>
      <c r="I23" s="1325">
        <f>ROUND(E23*D23*F23*(1-G23)/10000,0)</f>
        <v>0</v>
      </c>
    </row>
    <row r="26" spans="1:9">
      <c r="A26" s="1326" t="s">
        <v>1117</v>
      </c>
      <c r="B26" s="1326"/>
      <c r="C26" s="1326"/>
      <c r="D26" s="1326"/>
      <c r="E26" s="3224">
        <f>C27-C30-C31-C32</f>
        <v>0</v>
      </c>
      <c r="F26" s="3224"/>
      <c r="G26" s="3224"/>
      <c r="H26" s="1740" t="s">
        <v>1340</v>
      </c>
    </row>
    <row r="27" spans="1:9">
      <c r="A27" s="1327">
        <v>1</v>
      </c>
      <c r="B27" s="1328" t="s">
        <v>1118</v>
      </c>
      <c r="C27" s="1328">
        <f>C28+C29</f>
        <v>0</v>
      </c>
      <c r="D27" s="1328"/>
      <c r="E27" s="3225"/>
      <c r="F27" s="3225"/>
      <c r="G27" s="3225"/>
    </row>
    <row r="28" spans="1:9">
      <c r="A28" s="1329" t="s">
        <v>1119</v>
      </c>
      <c r="B28" s="1328" t="s">
        <v>1120</v>
      </c>
      <c r="C28" s="1328"/>
      <c r="D28" s="1328"/>
      <c r="E28" s="3225"/>
      <c r="F28" s="3225"/>
      <c r="G28" s="322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6"/>
      <c r="F32" s="3216"/>
      <c r="G32" s="3216"/>
    </row>
    <row r="33" spans="1:7" hidden="1">
      <c r="A33" s="3226" t="s">
        <v>1129</v>
      </c>
      <c r="B33" s="3227"/>
      <c r="C33" s="3227"/>
      <c r="D33" s="3228"/>
      <c r="E33" s="3224"/>
      <c r="F33" s="3224"/>
      <c r="G33" s="3224"/>
    </row>
    <row r="34" spans="1:7" hidden="1">
      <c r="A34" s="1331">
        <v>1</v>
      </c>
      <c r="B34" s="1328" t="s">
        <v>1130</v>
      </c>
      <c r="C34" s="1328"/>
      <c r="D34" s="1328"/>
      <c r="E34" s="3225"/>
      <c r="F34" s="3225"/>
      <c r="G34" s="3225"/>
    </row>
    <row r="35" spans="1:7" hidden="1">
      <c r="A35" s="1331">
        <v>2</v>
      </c>
      <c r="B35" s="1328" t="s">
        <v>1131</v>
      </c>
      <c r="C35" s="1328"/>
      <c r="D35" s="1328"/>
      <c r="E35" s="3225"/>
      <c r="F35" s="3225"/>
      <c r="G35" s="3225"/>
    </row>
    <row r="36" spans="1:7" hidden="1">
      <c r="A36" s="1331">
        <v>3</v>
      </c>
      <c r="B36" s="1328" t="s">
        <v>1132</v>
      </c>
      <c r="C36" s="1328"/>
      <c r="D36" s="1328"/>
      <c r="E36" s="3225"/>
      <c r="F36" s="3225"/>
      <c r="G36" s="3225"/>
    </row>
    <row r="37" spans="1:7" hidden="1">
      <c r="A37" s="1331">
        <v>4</v>
      </c>
      <c r="B37" s="1328" t="s">
        <v>1133</v>
      </c>
      <c r="C37" s="1328"/>
      <c r="D37" s="1328"/>
      <c r="E37" s="3225"/>
      <c r="F37" s="3225"/>
      <c r="G37" s="3225"/>
    </row>
    <row r="38" spans="1:7" hidden="1">
      <c r="A38" s="3226" t="s">
        <v>1134</v>
      </c>
      <c r="B38" s="3227"/>
      <c r="C38" s="3227"/>
      <c r="D38" s="3228"/>
      <c r="E38" s="3224"/>
      <c r="F38" s="3224"/>
      <c r="G38" s="32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8" t="s">
        <v>2535</v>
      </c>
      <c r="C1" s="1637" t="s">
        <v>2536</v>
      </c>
      <c r="D1" s="1624"/>
      <c r="E1" s="2589"/>
      <c r="F1" s="2590" t="s">
        <v>2537</v>
      </c>
      <c r="G1" s="1634" t="s">
        <v>2538</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2539</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2540</v>
      </c>
      <c r="D3" s="399">
        <f>IF(D1="",'数据-汇总表'!E3,SUMIF('数据-汇总表'!$C19:$C33,D1,'数据-汇总表'!$E19:$E33))</f>
        <v>6170.06</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2541</v>
      </c>
      <c r="B4" s="402"/>
      <c r="C4" s="3172" t="s">
        <v>2542</v>
      </c>
      <c r="D4" s="3173"/>
      <c r="E4" s="3174" t="s">
        <v>2543</v>
      </c>
      <c r="F4" s="3175"/>
      <c r="G4" s="3172" t="s">
        <v>2544</v>
      </c>
      <c r="H4" s="3173"/>
      <c r="I4" s="3172" t="s">
        <v>2545</v>
      </c>
      <c r="J4" s="3173"/>
      <c r="K4" s="2602" t="s">
        <v>2546</v>
      </c>
      <c r="L4" s="1133"/>
      <c r="M4" s="1134"/>
      <c r="N4" s="1134"/>
      <c r="O4" s="1134"/>
      <c r="P4" s="3176" t="s">
        <v>2547</v>
      </c>
      <c r="Q4" s="3177"/>
      <c r="R4" s="3189" t="s">
        <v>2543</v>
      </c>
      <c r="S4" s="3190"/>
      <c r="T4" s="3189" t="s">
        <v>2544</v>
      </c>
      <c r="U4" s="3190"/>
      <c r="V4" s="3164" t="s">
        <v>2545</v>
      </c>
      <c r="W4" s="3164"/>
      <c r="X4" s="1816"/>
      <c r="Y4" s="3189" t="s">
        <v>2547</v>
      </c>
      <c r="Z4" s="3190"/>
      <c r="AA4" s="3169" t="s">
        <v>2543</v>
      </c>
      <c r="AB4" s="3169" t="s">
        <v>2544</v>
      </c>
      <c r="AC4" s="3169" t="s">
        <v>2545</v>
      </c>
    </row>
    <row r="5" spans="1:29" ht="15">
      <c r="A5" s="404"/>
      <c r="B5" s="405"/>
      <c r="C5" s="3193" t="s">
        <v>2548</v>
      </c>
      <c r="D5" s="3194"/>
      <c r="E5" s="3182" t="s">
        <v>2549</v>
      </c>
      <c r="F5" s="3183"/>
      <c r="G5" s="3193" t="s">
        <v>2550</v>
      </c>
      <c r="H5" s="3194"/>
      <c r="I5" s="3193" t="s">
        <v>2551</v>
      </c>
      <c r="J5" s="3194"/>
      <c r="K5" s="2603"/>
      <c r="L5" s="1133"/>
      <c r="M5" s="1134"/>
      <c r="N5" s="1134"/>
      <c r="O5" s="1134"/>
      <c r="P5" s="3178"/>
      <c r="Q5" s="3179"/>
      <c r="R5" s="3191"/>
      <c r="S5" s="3192"/>
      <c r="T5" s="3191"/>
      <c r="U5" s="3192"/>
      <c r="V5" s="3164"/>
      <c r="W5" s="3164"/>
      <c r="X5" s="1816"/>
      <c r="Y5" s="3191"/>
      <c r="Z5" s="3192"/>
      <c r="AA5" s="3170"/>
      <c r="AB5" s="3170"/>
      <c r="AC5" s="3170"/>
    </row>
    <row r="6" spans="1:29" ht="15.75" thickBot="1">
      <c r="A6" s="406"/>
      <c r="B6" s="407"/>
      <c r="C6" s="3229" t="s">
        <v>2552</v>
      </c>
      <c r="D6" s="3230"/>
      <c r="E6" s="3231" t="s">
        <v>2552</v>
      </c>
      <c r="F6" s="3232"/>
      <c r="G6" s="3229" t="s">
        <v>2552</v>
      </c>
      <c r="H6" s="3230"/>
      <c r="I6" s="3229" t="s">
        <v>2552</v>
      </c>
      <c r="J6" s="3230"/>
      <c r="K6" s="2603" t="s">
        <v>2553</v>
      </c>
      <c r="L6" s="1133"/>
      <c r="M6" s="1134"/>
      <c r="N6" s="1134"/>
      <c r="O6" s="1134"/>
      <c r="P6" s="3180"/>
      <c r="Q6" s="3181"/>
      <c r="R6" s="3191"/>
      <c r="S6" s="3192"/>
      <c r="T6" s="3200"/>
      <c r="U6" s="3201"/>
      <c r="V6" s="3164"/>
      <c r="W6" s="3164"/>
      <c r="X6" s="1816"/>
      <c r="Y6" s="3200"/>
      <c r="Z6" s="3201"/>
      <c r="AA6" s="3171"/>
      <c r="AB6" s="3171"/>
      <c r="AC6" s="3171"/>
    </row>
    <row r="7" spans="1:29" s="117" customFormat="1" ht="15.75" thickBot="1">
      <c r="A7" s="408" t="s">
        <v>2554</v>
      </c>
      <c r="B7" s="409"/>
      <c r="C7" s="410">
        <f>'数据-取费表'!B2</f>
        <v>43154</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84" t="s">
        <v>2555</v>
      </c>
      <c r="Q7" s="3197"/>
      <c r="R7" s="770" t="s">
        <v>23</v>
      </c>
      <c r="S7" s="771">
        <f t="shared" ref="S7:S15" si="0">F7</f>
        <v>0</v>
      </c>
      <c r="T7" s="770" t="s">
        <v>23</v>
      </c>
      <c r="U7" s="771">
        <f t="shared" ref="U7:U15" si="1">H7</f>
        <v>0</v>
      </c>
      <c r="V7" s="770" t="s">
        <v>23</v>
      </c>
      <c r="W7" s="771">
        <f t="shared" ref="W7:W15" si="2">J7</f>
        <v>0</v>
      </c>
      <c r="X7" s="772"/>
      <c r="Y7" s="3184" t="s">
        <v>2555</v>
      </c>
      <c r="Z7" s="3185"/>
      <c r="AA7" s="773" t="e">
        <f>D7/F7</f>
        <v>#DIV/0!</v>
      </c>
      <c r="AB7" s="773" t="e">
        <f>D7/H7</f>
        <v>#DIV/0!</v>
      </c>
      <c r="AC7" s="773" t="e">
        <f>D7/J7</f>
        <v>#DIV/0!</v>
      </c>
    </row>
    <row r="8" spans="1:29" s="117" customFormat="1" ht="15.75" thickBot="1">
      <c r="A8" s="408" t="s">
        <v>2556</v>
      </c>
      <c r="B8" s="409"/>
      <c r="C8" s="414" t="s">
        <v>2557</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84" t="s">
        <v>2558</v>
      </c>
      <c r="Q8" s="3185"/>
      <c r="R8" s="770" t="s">
        <v>23</v>
      </c>
      <c r="S8" s="771">
        <f t="shared" si="0"/>
        <v>0</v>
      </c>
      <c r="T8" s="770" t="s">
        <v>23</v>
      </c>
      <c r="U8" s="771">
        <f t="shared" si="1"/>
        <v>0</v>
      </c>
      <c r="V8" s="770" t="s">
        <v>23</v>
      </c>
      <c r="W8" s="771">
        <f t="shared" si="2"/>
        <v>0</v>
      </c>
      <c r="X8" s="772"/>
      <c r="Y8" s="3184" t="s">
        <v>2558</v>
      </c>
      <c r="Z8" s="3185"/>
      <c r="AA8" s="773" t="e">
        <f t="shared" ref="AA8:AA19" si="3">D8/F8</f>
        <v>#DIV/0!</v>
      </c>
      <c r="AB8" s="773" t="e">
        <f t="shared" ref="AB8:AB19" si="4">D8/H8</f>
        <v>#DIV/0!</v>
      </c>
      <c r="AC8" s="773"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87" t="s">
        <v>2561</v>
      </c>
      <c r="Q9" s="1798" t="str">
        <f t="shared" ref="Q9:Q15" si="6">B9</f>
        <v>用途</v>
      </c>
      <c r="R9" s="770" t="s">
        <v>17</v>
      </c>
      <c r="S9" s="771">
        <f t="shared" si="0"/>
        <v>100</v>
      </c>
      <c r="T9" s="770" t="s">
        <v>17</v>
      </c>
      <c r="U9" s="771">
        <f t="shared" si="1"/>
        <v>100</v>
      </c>
      <c r="V9" s="770" t="s">
        <v>17</v>
      </c>
      <c r="W9" s="771">
        <f t="shared" si="2"/>
        <v>100</v>
      </c>
      <c r="X9" s="772"/>
      <c r="Y9" s="3036"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7"/>
      <c r="Q11" s="1798" t="str">
        <f t="shared" si="6"/>
        <v>容积率</v>
      </c>
      <c r="R11" s="770" t="s">
        <v>21</v>
      </c>
      <c r="S11" s="771" t="e">
        <f t="shared" si="0"/>
        <v>#N/A</v>
      </c>
      <c r="T11" s="770" t="s">
        <v>21</v>
      </c>
      <c r="U11" s="771" t="e">
        <f t="shared" si="1"/>
        <v>#N/A</v>
      </c>
      <c r="V11" s="770" t="s">
        <v>21</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87"/>
      <c r="Q12" s="1798">
        <f t="shared" si="6"/>
        <v>111</v>
      </c>
      <c r="R12" s="770" t="s">
        <v>21</v>
      </c>
      <c r="S12" s="771">
        <f t="shared" si="0"/>
        <v>100</v>
      </c>
      <c r="T12" s="770" t="s">
        <v>21</v>
      </c>
      <c r="U12" s="771">
        <f t="shared" si="1"/>
        <v>100</v>
      </c>
      <c r="V12" s="770" t="s">
        <v>21</v>
      </c>
      <c r="W12" s="771">
        <f t="shared" si="2"/>
        <v>100</v>
      </c>
      <c r="X12" s="772"/>
      <c r="Y12" s="3036"/>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87"/>
      <c r="Q13" s="1798">
        <f t="shared" si="6"/>
        <v>111</v>
      </c>
      <c r="R13" s="770" t="s">
        <v>21</v>
      </c>
      <c r="S13" s="771">
        <f t="shared" si="0"/>
        <v>100</v>
      </c>
      <c r="T13" s="770" t="s">
        <v>21</v>
      </c>
      <c r="U13" s="771">
        <f t="shared" si="1"/>
        <v>100</v>
      </c>
      <c r="V13" s="770" t="s">
        <v>21</v>
      </c>
      <c r="W13" s="771">
        <f t="shared" si="2"/>
        <v>100</v>
      </c>
      <c r="X13" s="772"/>
      <c r="Y13" s="3036"/>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87"/>
      <c r="Q14" s="1798">
        <f t="shared" si="6"/>
        <v>111</v>
      </c>
      <c r="R14" s="770" t="s">
        <v>21</v>
      </c>
      <c r="S14" s="771">
        <f t="shared" si="0"/>
        <v>100</v>
      </c>
      <c r="T14" s="770" t="s">
        <v>21</v>
      </c>
      <c r="U14" s="771">
        <f t="shared" si="1"/>
        <v>100</v>
      </c>
      <c r="V14" s="770" t="s">
        <v>21</v>
      </c>
      <c r="W14" s="771">
        <f t="shared" si="2"/>
        <v>100</v>
      </c>
      <c r="X14" s="772"/>
      <c r="Y14" s="3036"/>
      <c r="Z14" s="55">
        <f t="shared" si="7"/>
        <v>111</v>
      </c>
      <c r="AA14" s="773">
        <f t="shared" si="3"/>
        <v>1</v>
      </c>
      <c r="AB14" s="773">
        <f t="shared" si="4"/>
        <v>1</v>
      </c>
      <c r="AC14" s="773">
        <f t="shared" si="5"/>
        <v>1</v>
      </c>
    </row>
    <row r="15" spans="1:29" ht="99.75">
      <c r="A15" s="440" t="s">
        <v>2565</v>
      </c>
      <c r="B15" s="69" t="s">
        <v>2090</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9" t="s">
        <v>2566</v>
      </c>
      <c r="Q15" s="1813" t="str">
        <f t="shared" si="6"/>
        <v>居住社区成熟度</v>
      </c>
      <c r="R15" s="774" t="s">
        <v>21</v>
      </c>
      <c r="S15" s="775">
        <f t="shared" si="0"/>
        <v>100</v>
      </c>
      <c r="T15" s="774" t="s">
        <v>21</v>
      </c>
      <c r="U15" s="775">
        <f t="shared" si="1"/>
        <v>100</v>
      </c>
      <c r="V15" s="774" t="s">
        <v>21</v>
      </c>
      <c r="W15" s="775">
        <f t="shared" si="2"/>
        <v>100</v>
      </c>
      <c r="X15" s="1816"/>
      <c r="Y15" s="3165" t="s">
        <v>2566</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40"/>
      <c r="Q16" s="1813"/>
      <c r="R16" s="774"/>
      <c r="S16" s="775"/>
      <c r="T16" s="774"/>
      <c r="U16" s="775"/>
      <c r="V16" s="774"/>
      <c r="W16" s="775"/>
      <c r="X16" s="1816"/>
      <c r="Y16" s="3166"/>
      <c r="Z16" s="1817"/>
      <c r="AA16" s="1814">
        <v>1</v>
      </c>
      <c r="AB16" s="1814">
        <v>1</v>
      </c>
      <c r="AC16" s="1814">
        <v>1</v>
      </c>
    </row>
    <row r="17" spans="1:29" ht="85.5">
      <c r="A17" s="428"/>
      <c r="B17" s="451" t="s">
        <v>2102</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0"/>
      <c r="Q17" s="1813" t="str">
        <f>B17</f>
        <v>交通便捷度</v>
      </c>
      <c r="R17" s="774" t="s">
        <v>21</v>
      </c>
      <c r="S17" s="775">
        <f>F17</f>
        <v>100</v>
      </c>
      <c r="T17" s="774" t="s">
        <v>21</v>
      </c>
      <c r="U17" s="775">
        <f>H17</f>
        <v>100</v>
      </c>
      <c r="V17" s="774" t="s">
        <v>21</v>
      </c>
      <c r="W17" s="775">
        <f>J17</f>
        <v>100</v>
      </c>
      <c r="X17" s="1816"/>
      <c r="Y17" s="3166"/>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40"/>
      <c r="Q18" s="1813"/>
      <c r="R18" s="774"/>
      <c r="S18" s="775"/>
      <c r="T18" s="774"/>
      <c r="U18" s="775"/>
      <c r="V18" s="774"/>
      <c r="W18" s="775"/>
      <c r="X18" s="1816"/>
      <c r="Y18" s="3166"/>
      <c r="Z18" s="1817"/>
      <c r="AA18" s="1814">
        <v>1</v>
      </c>
      <c r="AB18" s="1814">
        <v>1</v>
      </c>
      <c r="AC18" s="1814">
        <v>1</v>
      </c>
    </row>
    <row r="19" spans="1:29" ht="42.75">
      <c r="A19" s="428"/>
      <c r="B19" s="451" t="s">
        <v>2100</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0"/>
      <c r="Q19" s="1813" t="str">
        <f>B19</f>
        <v>公共配套设施</v>
      </c>
      <c r="R19" s="774" t="s">
        <v>21</v>
      </c>
      <c r="S19" s="775">
        <f>F19</f>
        <v>100</v>
      </c>
      <c r="T19" s="774" t="s">
        <v>21</v>
      </c>
      <c r="U19" s="775">
        <f>H19</f>
        <v>100</v>
      </c>
      <c r="V19" s="774" t="s">
        <v>21</v>
      </c>
      <c r="W19" s="775">
        <f>J19</f>
        <v>100</v>
      </c>
      <c r="X19" s="1816"/>
      <c r="Y19" s="3166"/>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40"/>
      <c r="Q20" s="1813"/>
      <c r="R20" s="774"/>
      <c r="S20" s="775"/>
      <c r="T20" s="774"/>
      <c r="U20" s="775"/>
      <c r="V20" s="774"/>
      <c r="W20" s="775"/>
      <c r="X20" s="1816"/>
      <c r="Y20" s="3166"/>
      <c r="Z20" s="1817"/>
      <c r="AA20" s="1814">
        <v>1</v>
      </c>
      <c r="AB20" s="1814">
        <v>1</v>
      </c>
      <c r="AC20" s="1814">
        <v>1</v>
      </c>
    </row>
    <row r="21" spans="1:29" ht="28.5">
      <c r="A21" s="428"/>
      <c r="B21" s="1387" t="s">
        <v>2103</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0"/>
      <c r="Q21" s="1813" t="str">
        <f>B21</f>
        <v>基础设施水平</v>
      </c>
      <c r="R21" s="774" t="s">
        <v>17</v>
      </c>
      <c r="S21" s="775">
        <f>F21</f>
        <v>100</v>
      </c>
      <c r="T21" s="774" t="s">
        <v>17</v>
      </c>
      <c r="U21" s="775">
        <f>H21</f>
        <v>100</v>
      </c>
      <c r="V21" s="774" t="s">
        <v>17</v>
      </c>
      <c r="W21" s="775">
        <f>J21</f>
        <v>100</v>
      </c>
      <c r="X21" s="1816"/>
      <c r="Y21" s="316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40"/>
      <c r="Q22" s="1813"/>
      <c r="R22" s="774"/>
      <c r="S22" s="775"/>
      <c r="T22" s="774"/>
      <c r="U22" s="775"/>
      <c r="V22" s="774"/>
      <c r="W22" s="775"/>
      <c r="X22" s="1816"/>
      <c r="Y22" s="3166"/>
      <c r="Z22" s="1817"/>
      <c r="AA22" s="1814">
        <v>1</v>
      </c>
      <c r="AB22" s="1814">
        <v>1</v>
      </c>
      <c r="AC22" s="1814">
        <v>1</v>
      </c>
    </row>
    <row r="23" spans="1:29" ht="57">
      <c r="A23" s="428"/>
      <c r="B23" s="451" t="s">
        <v>2107</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0"/>
      <c r="Q23" s="1813" t="str">
        <f>B23</f>
        <v>自然及人文环境</v>
      </c>
      <c r="R23" s="774" t="s">
        <v>21</v>
      </c>
      <c r="S23" s="775">
        <f>F23</f>
        <v>100</v>
      </c>
      <c r="T23" s="774" t="s">
        <v>21</v>
      </c>
      <c r="U23" s="775">
        <f>H23</f>
        <v>100</v>
      </c>
      <c r="V23" s="774" t="s">
        <v>21</v>
      </c>
      <c r="W23" s="775">
        <f>J23</f>
        <v>100</v>
      </c>
      <c r="X23" s="1816"/>
      <c r="Y23" s="3166"/>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40"/>
      <c r="Q24" s="1813"/>
      <c r="R24" s="774"/>
      <c r="S24" s="775"/>
      <c r="T24" s="774"/>
      <c r="U24" s="775"/>
      <c r="V24" s="774"/>
      <c r="W24" s="775"/>
      <c r="X24" s="1816"/>
      <c r="Y24" s="3166"/>
      <c r="Z24" s="1817"/>
      <c r="AA24" s="1814">
        <v>1</v>
      </c>
      <c r="AB24" s="1814">
        <v>1</v>
      </c>
      <c r="AC24" s="1814">
        <v>1</v>
      </c>
    </row>
    <row r="25" spans="1:29" ht="15">
      <c r="A25" s="428"/>
      <c r="B25" s="422" t="s">
        <v>2567</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4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6"/>
      <c r="Z25" s="1817" t="str">
        <f>Q25</f>
        <v>楼层-1</v>
      </c>
      <c r="AA25" s="1814">
        <f t="shared" ref="AA25:AA46" si="15">D25/F25</f>
        <v>1</v>
      </c>
      <c r="AB25" s="1814">
        <f t="shared" ref="AB25:AB46" si="16">D25/H25</f>
        <v>1</v>
      </c>
      <c r="AC25" s="1814">
        <f t="shared" ref="AC25:AC46" si="17">D25/J25</f>
        <v>1</v>
      </c>
    </row>
    <row r="26" spans="1:29" ht="15">
      <c r="A26" s="428"/>
      <c r="B26" s="422" t="s">
        <v>2568</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40"/>
      <c r="Q26" s="1813" t="str">
        <f t="shared" si="11"/>
        <v>朝向</v>
      </c>
      <c r="R26" s="774" t="s">
        <v>21</v>
      </c>
      <c r="S26" s="775">
        <f t="shared" si="12"/>
        <v>100</v>
      </c>
      <c r="T26" s="774" t="s">
        <v>21</v>
      </c>
      <c r="U26" s="775">
        <f t="shared" si="13"/>
        <v>100</v>
      </c>
      <c r="V26" s="774" t="s">
        <v>21</v>
      </c>
      <c r="W26" s="775">
        <f t="shared" si="14"/>
        <v>100</v>
      </c>
      <c r="X26" s="1816"/>
      <c r="Y26" s="316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40"/>
      <c r="Q27" s="1798">
        <f t="shared" si="11"/>
        <v>111</v>
      </c>
      <c r="R27" s="770" t="s">
        <v>21</v>
      </c>
      <c r="S27" s="771">
        <f t="shared" si="12"/>
        <v>100</v>
      </c>
      <c r="T27" s="770" t="s">
        <v>21</v>
      </c>
      <c r="U27" s="771">
        <f t="shared" si="13"/>
        <v>100</v>
      </c>
      <c r="V27" s="770" t="s">
        <v>21</v>
      </c>
      <c r="W27" s="771">
        <f t="shared" si="14"/>
        <v>100</v>
      </c>
      <c r="X27" s="772"/>
      <c r="Y27" s="316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40"/>
      <c r="Q28" s="1813">
        <f t="shared" si="11"/>
        <v>111</v>
      </c>
      <c r="R28" s="774" t="s">
        <v>21</v>
      </c>
      <c r="S28" s="775">
        <f t="shared" si="12"/>
        <v>100</v>
      </c>
      <c r="T28" s="774" t="s">
        <v>21</v>
      </c>
      <c r="U28" s="775">
        <f t="shared" si="13"/>
        <v>100</v>
      </c>
      <c r="V28" s="774" t="s">
        <v>21</v>
      </c>
      <c r="W28" s="775">
        <f t="shared" si="14"/>
        <v>100</v>
      </c>
      <c r="X28" s="1816"/>
      <c r="Y28" s="316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40"/>
      <c r="Q29" s="1813">
        <f t="shared" si="11"/>
        <v>111</v>
      </c>
      <c r="R29" s="774" t="s">
        <v>21</v>
      </c>
      <c r="S29" s="775">
        <f t="shared" si="12"/>
        <v>100</v>
      </c>
      <c r="T29" s="774" t="s">
        <v>21</v>
      </c>
      <c r="U29" s="775">
        <f t="shared" si="13"/>
        <v>100</v>
      </c>
      <c r="V29" s="774" t="s">
        <v>21</v>
      </c>
      <c r="W29" s="775">
        <f t="shared" si="14"/>
        <v>100</v>
      </c>
      <c r="X29" s="1816"/>
      <c r="Y29" s="316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40"/>
      <c r="Q30" s="1813">
        <f t="shared" si="11"/>
        <v>111</v>
      </c>
      <c r="R30" s="774" t="s">
        <v>21</v>
      </c>
      <c r="S30" s="775">
        <f t="shared" si="12"/>
        <v>100</v>
      </c>
      <c r="T30" s="774" t="s">
        <v>21</v>
      </c>
      <c r="U30" s="775">
        <f t="shared" si="13"/>
        <v>100</v>
      </c>
      <c r="V30" s="774" t="s">
        <v>21</v>
      </c>
      <c r="W30" s="775">
        <f t="shared" si="14"/>
        <v>100</v>
      </c>
      <c r="X30" s="1816"/>
      <c r="Y30" s="316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40"/>
      <c r="Q31" s="1813">
        <f t="shared" si="11"/>
        <v>111</v>
      </c>
      <c r="R31" s="774" t="s">
        <v>21</v>
      </c>
      <c r="S31" s="775">
        <f t="shared" si="12"/>
        <v>100</v>
      </c>
      <c r="T31" s="774" t="s">
        <v>21</v>
      </c>
      <c r="U31" s="775">
        <f t="shared" si="13"/>
        <v>100</v>
      </c>
      <c r="V31" s="774" t="s">
        <v>21</v>
      </c>
      <c r="W31" s="775">
        <f t="shared" si="14"/>
        <v>100</v>
      </c>
      <c r="X31" s="1816"/>
      <c r="Y31" s="3166"/>
      <c r="Z31" s="1817">
        <f t="shared" si="18"/>
        <v>111</v>
      </c>
      <c r="AA31" s="1814">
        <f t="shared" si="15"/>
        <v>1</v>
      </c>
      <c r="AB31" s="1814">
        <f t="shared" si="16"/>
        <v>1</v>
      </c>
      <c r="AC31" s="1814">
        <f t="shared" si="17"/>
        <v>1</v>
      </c>
    </row>
    <row r="32" spans="1:29" ht="15">
      <c r="A32" s="440" t="s">
        <v>2569</v>
      </c>
      <c r="B32" s="71" t="s">
        <v>2570</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35" t="s">
        <v>2571</v>
      </c>
      <c r="Q32" s="1813" t="str">
        <f t="shared" si="11"/>
        <v>建筑类型</v>
      </c>
      <c r="R32" s="774" t="s">
        <v>21</v>
      </c>
      <c r="S32" s="775">
        <f t="shared" si="12"/>
        <v>100</v>
      </c>
      <c r="T32" s="774" t="s">
        <v>21</v>
      </c>
      <c r="U32" s="775">
        <f t="shared" si="13"/>
        <v>100</v>
      </c>
      <c r="V32" s="774" t="s">
        <v>21</v>
      </c>
      <c r="W32" s="775">
        <f t="shared" si="14"/>
        <v>100</v>
      </c>
      <c r="X32" s="1816"/>
      <c r="Y32" s="3168" t="s">
        <v>2571</v>
      </c>
      <c r="Z32" s="1817" t="str">
        <f t="shared" si="18"/>
        <v>建筑类型</v>
      </c>
      <c r="AA32" s="1814">
        <f t="shared" si="15"/>
        <v>1</v>
      </c>
      <c r="AB32" s="1814">
        <f t="shared" si="16"/>
        <v>1</v>
      </c>
      <c r="AC32" s="1814">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36"/>
      <c r="Q33" s="776" t="str">
        <f t="shared" si="11"/>
        <v>项目建筑规模</v>
      </c>
      <c r="R33" s="777" t="s">
        <v>21</v>
      </c>
      <c r="S33" s="778" t="e">
        <f t="shared" si="12"/>
        <v>#N/A</v>
      </c>
      <c r="T33" s="777" t="s">
        <v>21</v>
      </c>
      <c r="U33" s="778" t="e">
        <f t="shared" si="13"/>
        <v>#N/A</v>
      </c>
      <c r="V33" s="777" t="s">
        <v>21</v>
      </c>
      <c r="W33" s="778" t="e">
        <f t="shared" si="14"/>
        <v>#N/A</v>
      </c>
      <c r="X33" s="779"/>
      <c r="Y33" s="3168"/>
      <c r="Z33" s="780" t="str">
        <f t="shared" si="18"/>
        <v>项目建筑规模</v>
      </c>
      <c r="AA33" s="1814" t="e">
        <f t="shared" si="15"/>
        <v>#N/A</v>
      </c>
      <c r="AB33" s="1814" t="e">
        <f t="shared" si="16"/>
        <v>#N/A</v>
      </c>
      <c r="AC33" s="1814" t="e">
        <f t="shared" si="17"/>
        <v>#N/A</v>
      </c>
    </row>
    <row r="34" spans="1:29" ht="15">
      <c r="A34" s="472"/>
      <c r="B34" s="422" t="s">
        <v>2573</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36"/>
      <c r="Q34" s="1813" t="str">
        <f t="shared" si="11"/>
        <v>建筑结构</v>
      </c>
      <c r="R34" s="774" t="s">
        <v>21</v>
      </c>
      <c r="S34" s="775">
        <f t="shared" si="12"/>
        <v>100</v>
      </c>
      <c r="T34" s="774" t="s">
        <v>21</v>
      </c>
      <c r="U34" s="775">
        <f t="shared" si="13"/>
        <v>100</v>
      </c>
      <c r="V34" s="774" t="s">
        <v>21</v>
      </c>
      <c r="W34" s="775">
        <f t="shared" si="14"/>
        <v>100</v>
      </c>
      <c r="X34" s="1816"/>
      <c r="Y34" s="3168"/>
      <c r="Z34" s="1817" t="str">
        <f t="shared" si="18"/>
        <v>建筑结构</v>
      </c>
      <c r="AA34" s="1814">
        <f t="shared" si="15"/>
        <v>1</v>
      </c>
      <c r="AB34" s="1814">
        <f t="shared" si="16"/>
        <v>1</v>
      </c>
      <c r="AC34" s="1814">
        <f t="shared" si="17"/>
        <v>1</v>
      </c>
    </row>
    <row r="35" spans="1:29" ht="15">
      <c r="A35" s="472"/>
      <c r="B35" s="422" t="s">
        <v>2574</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36"/>
      <c r="Q35" s="1813" t="str">
        <f t="shared" si="11"/>
        <v>建筑品质</v>
      </c>
      <c r="R35" s="774" t="s">
        <v>21</v>
      </c>
      <c r="S35" s="775">
        <f t="shared" si="12"/>
        <v>100</v>
      </c>
      <c r="T35" s="774" t="s">
        <v>21</v>
      </c>
      <c r="U35" s="775">
        <f t="shared" si="13"/>
        <v>100</v>
      </c>
      <c r="V35" s="774" t="s">
        <v>21</v>
      </c>
      <c r="W35" s="775">
        <f t="shared" si="14"/>
        <v>100</v>
      </c>
      <c r="X35" s="1816"/>
      <c r="Y35" s="3168"/>
      <c r="Z35" s="1817" t="str">
        <f t="shared" si="18"/>
        <v>建筑品质</v>
      </c>
      <c r="AA35" s="1814">
        <f t="shared" si="15"/>
        <v>1</v>
      </c>
      <c r="AB35" s="1814">
        <f t="shared" si="16"/>
        <v>1</v>
      </c>
      <c r="AC35" s="1814">
        <f t="shared" si="17"/>
        <v>1</v>
      </c>
    </row>
    <row r="36" spans="1:29" ht="15">
      <c r="A36" s="472"/>
      <c r="B36" s="422" t="s">
        <v>2575</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36"/>
      <c r="Q36" s="1813" t="str">
        <f t="shared" si="11"/>
        <v>公共部分装修</v>
      </c>
      <c r="R36" s="774" t="s">
        <v>21</v>
      </c>
      <c r="S36" s="775">
        <f t="shared" si="12"/>
        <v>100</v>
      </c>
      <c r="T36" s="774" t="s">
        <v>21</v>
      </c>
      <c r="U36" s="775">
        <f t="shared" si="13"/>
        <v>100</v>
      </c>
      <c r="V36" s="774" t="s">
        <v>21</v>
      </c>
      <c r="W36" s="775">
        <f t="shared" si="14"/>
        <v>100</v>
      </c>
      <c r="X36" s="1816"/>
      <c r="Y36" s="3168"/>
      <c r="Z36" s="1817" t="str">
        <f t="shared" si="18"/>
        <v>公共部分装修</v>
      </c>
      <c r="AA36" s="1814">
        <f t="shared" si="15"/>
        <v>1</v>
      </c>
      <c r="AB36" s="1814">
        <f t="shared" si="16"/>
        <v>1</v>
      </c>
      <c r="AC36" s="1814">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6"/>
      <c r="Q37" s="1798" t="str">
        <f t="shared" si="11"/>
        <v>成新度</v>
      </c>
      <c r="R37" s="770" t="s">
        <v>21</v>
      </c>
      <c r="S37" s="771" t="e">
        <f t="shared" si="12"/>
        <v>#N/A</v>
      </c>
      <c r="T37" s="770" t="s">
        <v>21</v>
      </c>
      <c r="U37" s="771" t="e">
        <f t="shared" si="13"/>
        <v>#N/A</v>
      </c>
      <c r="V37" s="770" t="s">
        <v>21</v>
      </c>
      <c r="W37" s="771" t="e">
        <f t="shared" si="14"/>
        <v>#N/A</v>
      </c>
      <c r="X37" s="772"/>
      <c r="Y37" s="3168"/>
      <c r="Z37" s="55" t="str">
        <f t="shared" si="18"/>
        <v>成新度</v>
      </c>
      <c r="AA37" s="773" t="e">
        <f t="shared" si="15"/>
        <v>#N/A</v>
      </c>
      <c r="AB37" s="773" t="e">
        <f t="shared" si="16"/>
        <v>#N/A</v>
      </c>
      <c r="AC37" s="773" t="e">
        <f t="shared" si="17"/>
        <v>#N/A</v>
      </c>
    </row>
    <row r="38" spans="1:29" ht="15">
      <c r="A38" s="472"/>
      <c r="B38" s="422" t="s">
        <v>2577</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36" t="s">
        <v>2571</v>
      </c>
      <c r="Q38" s="1813" t="str">
        <f t="shared" si="11"/>
        <v>物业管理</v>
      </c>
      <c r="R38" s="774" t="s">
        <v>21</v>
      </c>
      <c r="S38" s="775">
        <f t="shared" si="12"/>
        <v>100</v>
      </c>
      <c r="T38" s="774" t="s">
        <v>21</v>
      </c>
      <c r="U38" s="775">
        <f t="shared" si="13"/>
        <v>100</v>
      </c>
      <c r="V38" s="774" t="s">
        <v>21</v>
      </c>
      <c r="W38" s="775">
        <f t="shared" si="14"/>
        <v>100</v>
      </c>
      <c r="X38" s="1816"/>
      <c r="Y38" s="3168" t="s">
        <v>2571</v>
      </c>
      <c r="Z38" s="1817" t="str">
        <f t="shared" si="18"/>
        <v>物业管理</v>
      </c>
      <c r="AA38" s="1814">
        <f t="shared" si="15"/>
        <v>1</v>
      </c>
      <c r="AB38" s="1814">
        <f t="shared" si="16"/>
        <v>1</v>
      </c>
      <c r="AC38" s="1814">
        <f t="shared" si="17"/>
        <v>1</v>
      </c>
    </row>
    <row r="39" spans="1:29" ht="15">
      <c r="A39" s="472"/>
      <c r="B39" s="422" t="s">
        <v>2578</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36"/>
      <c r="Q39" s="1813" t="str">
        <f t="shared" si="11"/>
        <v>市政基础设施</v>
      </c>
      <c r="R39" s="774" t="s">
        <v>21</v>
      </c>
      <c r="S39" s="775">
        <f t="shared" si="12"/>
        <v>100</v>
      </c>
      <c r="T39" s="774" t="s">
        <v>21</v>
      </c>
      <c r="U39" s="775">
        <f t="shared" si="13"/>
        <v>100</v>
      </c>
      <c r="V39" s="774" t="s">
        <v>21</v>
      </c>
      <c r="W39" s="775">
        <f t="shared" si="14"/>
        <v>100</v>
      </c>
      <c r="X39" s="1816"/>
      <c r="Y39" s="3168"/>
      <c r="Z39" s="1817" t="str">
        <f t="shared" si="18"/>
        <v>市政基础设施</v>
      </c>
      <c r="AA39" s="1814">
        <f t="shared" si="15"/>
        <v>1</v>
      </c>
      <c r="AB39" s="1814">
        <f t="shared" si="16"/>
        <v>1</v>
      </c>
      <c r="AC39" s="1814">
        <f t="shared" si="17"/>
        <v>1</v>
      </c>
    </row>
    <row r="40" spans="1:29" ht="15">
      <c r="A40" s="472"/>
      <c r="B40" s="422" t="s">
        <v>2579</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36"/>
      <c r="Q40" s="1813" t="str">
        <f t="shared" si="11"/>
        <v>房型</v>
      </c>
      <c r="R40" s="774" t="s">
        <v>21</v>
      </c>
      <c r="S40" s="775">
        <f t="shared" si="12"/>
        <v>100</v>
      </c>
      <c r="T40" s="774" t="s">
        <v>21</v>
      </c>
      <c r="U40" s="775">
        <f t="shared" si="13"/>
        <v>100</v>
      </c>
      <c r="V40" s="774" t="s">
        <v>21</v>
      </c>
      <c r="W40" s="775">
        <f t="shared" si="14"/>
        <v>100</v>
      </c>
      <c r="X40" s="1816"/>
      <c r="Y40" s="3168"/>
      <c r="Z40" s="1817" t="str">
        <f t="shared" si="18"/>
        <v>房型</v>
      </c>
      <c r="AA40" s="1814">
        <f t="shared" si="15"/>
        <v>1</v>
      </c>
      <c r="AB40" s="1814">
        <f t="shared" si="16"/>
        <v>1</v>
      </c>
      <c r="AC40" s="1814">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36"/>
      <c r="Q41" s="776" t="str">
        <f t="shared" si="11"/>
        <v>单套/主力户型建筑面积</v>
      </c>
      <c r="R41" s="777" t="s">
        <v>21</v>
      </c>
      <c r="S41" s="778">
        <f t="shared" si="12"/>
        <v>100</v>
      </c>
      <c r="T41" s="777" t="s">
        <v>21</v>
      </c>
      <c r="U41" s="778">
        <f t="shared" si="13"/>
        <v>100</v>
      </c>
      <c r="V41" s="777" t="s">
        <v>21</v>
      </c>
      <c r="W41" s="778">
        <f t="shared" si="14"/>
        <v>100</v>
      </c>
      <c r="X41" s="779"/>
      <c r="Y41" s="3168"/>
      <c r="Z41" s="780" t="str">
        <f t="shared" si="18"/>
        <v>单套/主力户型建筑面积</v>
      </c>
      <c r="AA41" s="1814">
        <f t="shared" si="15"/>
        <v>1</v>
      </c>
      <c r="AB41" s="1814">
        <f t="shared" si="16"/>
        <v>1</v>
      </c>
      <c r="AC41" s="1814">
        <f t="shared" si="17"/>
        <v>1</v>
      </c>
    </row>
    <row r="42" spans="1:29" ht="15">
      <c r="A42" s="472"/>
      <c r="B42" s="422" t="s">
        <v>2581</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36"/>
      <c r="Q42" s="1813" t="str">
        <f t="shared" si="11"/>
        <v>内部装修</v>
      </c>
      <c r="R42" s="774" t="s">
        <v>21</v>
      </c>
      <c r="S42" s="775">
        <f t="shared" si="12"/>
        <v>100</v>
      </c>
      <c r="T42" s="774" t="s">
        <v>21</v>
      </c>
      <c r="U42" s="775">
        <f t="shared" si="13"/>
        <v>100</v>
      </c>
      <c r="V42" s="774" t="s">
        <v>21</v>
      </c>
      <c r="W42" s="775">
        <f t="shared" si="14"/>
        <v>100</v>
      </c>
      <c r="X42" s="1816"/>
      <c r="Y42" s="3168"/>
      <c r="Z42" s="1817" t="str">
        <f t="shared" si="18"/>
        <v>内部装修</v>
      </c>
      <c r="AA42" s="1814">
        <f t="shared" si="15"/>
        <v>1</v>
      </c>
      <c r="AB42" s="1814">
        <f t="shared" si="16"/>
        <v>1</v>
      </c>
      <c r="AC42" s="1814">
        <f t="shared" si="17"/>
        <v>1</v>
      </c>
    </row>
    <row r="43" spans="1:29" ht="15">
      <c r="A43" s="472"/>
      <c r="B43" s="422" t="s">
        <v>2582</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36"/>
      <c r="Q43" s="1813" t="str">
        <f t="shared" si="11"/>
        <v>内部装修维护情况</v>
      </c>
      <c r="R43" s="774" t="s">
        <v>21</v>
      </c>
      <c r="S43" s="775">
        <f t="shared" si="12"/>
        <v>100</v>
      </c>
      <c r="T43" s="774" t="s">
        <v>21</v>
      </c>
      <c r="U43" s="775">
        <f t="shared" si="13"/>
        <v>100</v>
      </c>
      <c r="V43" s="774" t="s">
        <v>21</v>
      </c>
      <c r="W43" s="775">
        <f t="shared" si="14"/>
        <v>100</v>
      </c>
      <c r="X43" s="1816"/>
      <c r="Y43" s="316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36"/>
      <c r="Q44" s="1798">
        <f t="shared" si="11"/>
        <v>111</v>
      </c>
      <c r="R44" s="770" t="s">
        <v>21</v>
      </c>
      <c r="S44" s="771">
        <f t="shared" si="12"/>
        <v>100</v>
      </c>
      <c r="T44" s="770" t="s">
        <v>21</v>
      </c>
      <c r="U44" s="771">
        <f t="shared" si="13"/>
        <v>100</v>
      </c>
      <c r="V44" s="770" t="s">
        <v>21</v>
      </c>
      <c r="W44" s="771">
        <f t="shared" si="14"/>
        <v>100</v>
      </c>
      <c r="X44" s="772"/>
      <c r="Y44" s="316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36"/>
      <c r="Q45" s="1813">
        <f t="shared" si="11"/>
        <v>111</v>
      </c>
      <c r="R45" s="774" t="s">
        <v>21</v>
      </c>
      <c r="S45" s="775">
        <f t="shared" si="12"/>
        <v>100</v>
      </c>
      <c r="T45" s="774" t="s">
        <v>21</v>
      </c>
      <c r="U45" s="775">
        <f t="shared" si="13"/>
        <v>100</v>
      </c>
      <c r="V45" s="774" t="s">
        <v>21</v>
      </c>
      <c r="W45" s="775">
        <f t="shared" si="14"/>
        <v>100</v>
      </c>
      <c r="X45" s="1816"/>
      <c r="Y45" s="3168"/>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37"/>
      <c r="Q46" s="1813">
        <f t="shared" si="11"/>
        <v>111</v>
      </c>
      <c r="R46" s="774" t="s">
        <v>20</v>
      </c>
      <c r="S46" s="775">
        <f t="shared" si="12"/>
        <v>100</v>
      </c>
      <c r="T46" s="774" t="s">
        <v>20</v>
      </c>
      <c r="U46" s="775">
        <f t="shared" si="13"/>
        <v>100</v>
      </c>
      <c r="V46" s="774" t="s">
        <v>20</v>
      </c>
      <c r="W46" s="775">
        <f t="shared" si="14"/>
        <v>100</v>
      </c>
      <c r="X46" s="1816"/>
      <c r="Y46" s="3238"/>
      <c r="Z46" s="1817">
        <f t="shared" si="18"/>
        <v>111</v>
      </c>
      <c r="AA46" s="1814">
        <f t="shared" si="15"/>
        <v>1</v>
      </c>
      <c r="AB46" s="1814">
        <f t="shared" si="16"/>
        <v>1</v>
      </c>
      <c r="AC46" s="1814">
        <f t="shared" si="17"/>
        <v>1</v>
      </c>
    </row>
    <row r="47" spans="1:29" ht="15">
      <c r="A47" s="479" t="s">
        <v>2583</v>
      </c>
      <c r="B47" s="480"/>
      <c r="C47" s="1410" t="s">
        <v>19</v>
      </c>
      <c r="D47" s="1411"/>
      <c r="E47" s="1412"/>
      <c r="F47" s="1413"/>
      <c r="G47" s="1414"/>
      <c r="H47" s="1415"/>
      <c r="I47" s="1412"/>
      <c r="J47" s="1415"/>
      <c r="K47" s="2627"/>
      <c r="L47" s="1146"/>
      <c r="M47" s="1147"/>
      <c r="N47" s="1134"/>
      <c r="O47" s="1147"/>
      <c r="P47" s="3162" t="str">
        <f>A47</f>
        <v>成交单价（元/平方米）</v>
      </c>
      <c r="Q47" s="3162"/>
      <c r="R47" s="3234">
        <f>E47</f>
        <v>0</v>
      </c>
      <c r="S47" s="3234"/>
      <c r="T47" s="3234">
        <f>G47</f>
        <v>0</v>
      </c>
      <c r="U47" s="3234"/>
      <c r="V47" s="3234">
        <f>I47</f>
        <v>0</v>
      </c>
      <c r="W47" s="3234"/>
      <c r="X47" s="759"/>
      <c r="Y47" s="781"/>
      <c r="Z47" s="759"/>
      <c r="AA47" s="759"/>
      <c r="AB47" s="759"/>
      <c r="AC47" s="759"/>
    </row>
    <row r="48" spans="1:29" ht="15.75" thickBot="1">
      <c r="A48" s="486" t="s">
        <v>2584</v>
      </c>
      <c r="B48" s="487"/>
      <c r="C48" s="1416" t="e">
        <f>R49</f>
        <v>#DIV/0!</v>
      </c>
      <c r="D48" s="1417"/>
      <c r="E48" s="1418" t="e">
        <f>R48</f>
        <v>#DIV/0!</v>
      </c>
      <c r="F48" s="1418"/>
      <c r="G48" s="1416" t="e">
        <f>T48</f>
        <v>#DIV/0!</v>
      </c>
      <c r="H48" s="1417"/>
      <c r="I48" s="1418" t="e">
        <f>V48</f>
        <v>#DIV/0!</v>
      </c>
      <c r="J48" s="1417"/>
      <c r="K48" s="2628"/>
      <c r="L48" s="1146"/>
      <c r="M48" s="1147"/>
      <c r="N48" s="1147"/>
      <c r="O48" s="1147"/>
      <c r="P48" s="3162" t="str">
        <f>A48</f>
        <v>比较价值（元/平方米）</v>
      </c>
      <c r="Q48" s="3162"/>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2585</v>
      </c>
      <c r="B49" s="493"/>
      <c r="C49" s="1419" t="e">
        <f>R49</f>
        <v>#DIV/0!</v>
      </c>
      <c r="D49" s="1420"/>
      <c r="E49" s="1420"/>
      <c r="F49" s="1420"/>
      <c r="G49" s="1420"/>
      <c r="H49" s="1420"/>
      <c r="I49" s="1420"/>
      <c r="J49" s="1420"/>
      <c r="K49" s="2629"/>
      <c r="L49" s="1146"/>
      <c r="M49" s="1147"/>
      <c r="N49" s="1147"/>
      <c r="O49" s="1147"/>
      <c r="P49" s="3159" t="str">
        <f>A49</f>
        <v>估价对象XX用房的比较价值（楼面单价，元/平方米）</v>
      </c>
      <c r="Q49" s="3160"/>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2589</v>
      </c>
      <c r="B57" s="759"/>
      <c r="C57" s="764"/>
      <c r="D57" s="764"/>
      <c r="E57" s="764"/>
      <c r="F57" s="765"/>
      <c r="G57" s="765"/>
      <c r="H57" s="764"/>
      <c r="I57" s="764"/>
      <c r="J57" s="764"/>
      <c r="K57" s="1163"/>
      <c r="L57" s="1164"/>
      <c r="M57" s="1162"/>
      <c r="N57" s="1162"/>
      <c r="O57" s="1162"/>
      <c r="P57" s="2632"/>
      <c r="Q57" s="504"/>
    </row>
    <row r="58" spans="1:29" s="508" customFormat="1" ht="15">
      <c r="A58" s="505" t="s">
        <v>2590</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2592</v>
      </c>
      <c r="B61" s="510"/>
      <c r="C61" s="522" t="s">
        <v>2593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2594</v>
      </c>
      <c r="B63" s="528" t="s">
        <v>2560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2103</v>
      </c>
      <c r="C82" s="539" t="s">
        <v>2610</v>
      </c>
      <c r="D82" s="539" t="s">
        <v>2611</v>
      </c>
      <c r="E82" s="539" t="s">
        <v>2612</v>
      </c>
      <c r="F82" s="539" t="s">
        <v>2613</v>
      </c>
      <c r="G82" s="539" t="s">
        <v>2614</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2617</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2569</v>
      </c>
      <c r="B100" s="528" t="s">
        <v>2618</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2620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2621</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2622</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2625</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2580</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2628</v>
      </c>
    </row>
    <row r="137" spans="1:17" ht="15">
      <c r="B137" s="2644" t="s">
        <v>2629</v>
      </c>
      <c r="C137" s="2645"/>
      <c r="D137" s="2645"/>
      <c r="E137" s="2645"/>
      <c r="F137" s="2645"/>
      <c r="G137" s="2646"/>
      <c r="H137" s="2647"/>
      <c r="I137" s="2648" t="s">
        <v>2630</v>
      </c>
      <c r="J137" s="2645"/>
      <c r="K137" s="2649"/>
    </row>
    <row r="138" spans="1:17" ht="15">
      <c r="B138" s="2650"/>
      <c r="C138" s="146" t="s">
        <v>2631</v>
      </c>
      <c r="D138" s="146" t="s">
        <v>2632</v>
      </c>
      <c r="E138" s="2651" t="s">
        <v>2633</v>
      </c>
      <c r="F138" s="2652" t="s">
        <v>2634</v>
      </c>
      <c r="G138" s="146" t="s">
        <v>2632</v>
      </c>
      <c r="H138" s="147" t="s">
        <v>2633</v>
      </c>
      <c r="I138" s="2653"/>
      <c r="J138" s="146" t="s">
        <v>2635</v>
      </c>
      <c r="K138" s="147" t="s">
        <v>2636</v>
      </c>
    </row>
    <row r="139" spans="1:17" ht="15">
      <c r="B139" s="1087">
        <v>6</v>
      </c>
      <c r="C139" s="1088">
        <v>96</v>
      </c>
      <c r="D139" s="2654" t="s">
        <v>2637</v>
      </c>
      <c r="E139" s="1089">
        <v>100</v>
      </c>
      <c r="F139" s="1090">
        <v>102.5</v>
      </c>
      <c r="G139" s="2654" t="s">
        <v>2637</v>
      </c>
      <c r="H139" s="1091">
        <v>105</v>
      </c>
      <c r="I139" s="2655" t="s">
        <v>2638</v>
      </c>
      <c r="J139" s="1088">
        <v>20</v>
      </c>
      <c r="K139" s="1092">
        <f>C145/(J139-2)</f>
        <v>4.0555555555555553E-3</v>
      </c>
    </row>
    <row r="140" spans="1:17" ht="15">
      <c r="B140" s="1093">
        <v>5</v>
      </c>
      <c r="C140" s="1094">
        <v>100</v>
      </c>
      <c r="D140" s="1094"/>
      <c r="E140" s="1095"/>
      <c r="F140" s="1096">
        <v>102</v>
      </c>
      <c r="G140" s="1094"/>
      <c r="H140" s="1097"/>
      <c r="I140" s="2656" t="s">
        <v>2639</v>
      </c>
      <c r="J140" s="315">
        <f>ROUNDUP((J139-1)/2,0)</f>
        <v>10</v>
      </c>
      <c r="K140" s="1098">
        <v>100</v>
      </c>
    </row>
    <row r="141" spans="1:17" ht="15">
      <c r="B141" s="1093">
        <v>4</v>
      </c>
      <c r="C141" s="1094">
        <v>102</v>
      </c>
      <c r="D141" s="1094"/>
      <c r="E141" s="1095"/>
      <c r="F141" s="1096">
        <v>101.5</v>
      </c>
      <c r="G141" s="1094"/>
      <c r="H141" s="1097"/>
      <c r="I141" s="2656" t="s">
        <v>2640</v>
      </c>
      <c r="J141" s="315">
        <v>1</v>
      </c>
      <c r="K141" s="1099">
        <f>ROUND(100+(J141-J140)*K139*100,1)</f>
        <v>96.4</v>
      </c>
    </row>
    <row r="142" spans="1:17" ht="15">
      <c r="B142" s="1093">
        <v>3</v>
      </c>
      <c r="C142" s="1094">
        <v>103</v>
      </c>
      <c r="D142" s="1094"/>
      <c r="E142" s="1095"/>
      <c r="F142" s="1096">
        <v>101</v>
      </c>
      <c r="G142" s="1094"/>
      <c r="H142" s="1097"/>
      <c r="I142" s="2656" t="s">
        <v>2641</v>
      </c>
      <c r="J142" s="315">
        <f>J139</f>
        <v>20</v>
      </c>
      <c r="K142" s="1100">
        <v>95</v>
      </c>
    </row>
    <row r="143" spans="1:17" ht="15">
      <c r="B143" s="1093">
        <v>2</v>
      </c>
      <c r="C143" s="1094">
        <v>100</v>
      </c>
      <c r="D143" s="1094"/>
      <c r="E143" s="1095"/>
      <c r="F143" s="1096">
        <v>100.5</v>
      </c>
      <c r="G143" s="1094"/>
      <c r="H143" s="1097"/>
      <c r="I143" s="2656" t="s">
        <v>2642</v>
      </c>
      <c r="J143" s="1094">
        <v>15</v>
      </c>
      <c r="K143" s="1099">
        <f>ROUND(100+(J143-J140)*K139*100,1)</f>
        <v>102</v>
      </c>
    </row>
    <row r="144" spans="1:17" ht="15">
      <c r="B144" s="1093">
        <v>1</v>
      </c>
      <c r="C144" s="1094">
        <v>98</v>
      </c>
      <c r="D144" s="2657" t="s">
        <v>2643</v>
      </c>
      <c r="E144" s="1095">
        <v>102</v>
      </c>
      <c r="F144" s="1101">
        <v>100</v>
      </c>
      <c r="G144" s="2657" t="s">
        <v>2643</v>
      </c>
      <c r="H144" s="1097">
        <v>105</v>
      </c>
      <c r="I144" s="2656" t="s">
        <v>2642</v>
      </c>
      <c r="J144" s="1094">
        <v>18</v>
      </c>
      <c r="K144" s="1099">
        <f>ROUND(100+(J144-J140)*K139*100,1)</f>
        <v>103.2</v>
      </c>
    </row>
    <row r="145" spans="2:11" ht="15.75" thickBot="1">
      <c r="B145" s="2658" t="s">
        <v>2644</v>
      </c>
      <c r="C145" s="1102">
        <f>ROUND(MAX(C139:C144)/MIN(C139:C144)-1,3)</f>
        <v>7.2999999999999995E-2</v>
      </c>
      <c r="D145" s="1103"/>
      <c r="E145" s="1103"/>
      <c r="F145" s="2659" t="s">
        <v>2645</v>
      </c>
      <c r="G145" s="2660"/>
      <c r="H145" s="2661"/>
      <c r="I145" s="2662" t="s">
        <v>2642</v>
      </c>
      <c r="J145" s="1104">
        <v>8</v>
      </c>
      <c r="K145" s="1105">
        <f>ROUND(100+(J145-J140)*K139*100,1)</f>
        <v>99.2</v>
      </c>
    </row>
    <row r="147" spans="2:11">
      <c r="B147" s="2643" t="s">
        <v>2646</v>
      </c>
    </row>
    <row r="148" spans="2:11">
      <c r="B148" s="2643" t="s">
        <v>2647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8" t="s">
        <v>2648</v>
      </c>
      <c r="C1" s="1637" t="s">
        <v>2536</v>
      </c>
      <c r="D1" s="1624"/>
      <c r="E1" s="2663"/>
      <c r="F1" s="2590"/>
      <c r="G1" s="1634" t="s">
        <v>2649</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2650</v>
      </c>
      <c r="D3" s="399">
        <f>IF(D1="",'数据-汇总表'!E3,SUMIF('数据-汇总表'!$C19:$C33,D1,'数据-汇总表'!$E19:$E33))</f>
        <v>6170.06</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9" t="s">
        <v>2653</v>
      </c>
      <c r="S4" s="3190"/>
      <c r="T4" s="3189" t="s">
        <v>2654</v>
      </c>
      <c r="U4" s="3190"/>
      <c r="V4" s="3164" t="s">
        <v>2655</v>
      </c>
      <c r="W4" s="3164"/>
      <c r="X4" s="1816"/>
      <c r="Y4" s="3189" t="s">
        <v>2657</v>
      </c>
      <c r="Z4" s="3190"/>
      <c r="AA4" s="3169" t="s">
        <v>2653</v>
      </c>
      <c r="AB4" s="3164" t="s">
        <v>2654</v>
      </c>
      <c r="AC4" s="3169" t="s">
        <v>2655</v>
      </c>
    </row>
    <row r="5" spans="1:29" ht="15">
      <c r="A5" s="404"/>
      <c r="B5" s="405"/>
      <c r="C5" s="3193" t="s">
        <v>2548</v>
      </c>
      <c r="D5" s="3194"/>
      <c r="E5" s="3182" t="s">
        <v>2549</v>
      </c>
      <c r="F5" s="3183"/>
      <c r="G5" s="3193" t="s">
        <v>2550</v>
      </c>
      <c r="H5" s="3194"/>
      <c r="I5" s="3193" t="s">
        <v>2551</v>
      </c>
      <c r="J5" s="3194"/>
      <c r="K5" s="610"/>
      <c r="L5" s="1133"/>
      <c r="M5" s="1134"/>
      <c r="N5" s="1134"/>
      <c r="O5" s="1134"/>
      <c r="P5" s="3178"/>
      <c r="Q5" s="3179"/>
      <c r="R5" s="3191"/>
      <c r="S5" s="3192"/>
      <c r="T5" s="3191"/>
      <c r="U5" s="3192"/>
      <c r="V5" s="3164"/>
      <c r="W5" s="3164"/>
      <c r="X5" s="1816"/>
      <c r="Y5" s="3191"/>
      <c r="Z5" s="3192"/>
      <c r="AA5" s="3170"/>
      <c r="AB5" s="3164"/>
      <c r="AC5" s="3170"/>
    </row>
    <row r="6" spans="1:29" ht="15.75" thickBot="1">
      <c r="A6" s="406"/>
      <c r="B6" s="407"/>
      <c r="C6" s="3229" t="s">
        <v>2552</v>
      </c>
      <c r="D6" s="3230"/>
      <c r="E6" s="3231" t="s">
        <v>2552</v>
      </c>
      <c r="F6" s="3232"/>
      <c r="G6" s="3229" t="s">
        <v>2552</v>
      </c>
      <c r="H6" s="3230"/>
      <c r="I6" s="3229" t="s">
        <v>2552</v>
      </c>
      <c r="J6" s="3230"/>
      <c r="K6" s="610" t="s">
        <v>2553</v>
      </c>
      <c r="L6" s="1133"/>
      <c r="M6" s="1134"/>
      <c r="N6" s="1134"/>
      <c r="O6" s="1134"/>
      <c r="P6" s="3180"/>
      <c r="Q6" s="3181"/>
      <c r="R6" s="3191"/>
      <c r="S6" s="3192"/>
      <c r="T6" s="3200"/>
      <c r="U6" s="3201"/>
      <c r="V6" s="3164"/>
      <c r="W6" s="3164"/>
      <c r="X6" s="1816"/>
      <c r="Y6" s="3200"/>
      <c r="Z6" s="3201"/>
      <c r="AA6" s="3171"/>
      <c r="AB6" s="3164"/>
      <c r="AC6" s="3171"/>
    </row>
    <row r="7" spans="1:29" s="117" customFormat="1" ht="15.75" thickBot="1">
      <c r="A7" s="408" t="s">
        <v>2554</v>
      </c>
      <c r="B7" s="409"/>
      <c r="C7" s="410">
        <f>'数据-取费表'!B2</f>
        <v>43154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4" t="s">
        <v>2555</v>
      </c>
      <c r="Q7" s="3197"/>
      <c r="R7" s="770" t="s">
        <v>17</v>
      </c>
      <c r="S7" s="771">
        <f t="shared" ref="S7:S15" si="0">F7</f>
        <v>0</v>
      </c>
      <c r="T7" s="770" t="s">
        <v>17</v>
      </c>
      <c r="U7" s="771">
        <f t="shared" ref="U7:U15" si="1">H7</f>
        <v>0</v>
      </c>
      <c r="V7" s="770" t="s">
        <v>17</v>
      </c>
      <c r="W7" s="771">
        <f t="shared" ref="W7:W15" si="2">J7</f>
        <v>0</v>
      </c>
      <c r="X7" s="772"/>
      <c r="Y7" s="3184" t="s">
        <v>2555</v>
      </c>
      <c r="Z7" s="3185"/>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4" t="s">
        <v>2558</v>
      </c>
      <c r="Q8" s="3185"/>
      <c r="R8" s="770" t="s">
        <v>17</v>
      </c>
      <c r="S8" s="771">
        <f t="shared" si="0"/>
        <v>0</v>
      </c>
      <c r="T8" s="770" t="s">
        <v>17</v>
      </c>
      <c r="U8" s="771">
        <f t="shared" si="1"/>
        <v>0</v>
      </c>
      <c r="V8" s="770" t="s">
        <v>17</v>
      </c>
      <c r="W8" s="771">
        <f t="shared" si="2"/>
        <v>0</v>
      </c>
      <c r="X8" s="772"/>
      <c r="Y8" s="3184" t="s">
        <v>2558</v>
      </c>
      <c r="Z8" s="3185"/>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7" t="s">
        <v>2561</v>
      </c>
      <c r="Q9" s="1798" t="str">
        <f t="shared" ref="Q9:Q15" si="6">B9</f>
        <v>用途</v>
      </c>
      <c r="R9" s="770" t="s">
        <v>17</v>
      </c>
      <c r="S9" s="771">
        <f t="shared" si="0"/>
        <v>100</v>
      </c>
      <c r="T9" s="770" t="s">
        <v>17</v>
      </c>
      <c r="U9" s="771">
        <f t="shared" si="1"/>
        <v>100</v>
      </c>
      <c r="V9" s="770" t="s">
        <v>17</v>
      </c>
      <c r="W9" s="771">
        <f t="shared" si="2"/>
        <v>100</v>
      </c>
      <c r="X9" s="772"/>
      <c r="Y9" s="3036"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7"/>
      <c r="Q11" s="1798"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7"/>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7"/>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7"/>
      <c r="Q14" s="1798">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71.25">
      <c r="A15" s="440" t="s">
        <v>2565</v>
      </c>
      <c r="B15" s="69" t="s">
        <v>2659</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9" t="s">
        <v>2566</v>
      </c>
      <c r="Q15" s="1813" t="str">
        <f t="shared" si="6"/>
        <v>商业繁华度</v>
      </c>
      <c r="R15" s="774" t="s">
        <v>17</v>
      </c>
      <c r="S15" s="775">
        <f t="shared" si="0"/>
        <v>100</v>
      </c>
      <c r="T15" s="774" t="s">
        <v>17</v>
      </c>
      <c r="U15" s="775">
        <f t="shared" si="1"/>
        <v>100</v>
      </c>
      <c r="V15" s="774" t="s">
        <v>17</v>
      </c>
      <c r="W15" s="775">
        <f t="shared" si="2"/>
        <v>100</v>
      </c>
      <c r="X15" s="1816"/>
      <c r="Y15" s="3165" t="s">
        <v>2566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0"/>
      <c r="Q16" s="1813"/>
      <c r="R16" s="774"/>
      <c r="S16" s="775"/>
      <c r="T16" s="774"/>
      <c r="U16" s="775"/>
      <c r="V16" s="774"/>
      <c r="W16" s="775"/>
      <c r="X16" s="1816"/>
      <c r="Y16" s="3166"/>
      <c r="Z16" s="1817"/>
      <c r="AA16" s="1814">
        <v>1</v>
      </c>
      <c r="AB16" s="1814">
        <v>1</v>
      </c>
      <c r="AC16" s="1814">
        <v>1</v>
      </c>
    </row>
    <row r="17" spans="1:29" ht="85.5">
      <c r="A17" s="428"/>
      <c r="B17" s="451" t="s">
        <v>2102</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0"/>
      <c r="Q17" s="1813" t="str">
        <f>B17</f>
        <v>交通便捷度</v>
      </c>
      <c r="R17" s="774" t="s">
        <v>17</v>
      </c>
      <c r="S17" s="775">
        <f>F17</f>
        <v>100</v>
      </c>
      <c r="T17" s="774" t="s">
        <v>17</v>
      </c>
      <c r="U17" s="775">
        <f>H17</f>
        <v>100</v>
      </c>
      <c r="V17" s="774" t="s">
        <v>17</v>
      </c>
      <c r="W17" s="775">
        <f>J17</f>
        <v>100</v>
      </c>
      <c r="X17" s="1816"/>
      <c r="Y17" s="316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40"/>
      <c r="Q18" s="1813"/>
      <c r="R18" s="774"/>
      <c r="S18" s="775"/>
      <c r="T18" s="774"/>
      <c r="U18" s="775"/>
      <c r="V18" s="774"/>
      <c r="W18" s="775"/>
      <c r="X18" s="1816"/>
      <c r="Y18" s="3166"/>
      <c r="Z18" s="1817"/>
      <c r="AA18" s="1814">
        <v>1</v>
      </c>
      <c r="AB18" s="1814">
        <v>1</v>
      </c>
      <c r="AC18" s="1814">
        <v>1</v>
      </c>
    </row>
    <row r="19" spans="1:29" ht="42.75">
      <c r="A19" s="428"/>
      <c r="B19" s="451" t="s">
        <v>2660</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0"/>
      <c r="Q19" s="1813" t="str">
        <f>B19</f>
        <v>公共配套设施</v>
      </c>
      <c r="R19" s="774" t="s">
        <v>17</v>
      </c>
      <c r="S19" s="775">
        <f>F19</f>
        <v>100</v>
      </c>
      <c r="T19" s="774" t="s">
        <v>17</v>
      </c>
      <c r="U19" s="775">
        <f>H19</f>
        <v>100</v>
      </c>
      <c r="V19" s="774" t="s">
        <v>17</v>
      </c>
      <c r="W19" s="775">
        <f>J19</f>
        <v>100</v>
      </c>
      <c r="X19" s="1816"/>
      <c r="Y19" s="316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40"/>
      <c r="Q20" s="1813"/>
      <c r="R20" s="774"/>
      <c r="S20" s="775"/>
      <c r="T20" s="774"/>
      <c r="U20" s="775"/>
      <c r="V20" s="774"/>
      <c r="W20" s="775"/>
      <c r="X20" s="1816"/>
      <c r="Y20" s="3166"/>
      <c r="Z20" s="1817"/>
      <c r="AA20" s="1814">
        <v>1</v>
      </c>
      <c r="AB20" s="1814">
        <v>1</v>
      </c>
      <c r="AC20" s="1814">
        <v>1</v>
      </c>
    </row>
    <row r="21" spans="1:29" ht="28.5">
      <c r="A21" s="428"/>
      <c r="B21" s="1387" t="s">
        <v>2661</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0"/>
      <c r="Q21" s="1813" t="str">
        <f>B21</f>
        <v>基础设施水平</v>
      </c>
      <c r="R21" s="774" t="s">
        <v>17</v>
      </c>
      <c r="S21" s="775">
        <f>F21</f>
        <v>100</v>
      </c>
      <c r="T21" s="774" t="s">
        <v>17</v>
      </c>
      <c r="U21" s="775">
        <f>H21</f>
        <v>100</v>
      </c>
      <c r="V21" s="774" t="s">
        <v>17</v>
      </c>
      <c r="W21" s="775">
        <f>J21</f>
        <v>100</v>
      </c>
      <c r="X21" s="1816"/>
      <c r="Y21" s="316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40"/>
      <c r="Q22" s="1813"/>
      <c r="R22" s="774"/>
      <c r="S22" s="775"/>
      <c r="T22" s="774"/>
      <c r="U22" s="775"/>
      <c r="V22" s="774"/>
      <c r="W22" s="775"/>
      <c r="X22" s="1816"/>
      <c r="Y22" s="3166"/>
      <c r="Z22" s="1817"/>
      <c r="AA22" s="1814">
        <v>1</v>
      </c>
      <c r="AB22" s="1814">
        <v>1</v>
      </c>
      <c r="AC22" s="1814">
        <v>1</v>
      </c>
    </row>
    <row r="23" spans="1:29" ht="57">
      <c r="A23" s="428"/>
      <c r="B23" s="451" t="s">
        <v>2107</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0"/>
      <c r="Q23" s="1813" t="str">
        <f>B23</f>
        <v>自然及人文环境</v>
      </c>
      <c r="R23" s="774" t="s">
        <v>17</v>
      </c>
      <c r="S23" s="775">
        <f>F23</f>
        <v>100</v>
      </c>
      <c r="T23" s="774" t="s">
        <v>17</v>
      </c>
      <c r="U23" s="775">
        <f>H23</f>
        <v>100</v>
      </c>
      <c r="V23" s="774" t="s">
        <v>17</v>
      </c>
      <c r="W23" s="775">
        <f>J23</f>
        <v>100</v>
      </c>
      <c r="X23" s="1816"/>
      <c r="Y23" s="3166"/>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40"/>
      <c r="Q24" s="1813"/>
      <c r="R24" s="774"/>
      <c r="S24" s="775"/>
      <c r="T24" s="774"/>
      <c r="U24" s="775"/>
      <c r="V24" s="774"/>
      <c r="W24" s="775"/>
      <c r="X24" s="1816"/>
      <c r="Y24" s="3166"/>
      <c r="Z24" s="1817"/>
      <c r="AA24" s="1814">
        <v>1</v>
      </c>
      <c r="AB24" s="1814">
        <v>1</v>
      </c>
      <c r="AC24" s="1814">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0"/>
      <c r="Q25" s="1813" t="str">
        <f t="shared" ref="Q25:Q46" si="11">B25</f>
        <v>临街状况</v>
      </c>
      <c r="R25" s="774" t="s">
        <v>17</v>
      </c>
      <c r="S25" s="775">
        <f>F25</f>
        <v>100</v>
      </c>
      <c r="T25" s="774" t="s">
        <v>17</v>
      </c>
      <c r="U25" s="775">
        <f>H25</f>
        <v>100</v>
      </c>
      <c r="V25" s="774" t="s">
        <v>17</v>
      </c>
      <c r="W25" s="775">
        <f>J25</f>
        <v>100</v>
      </c>
      <c r="X25" s="1816"/>
      <c r="Y25" s="3166"/>
      <c r="Z25" s="1817" t="str">
        <f>Q25</f>
        <v>临街状况</v>
      </c>
      <c r="AA25" s="1814">
        <f t="shared" si="3"/>
        <v>1</v>
      </c>
      <c r="AB25" s="1814">
        <f t="shared" si="4"/>
        <v>1</v>
      </c>
      <c r="AC25" s="1814">
        <f t="shared" si="5"/>
        <v>1</v>
      </c>
    </row>
    <row r="26" spans="1:29" ht="15">
      <c r="A26" s="428"/>
      <c r="B26" s="1389" t="s">
        <v>2663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0"/>
      <c r="Q26" s="1813" t="str">
        <f t="shared" si="11"/>
        <v>平面位置/可视性</v>
      </c>
      <c r="R26" s="774" t="s">
        <v>17</v>
      </c>
      <c r="S26" s="775">
        <f>F26</f>
        <v>100</v>
      </c>
      <c r="T26" s="774" t="s">
        <v>17</v>
      </c>
      <c r="U26" s="775">
        <f>H26</f>
        <v>100</v>
      </c>
      <c r="V26" s="774" t="s">
        <v>17</v>
      </c>
      <c r="W26" s="775">
        <f>J26</f>
        <v>100</v>
      </c>
      <c r="X26" s="1816"/>
      <c r="Y26" s="3166"/>
      <c r="Z26" s="1817" t="str">
        <f>Q26</f>
        <v>平面位置/可视性</v>
      </c>
      <c r="AA26" s="1814">
        <f t="shared" si="3"/>
        <v>1</v>
      </c>
      <c r="AB26" s="1814">
        <f t="shared" si="4"/>
        <v>1</v>
      </c>
      <c r="AC26" s="1814">
        <f t="shared" si="5"/>
        <v>1</v>
      </c>
    </row>
    <row r="27" spans="1:29" s="117" customFormat="1" ht="15">
      <c r="A27" s="431"/>
      <c r="B27" s="451" t="s">
        <v>2664</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40"/>
      <c r="Q27" s="1798" t="str">
        <f t="shared" si="11"/>
        <v>人流量</v>
      </c>
      <c r="R27" s="770" t="s">
        <v>17</v>
      </c>
      <c r="S27" s="771">
        <f>F27</f>
        <v>100</v>
      </c>
      <c r="T27" s="770" t="s">
        <v>17</v>
      </c>
      <c r="U27" s="771">
        <f>H27</f>
        <v>100</v>
      </c>
      <c r="V27" s="770" t="s">
        <v>17</v>
      </c>
      <c r="W27" s="771">
        <f>J27</f>
        <v>100</v>
      </c>
      <c r="X27" s="772"/>
      <c r="Y27" s="3166"/>
      <c r="Z27" s="55" t="str">
        <f>Q27</f>
        <v>人流量</v>
      </c>
      <c r="AA27" s="1814">
        <f>D27/F27</f>
        <v>1</v>
      </c>
      <c r="AB27" s="1814">
        <f>D27/H27</f>
        <v>1</v>
      </c>
      <c r="AC27" s="1814">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0"/>
      <c r="Q29" s="1813">
        <f t="shared" si="11"/>
        <v>111</v>
      </c>
      <c r="R29" s="774" t="s">
        <v>17</v>
      </c>
      <c r="S29" s="775">
        <f t="shared" si="12"/>
        <v>100</v>
      </c>
      <c r="T29" s="774" t="s">
        <v>17</v>
      </c>
      <c r="U29" s="775">
        <f t="shared" si="13"/>
        <v>100</v>
      </c>
      <c r="V29" s="774" t="s">
        <v>17</v>
      </c>
      <c r="W29" s="775">
        <f t="shared" si="14"/>
        <v>100</v>
      </c>
      <c r="X29" s="1816"/>
      <c r="Y29" s="316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0"/>
      <c r="Q30" s="1813">
        <f t="shared" si="11"/>
        <v>111</v>
      </c>
      <c r="R30" s="774" t="s">
        <v>17</v>
      </c>
      <c r="S30" s="775">
        <f t="shared" si="12"/>
        <v>100</v>
      </c>
      <c r="T30" s="774" t="s">
        <v>17</v>
      </c>
      <c r="U30" s="775">
        <f t="shared" si="13"/>
        <v>100</v>
      </c>
      <c r="V30" s="774" t="s">
        <v>17</v>
      </c>
      <c r="W30" s="775">
        <f t="shared" si="14"/>
        <v>100</v>
      </c>
      <c r="X30" s="1816"/>
      <c r="Y30" s="316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0"/>
      <c r="Q31" s="1813">
        <f t="shared" si="11"/>
        <v>111</v>
      </c>
      <c r="R31" s="774" t="s">
        <v>17</v>
      </c>
      <c r="S31" s="775">
        <f t="shared" si="12"/>
        <v>100</v>
      </c>
      <c r="T31" s="774" t="s">
        <v>17</v>
      </c>
      <c r="U31" s="775">
        <f t="shared" si="13"/>
        <v>100</v>
      </c>
      <c r="V31" s="774" t="s">
        <v>17</v>
      </c>
      <c r="W31" s="775">
        <f t="shared" si="14"/>
        <v>100</v>
      </c>
      <c r="X31" s="1816"/>
      <c r="Y31" s="3166"/>
      <c r="Z31" s="1817">
        <f t="shared" si="15"/>
        <v>111</v>
      </c>
      <c r="AA31" s="1814">
        <f t="shared" si="3"/>
        <v>1</v>
      </c>
      <c r="AB31" s="1814">
        <f t="shared" si="4"/>
        <v>1</v>
      </c>
      <c r="AC31" s="1814">
        <f t="shared" si="5"/>
        <v>1</v>
      </c>
    </row>
    <row r="32" spans="1:29" ht="15">
      <c r="A32" s="440" t="s">
        <v>2569</v>
      </c>
      <c r="B32" s="71" t="s">
        <v>2666</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5" t="s">
        <v>2571</v>
      </c>
      <c r="Q32" s="1813" t="str">
        <f t="shared" si="11"/>
        <v>商业类型</v>
      </c>
      <c r="R32" s="774" t="s">
        <v>17</v>
      </c>
      <c r="S32" s="775">
        <f t="shared" si="12"/>
        <v>100</v>
      </c>
      <c r="T32" s="774" t="s">
        <v>17</v>
      </c>
      <c r="U32" s="775">
        <f t="shared" si="13"/>
        <v>100</v>
      </c>
      <c r="V32" s="774" t="s">
        <v>17</v>
      </c>
      <c r="W32" s="775">
        <f t="shared" si="14"/>
        <v>100</v>
      </c>
      <c r="X32" s="1816"/>
      <c r="Y32" s="3168" t="s">
        <v>2571</v>
      </c>
      <c r="Z32" s="1817" t="str">
        <f t="shared" si="15"/>
        <v>商业类型</v>
      </c>
      <c r="AA32" s="1814">
        <f t="shared" si="3"/>
        <v>1</v>
      </c>
      <c r="AB32" s="1814">
        <f t="shared" si="4"/>
        <v>1</v>
      </c>
      <c r="AC32" s="1814">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6"/>
      <c r="Q33" s="776" t="str">
        <f t="shared" si="11"/>
        <v>项目建筑规模</v>
      </c>
      <c r="R33" s="777" t="s">
        <v>17</v>
      </c>
      <c r="S33" s="778" t="e">
        <f t="shared" si="12"/>
        <v>#N/A</v>
      </c>
      <c r="T33" s="777" t="s">
        <v>17</v>
      </c>
      <c r="U33" s="778" t="e">
        <f t="shared" si="13"/>
        <v>#N/A</v>
      </c>
      <c r="V33" s="777" t="s">
        <v>17</v>
      </c>
      <c r="W33" s="778" t="e">
        <f t="shared" si="14"/>
        <v>#N/A</v>
      </c>
      <c r="X33" s="779"/>
      <c r="Y33" s="3168"/>
      <c r="Z33" s="780" t="str">
        <f t="shared" si="15"/>
        <v>项目建筑规模</v>
      </c>
      <c r="AA33" s="1814" t="e">
        <f t="shared" si="3"/>
        <v>#N/A</v>
      </c>
      <c r="AB33" s="1814" t="e">
        <f t="shared" si="4"/>
        <v>#N/A</v>
      </c>
      <c r="AC33" s="1814" t="e">
        <f t="shared" si="5"/>
        <v>#N/A</v>
      </c>
    </row>
    <row r="34" spans="1:29" ht="15">
      <c r="A34" s="472"/>
      <c r="B34" s="422" t="s">
        <v>2573</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36"/>
      <c r="Q34" s="1813" t="str">
        <f t="shared" si="11"/>
        <v>建筑结构</v>
      </c>
      <c r="R34" s="774" t="s">
        <v>17</v>
      </c>
      <c r="S34" s="775">
        <f t="shared" si="12"/>
        <v>100</v>
      </c>
      <c r="T34" s="774" t="s">
        <v>17</v>
      </c>
      <c r="U34" s="775">
        <f t="shared" si="13"/>
        <v>100</v>
      </c>
      <c r="V34" s="774" t="s">
        <v>17</v>
      </c>
      <c r="W34" s="775">
        <f t="shared" si="14"/>
        <v>100</v>
      </c>
      <c r="X34" s="1816"/>
      <c r="Y34" s="3168"/>
      <c r="Z34" s="1817" t="str">
        <f t="shared" si="15"/>
        <v>建筑结构</v>
      </c>
      <c r="AA34" s="1814">
        <f t="shared" si="3"/>
        <v>1</v>
      </c>
      <c r="AB34" s="1814">
        <f t="shared" si="4"/>
        <v>1</v>
      </c>
      <c r="AC34" s="1814">
        <f t="shared" si="5"/>
        <v>1</v>
      </c>
    </row>
    <row r="35" spans="1:29" ht="15">
      <c r="A35" s="472"/>
      <c r="B35" s="422" t="s">
        <v>2667</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36"/>
      <c r="Q35" s="1813" t="str">
        <f t="shared" si="11"/>
        <v>公共部分装修</v>
      </c>
      <c r="R35" s="774" t="s">
        <v>17</v>
      </c>
      <c r="S35" s="775">
        <f t="shared" si="12"/>
        <v>100</v>
      </c>
      <c r="T35" s="774" t="s">
        <v>17</v>
      </c>
      <c r="U35" s="775">
        <f t="shared" si="13"/>
        <v>100</v>
      </c>
      <c r="V35" s="774" t="s">
        <v>17</v>
      </c>
      <c r="W35" s="775">
        <f t="shared" si="14"/>
        <v>100</v>
      </c>
      <c r="X35" s="1816"/>
      <c r="Y35" s="3168"/>
      <c r="Z35" s="1817" t="str">
        <f t="shared" si="15"/>
        <v>公共部分装修</v>
      </c>
      <c r="AA35" s="1814">
        <f t="shared" si="3"/>
        <v>1</v>
      </c>
      <c r="AB35" s="1814">
        <f t="shared" si="4"/>
        <v>1</v>
      </c>
      <c r="AC35" s="1814">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6"/>
      <c r="Q36" s="1813" t="str">
        <f t="shared" si="11"/>
        <v>成新度</v>
      </c>
      <c r="R36" s="774" t="s">
        <v>17</v>
      </c>
      <c r="S36" s="775" t="e">
        <f t="shared" si="12"/>
        <v>#N/A</v>
      </c>
      <c r="T36" s="774" t="s">
        <v>17</v>
      </c>
      <c r="U36" s="775" t="e">
        <f t="shared" si="13"/>
        <v>#N/A</v>
      </c>
      <c r="V36" s="774" t="s">
        <v>17</v>
      </c>
      <c r="W36" s="775" t="e">
        <f t="shared" si="14"/>
        <v>#N/A</v>
      </c>
      <c r="X36" s="1816"/>
      <c r="Y36" s="3168"/>
      <c r="Z36" s="1817" t="str">
        <f t="shared" si="15"/>
        <v>成新度</v>
      </c>
      <c r="AA36" s="1814" t="e">
        <f t="shared" si="3"/>
        <v>#N/A</v>
      </c>
      <c r="AB36" s="1814" t="e">
        <f t="shared" si="4"/>
        <v>#N/A</v>
      </c>
      <c r="AC36" s="1814" t="e">
        <f t="shared" si="5"/>
        <v>#N/A</v>
      </c>
    </row>
    <row r="37" spans="1:29" s="117" customFormat="1" ht="15">
      <c r="A37" s="473"/>
      <c r="B37" s="422" t="s">
        <v>2669</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36"/>
      <c r="Q37" s="1798" t="str">
        <f t="shared" si="11"/>
        <v>市政基础设施</v>
      </c>
      <c r="R37" s="770" t="s">
        <v>17</v>
      </c>
      <c r="S37" s="771">
        <f t="shared" si="12"/>
        <v>100</v>
      </c>
      <c r="T37" s="770" t="s">
        <v>17</v>
      </c>
      <c r="U37" s="771">
        <f t="shared" si="13"/>
        <v>100</v>
      </c>
      <c r="V37" s="770" t="s">
        <v>17</v>
      </c>
      <c r="W37" s="771">
        <f t="shared" si="14"/>
        <v>100</v>
      </c>
      <c r="X37" s="772"/>
      <c r="Y37" s="3168"/>
      <c r="Z37" s="55" t="str">
        <f t="shared" si="15"/>
        <v>市政基础设施</v>
      </c>
      <c r="AA37" s="773">
        <f t="shared" si="3"/>
        <v>1</v>
      </c>
      <c r="AB37" s="773">
        <f t="shared" si="4"/>
        <v>1</v>
      </c>
      <c r="AC37" s="773">
        <f t="shared" si="5"/>
        <v>1</v>
      </c>
    </row>
    <row r="38" spans="1:29" ht="15">
      <c r="A38" s="472"/>
      <c r="B38" s="422" t="s">
        <v>2670</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36" t="s">
        <v>2571</v>
      </c>
      <c r="Q38" s="1813" t="str">
        <f t="shared" si="11"/>
        <v>业态</v>
      </c>
      <c r="R38" s="774" t="s">
        <v>17</v>
      </c>
      <c r="S38" s="775">
        <f t="shared" si="12"/>
        <v>100</v>
      </c>
      <c r="T38" s="774" t="s">
        <v>17</v>
      </c>
      <c r="U38" s="775">
        <f t="shared" si="13"/>
        <v>100</v>
      </c>
      <c r="V38" s="774" t="s">
        <v>17</v>
      </c>
      <c r="W38" s="775">
        <f t="shared" si="14"/>
        <v>100</v>
      </c>
      <c r="X38" s="1816"/>
      <c r="Y38" s="3168" t="s">
        <v>2571</v>
      </c>
      <c r="Z38" s="1817" t="str">
        <f t="shared" si="15"/>
        <v>业态</v>
      </c>
      <c r="AA38" s="1814">
        <f t="shared" si="3"/>
        <v>1</v>
      </c>
      <c r="AB38" s="1814">
        <f t="shared" si="4"/>
        <v>1</v>
      </c>
      <c r="AC38" s="1814">
        <f t="shared" si="5"/>
        <v>1</v>
      </c>
    </row>
    <row r="39" spans="1:29" ht="15">
      <c r="A39" s="472"/>
      <c r="B39" s="422" t="s">
        <v>2671</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36"/>
      <c r="Q39" s="1813" t="str">
        <f t="shared" si="11"/>
        <v>层高</v>
      </c>
      <c r="R39" s="774" t="s">
        <v>17</v>
      </c>
      <c r="S39" s="775">
        <f t="shared" si="12"/>
        <v>100</v>
      </c>
      <c r="T39" s="774" t="s">
        <v>17</v>
      </c>
      <c r="U39" s="775">
        <f t="shared" si="13"/>
        <v>100</v>
      </c>
      <c r="V39" s="774" t="s">
        <v>17</v>
      </c>
      <c r="W39" s="775">
        <f t="shared" si="14"/>
        <v>100</v>
      </c>
      <c r="X39" s="1816"/>
      <c r="Y39" s="3168"/>
      <c r="Z39" s="1817" t="str">
        <f t="shared" si="15"/>
        <v>层高</v>
      </c>
      <c r="AA39" s="1814">
        <f t="shared" si="3"/>
        <v>1</v>
      </c>
      <c r="AB39" s="1814">
        <f t="shared" si="4"/>
        <v>1</v>
      </c>
      <c r="AC39" s="1814">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6"/>
      <c r="Q40" s="1813" t="str">
        <f t="shared" si="11"/>
        <v>单套建筑面积</v>
      </c>
      <c r="R40" s="774" t="s">
        <v>17</v>
      </c>
      <c r="S40" s="775">
        <f t="shared" si="12"/>
        <v>100</v>
      </c>
      <c r="T40" s="774" t="s">
        <v>17</v>
      </c>
      <c r="U40" s="775">
        <f t="shared" si="13"/>
        <v>100</v>
      </c>
      <c r="V40" s="774" t="s">
        <v>17</v>
      </c>
      <c r="W40" s="775">
        <f t="shared" si="14"/>
        <v>100</v>
      </c>
      <c r="X40" s="1816"/>
      <c r="Y40" s="3168"/>
      <c r="Z40" s="1817" t="str">
        <f t="shared" si="15"/>
        <v>单套建筑面积</v>
      </c>
      <c r="AA40" s="1814">
        <f t="shared" si="3"/>
        <v>1</v>
      </c>
      <c r="AB40" s="1814">
        <f t="shared" si="4"/>
        <v>1</v>
      </c>
      <c r="AC40" s="1814">
        <f t="shared" si="5"/>
        <v>1</v>
      </c>
    </row>
    <row r="41" spans="1:29" s="471" customFormat="1" ht="15">
      <c r="A41" s="468"/>
      <c r="B41" s="1815"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6"/>
      <c r="Q41" s="776" t="str">
        <f t="shared" si="11"/>
        <v>进深比</v>
      </c>
      <c r="R41" s="777" t="s">
        <v>17</v>
      </c>
      <c r="S41" s="778">
        <f t="shared" si="12"/>
        <v>100</v>
      </c>
      <c r="T41" s="777" t="s">
        <v>17</v>
      </c>
      <c r="U41" s="778">
        <f t="shared" si="13"/>
        <v>100</v>
      </c>
      <c r="V41" s="777" t="s">
        <v>17</v>
      </c>
      <c r="W41" s="778">
        <f t="shared" si="14"/>
        <v>100</v>
      </c>
      <c r="X41" s="779"/>
      <c r="Y41" s="3168"/>
      <c r="Z41" s="780" t="str">
        <f t="shared" si="15"/>
        <v>进深比</v>
      </c>
      <c r="AA41" s="1814">
        <f t="shared" si="3"/>
        <v>1</v>
      </c>
      <c r="AB41" s="1814">
        <f t="shared" si="4"/>
        <v>1</v>
      </c>
      <c r="AC41" s="1814">
        <f t="shared" si="5"/>
        <v>1</v>
      </c>
    </row>
    <row r="42" spans="1:29" ht="15">
      <c r="A42" s="472"/>
      <c r="B42" s="422" t="s">
        <v>2674</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36"/>
      <c r="Q42" s="1813" t="str">
        <f t="shared" si="11"/>
        <v>内部装修</v>
      </c>
      <c r="R42" s="774" t="s">
        <v>17</v>
      </c>
      <c r="S42" s="775">
        <f t="shared" si="12"/>
        <v>100</v>
      </c>
      <c r="T42" s="774" t="s">
        <v>17</v>
      </c>
      <c r="U42" s="775">
        <f t="shared" si="13"/>
        <v>100</v>
      </c>
      <c r="V42" s="774" t="s">
        <v>17</v>
      </c>
      <c r="W42" s="775">
        <f t="shared" si="14"/>
        <v>100</v>
      </c>
      <c r="X42" s="1816"/>
      <c r="Y42" s="3168"/>
      <c r="Z42" s="1817" t="str">
        <f t="shared" si="15"/>
        <v>内部装修</v>
      </c>
      <c r="AA42" s="1814">
        <f t="shared" si="3"/>
        <v>1</v>
      </c>
      <c r="AB42" s="1814">
        <f t="shared" si="4"/>
        <v>1</v>
      </c>
      <c r="AC42" s="1814">
        <f t="shared" si="5"/>
        <v>1</v>
      </c>
    </row>
    <row r="43" spans="1:29" ht="15">
      <c r="A43" s="472"/>
      <c r="B43" s="422" t="s">
        <v>2582</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36"/>
      <c r="Q43" s="1813" t="str">
        <f t="shared" si="11"/>
        <v>内部装修维护情况</v>
      </c>
      <c r="R43" s="774" t="s">
        <v>17</v>
      </c>
      <c r="S43" s="775">
        <f t="shared" si="12"/>
        <v>100</v>
      </c>
      <c r="T43" s="774" t="s">
        <v>17</v>
      </c>
      <c r="U43" s="775">
        <f t="shared" si="13"/>
        <v>100</v>
      </c>
      <c r="V43" s="774" t="s">
        <v>17</v>
      </c>
      <c r="W43" s="775">
        <f t="shared" si="14"/>
        <v>100</v>
      </c>
      <c r="X43" s="1816"/>
      <c r="Y43" s="316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6"/>
      <c r="Q44" s="1798">
        <f t="shared" si="11"/>
        <v>111</v>
      </c>
      <c r="R44" s="770" t="s">
        <v>17</v>
      </c>
      <c r="S44" s="771">
        <f t="shared" si="12"/>
        <v>100</v>
      </c>
      <c r="T44" s="770" t="s">
        <v>17</v>
      </c>
      <c r="U44" s="771">
        <f t="shared" si="13"/>
        <v>100</v>
      </c>
      <c r="V44" s="770" t="s">
        <v>17</v>
      </c>
      <c r="W44" s="771">
        <f t="shared" si="14"/>
        <v>100</v>
      </c>
      <c r="X44" s="772"/>
      <c r="Y44" s="316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6"/>
      <c r="Q45" s="1813">
        <f t="shared" si="11"/>
        <v>111</v>
      </c>
      <c r="R45" s="774" t="s">
        <v>17</v>
      </c>
      <c r="S45" s="775">
        <f t="shared" si="12"/>
        <v>100</v>
      </c>
      <c r="T45" s="774" t="s">
        <v>17</v>
      </c>
      <c r="U45" s="775">
        <f t="shared" si="13"/>
        <v>100</v>
      </c>
      <c r="V45" s="774" t="s">
        <v>17</v>
      </c>
      <c r="W45" s="775">
        <f t="shared" si="14"/>
        <v>100</v>
      </c>
      <c r="X45" s="1816"/>
      <c r="Y45" s="3168"/>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7"/>
      <c r="Q46" s="1813">
        <f t="shared" si="11"/>
        <v>111</v>
      </c>
      <c r="R46" s="774" t="s">
        <v>17</v>
      </c>
      <c r="S46" s="775">
        <f t="shared" si="12"/>
        <v>100</v>
      </c>
      <c r="T46" s="774" t="s">
        <v>17</v>
      </c>
      <c r="U46" s="775">
        <f t="shared" si="13"/>
        <v>100</v>
      </c>
      <c r="V46" s="774" t="s">
        <v>17</v>
      </c>
      <c r="W46" s="775">
        <f t="shared" si="14"/>
        <v>100</v>
      </c>
      <c r="X46" s="1816"/>
      <c r="Y46" s="3238"/>
      <c r="Z46" s="1817">
        <f t="shared" si="15"/>
        <v>111</v>
      </c>
      <c r="AA46" s="1814">
        <f t="shared" si="3"/>
        <v>1</v>
      </c>
      <c r="AB46" s="1814">
        <f t="shared" si="4"/>
        <v>1</v>
      </c>
      <c r="AC46" s="1814">
        <f t="shared" si="5"/>
        <v>1</v>
      </c>
    </row>
    <row r="47" spans="1:29" ht="15">
      <c r="A47" s="479" t="s">
        <v>2583</v>
      </c>
      <c r="B47" s="480"/>
      <c r="C47" s="1410" t="s">
        <v>1</v>
      </c>
      <c r="D47" s="1411"/>
      <c r="E47" s="1412"/>
      <c r="F47" s="1413"/>
      <c r="G47" s="1414"/>
      <c r="H47" s="1415"/>
      <c r="I47" s="1412"/>
      <c r="J47" s="1415"/>
      <c r="K47" s="783"/>
      <c r="L47" s="1146"/>
      <c r="M47" s="1147"/>
      <c r="N47" s="1134"/>
      <c r="O47" s="1147"/>
      <c r="P47" s="3162" t="str">
        <f>A47</f>
        <v>成交单价（元/平方米）</v>
      </c>
      <c r="Q47" s="3162"/>
      <c r="R47" s="3164">
        <f>E47</f>
        <v>0</v>
      </c>
      <c r="S47" s="3164"/>
      <c r="T47" s="3164">
        <f>G47</f>
        <v>0</v>
      </c>
      <c r="U47" s="3164"/>
      <c r="V47" s="3164">
        <f>I47</f>
        <v>0</v>
      </c>
      <c r="W47" s="3164"/>
      <c r="X47" s="759"/>
      <c r="Y47" s="781"/>
      <c r="Z47" s="759"/>
      <c r="AA47" s="759"/>
      <c r="AB47" s="759"/>
      <c r="AC47" s="759"/>
    </row>
    <row r="48" spans="1:29" ht="15.75" thickBot="1">
      <c r="A48" s="486" t="s">
        <v>2675</v>
      </c>
      <c r="B48" s="487"/>
      <c r="C48" s="1416" t="e">
        <f>R49</f>
        <v>#DIV/0!</v>
      </c>
      <c r="D48" s="1417"/>
      <c r="E48" s="1418" t="e">
        <f>R48</f>
        <v>#DIV/0!</v>
      </c>
      <c r="F48" s="1418"/>
      <c r="G48" s="1416" t="e">
        <f>T48</f>
        <v>#DIV/0!</v>
      </c>
      <c r="H48" s="1417"/>
      <c r="I48" s="1418" t="e">
        <f>V48</f>
        <v>#DIV/0!</v>
      </c>
      <c r="J48" s="1417"/>
      <c r="K48" s="784"/>
      <c r="L48" s="1146"/>
      <c r="M48" s="1147"/>
      <c r="N48" s="1134"/>
      <c r="O48" s="1147"/>
      <c r="P48" s="3162" t="str">
        <f>A48</f>
        <v>比较价值（元/平方米）</v>
      </c>
      <c r="Q48" s="3162"/>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2676</v>
      </c>
      <c r="B49" s="493"/>
      <c r="C49" s="1420" t="e">
        <f>R49</f>
        <v>#DIV/0!</v>
      </c>
      <c r="D49" s="1420"/>
      <c r="E49" s="1420"/>
      <c r="F49" s="1420"/>
      <c r="G49" s="1420"/>
      <c r="H49" s="1420"/>
      <c r="I49" s="1420"/>
      <c r="J49" s="1420"/>
      <c r="K49" s="785"/>
      <c r="L49" s="1146"/>
      <c r="M49" s="1147"/>
      <c r="N49" s="1134"/>
      <c r="O49" s="1147"/>
      <c r="P49" s="3159" t="str">
        <f>A49</f>
        <v>估价对象XX用房的比较价值（楼面单价，元/平方米）</v>
      </c>
      <c r="Q49" s="3160"/>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2554</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2556</v>
      </c>
      <c r="B61" s="510"/>
      <c r="C61" s="522" t="s">
        <v>2658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2594</v>
      </c>
      <c r="B63" s="528" t="s">
        <v>2560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2661</v>
      </c>
      <c r="C82" s="660" t="s">
        <v>2681</v>
      </c>
      <c r="D82" s="660" t="s">
        <v>2682</v>
      </c>
      <c r="E82" s="660" t="s">
        <v>2683</v>
      </c>
      <c r="F82" s="660" t="s">
        <v>2684</v>
      </c>
      <c r="G82" s="660" t="s">
        <v>2685</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2569</v>
      </c>
      <c r="B100" s="528" t="s">
        <v>2687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2620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2622</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2624</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2690</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2691</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v>
      </c>
    </row>
    <row r="4" spans="1:1" ht="18">
      <c r="A4" s="1951" t="str">
        <f>"受贵公司委托，我公司对"&amp;项目基本情况!S1&amp;"进行了预评估。"</f>
        <v>受贵公司委托，我公司对北京市阎村镇燕东路北进行了预评估。</v>
      </c>
    </row>
    <row r="5" spans="1:1" ht="18.75">
      <c r="A5" s="1952" t="s">
        <v>1613</v>
      </c>
    </row>
    <row r="6" spans="1:1" ht="18.75">
      <c r="A6" s="1953" t="s">
        <v>1614</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估价对象为北京市阎村镇燕东路北房地产，为所有。根据《国有土地使用证》[]，估价对象（分摊）出让国有建设用地使用权面积为11400.66平方米，建筑面积为6170.06平方米。</v>
      </c>
    </row>
    <row r="8" spans="1:1" ht="57.75">
      <c r="A8" s="1954" t="s">
        <v>1615</v>
      </c>
    </row>
    <row r="9" spans="1:1" ht="18.75">
      <c r="A9" s="1953" t="s">
        <v>1616</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估价对象为北京市阎村镇燕东路北房地产,属开发建设的，该项目尚在开发建设中。根据《国有土地使用证》[]，估价对象（分摊）出让国有建设用地使用权面积为11400.66平方米，规划建筑面积为6170.06平方米。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1619</v>
      </c>
    </row>
    <row r="15" spans="1:1" ht="18">
      <c r="A15" s="1957" t="str">
        <f>TEXT(项目基本情况!D3,"yyyy年m月d日;;")&amp;IF(项目基本情况!D3=项目基本情况!B3,"（评估专业人员实地查勘之日）","")</f>
        <v>2018年2月23日</v>
      </c>
    </row>
    <row r="16" spans="1:1" ht="18.75">
      <c r="A16" s="1956" t="s">
        <v>1620</v>
      </c>
    </row>
    <row r="17" spans="1:1" ht="75">
      <c r="A17" s="1951" t="s">
        <v>1621</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23日，估价对象规划用途为，土地取得方式为出让，出让国有建设用地使用权剩余土地使用年限为38.26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38.26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5" t="s">
        <v>2692</v>
      </c>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2650</v>
      </c>
      <c r="D3" s="399">
        <f>IF(D1="",'数据-汇总表'!E3,SUMIF('数据-汇总表'!$C19:$C33,D1,'数据-汇总表'!$E19:$E33))</f>
        <v>6170.06</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247" t="s">
        <v>2657</v>
      </c>
      <c r="Q4" s="3248"/>
      <c r="R4" s="3242" t="s">
        <v>2653</v>
      </c>
      <c r="S4" s="3243"/>
      <c r="T4" s="3242" t="s">
        <v>2654</v>
      </c>
      <c r="U4" s="3243"/>
      <c r="V4" s="3251" t="s">
        <v>2655</v>
      </c>
      <c r="W4" s="3251"/>
      <c r="X4" s="2676"/>
      <c r="Y4" s="3242" t="s">
        <v>2657</v>
      </c>
      <c r="Z4" s="3243"/>
      <c r="AA4" s="3241" t="s">
        <v>2653</v>
      </c>
      <c r="AB4" s="3241" t="s">
        <v>2654</v>
      </c>
      <c r="AC4" s="3244" t="s">
        <v>2655</v>
      </c>
    </row>
    <row r="5" spans="1:29" ht="15">
      <c r="A5" s="404"/>
      <c r="B5" s="405"/>
      <c r="C5" s="3193" t="s">
        <v>2548</v>
      </c>
      <c r="D5" s="3194"/>
      <c r="E5" s="3182" t="s">
        <v>2549</v>
      </c>
      <c r="F5" s="3183"/>
      <c r="G5" s="3193" t="s">
        <v>2550</v>
      </c>
      <c r="H5" s="3194"/>
      <c r="I5" s="3193" t="s">
        <v>2551</v>
      </c>
      <c r="J5" s="3194"/>
      <c r="K5" s="610"/>
      <c r="L5" s="1133"/>
      <c r="M5" s="1134"/>
      <c r="N5" s="1134"/>
      <c r="O5" s="1134"/>
      <c r="P5" s="3249"/>
      <c r="Q5" s="3179"/>
      <c r="R5" s="3191"/>
      <c r="S5" s="3192"/>
      <c r="T5" s="3191"/>
      <c r="U5" s="3192"/>
      <c r="V5" s="3164"/>
      <c r="W5" s="3164"/>
      <c r="X5" s="1816"/>
      <c r="Y5" s="3191"/>
      <c r="Z5" s="3192"/>
      <c r="AA5" s="3170"/>
      <c r="AB5" s="3170"/>
      <c r="AC5" s="3245"/>
    </row>
    <row r="6" spans="1:29" ht="15.75" thickBot="1">
      <c r="A6" s="406"/>
      <c r="B6" s="407"/>
      <c r="C6" s="3229" t="s">
        <v>2552</v>
      </c>
      <c r="D6" s="3230"/>
      <c r="E6" s="3231" t="s">
        <v>2552</v>
      </c>
      <c r="F6" s="3232"/>
      <c r="G6" s="3229" t="s">
        <v>2552</v>
      </c>
      <c r="H6" s="3230"/>
      <c r="I6" s="3229" t="s">
        <v>2552</v>
      </c>
      <c r="J6" s="3230"/>
      <c r="K6" s="610" t="s">
        <v>2553</v>
      </c>
      <c r="L6" s="1133"/>
      <c r="M6" s="1134"/>
      <c r="N6" s="1134"/>
      <c r="O6" s="1134"/>
      <c r="P6" s="3250"/>
      <c r="Q6" s="3181"/>
      <c r="R6" s="3191"/>
      <c r="S6" s="3192"/>
      <c r="T6" s="3200"/>
      <c r="U6" s="3201"/>
      <c r="V6" s="3164"/>
      <c r="W6" s="3164"/>
      <c r="X6" s="1816"/>
      <c r="Y6" s="3200"/>
      <c r="Z6" s="3201"/>
      <c r="AA6" s="3171"/>
      <c r="AB6" s="3171"/>
      <c r="AC6" s="3246"/>
    </row>
    <row r="7" spans="1:29" s="117" customFormat="1" ht="15.75" thickBot="1">
      <c r="A7" s="408" t="s">
        <v>2554</v>
      </c>
      <c r="B7" s="409"/>
      <c r="C7" s="410">
        <f>'数据-取费表'!B2</f>
        <v>43154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2" t="s">
        <v>2555</v>
      </c>
      <c r="Q7" s="3197"/>
      <c r="R7" s="770" t="s">
        <v>17</v>
      </c>
      <c r="S7" s="771">
        <f t="shared" ref="S7:S15" si="0">F7</f>
        <v>0</v>
      </c>
      <c r="T7" s="770" t="s">
        <v>17</v>
      </c>
      <c r="U7" s="771">
        <f t="shared" ref="U7:U15" si="1">H7</f>
        <v>0</v>
      </c>
      <c r="V7" s="770" t="s">
        <v>17</v>
      </c>
      <c r="W7" s="771">
        <f t="shared" ref="W7:W15" si="2">J7</f>
        <v>0</v>
      </c>
      <c r="X7" s="772"/>
      <c r="Y7" s="3184" t="s">
        <v>2555</v>
      </c>
      <c r="Z7" s="3185"/>
      <c r="AA7" s="773" t="e">
        <f>D7/F7</f>
        <v>#DIV/0!</v>
      </c>
      <c r="AB7" s="773" t="e">
        <f>D7/H7</f>
        <v>#DIV/0!</v>
      </c>
      <c r="AC7" s="2677"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2" t="s">
        <v>2558</v>
      </c>
      <c r="Q8" s="3185"/>
      <c r="R8" s="770" t="s">
        <v>17</v>
      </c>
      <c r="S8" s="771">
        <f t="shared" si="0"/>
        <v>0</v>
      </c>
      <c r="T8" s="770" t="s">
        <v>17</v>
      </c>
      <c r="U8" s="771">
        <f t="shared" si="1"/>
        <v>0</v>
      </c>
      <c r="V8" s="770" t="s">
        <v>17</v>
      </c>
      <c r="W8" s="771">
        <f t="shared" si="2"/>
        <v>0</v>
      </c>
      <c r="X8" s="772"/>
      <c r="Y8" s="3184" t="s">
        <v>2558</v>
      </c>
      <c r="Z8" s="3185"/>
      <c r="AA8" s="773" t="e">
        <f t="shared" ref="AA8:AA47" si="3">D8/F8</f>
        <v>#DIV/0!</v>
      </c>
      <c r="AB8" s="773" t="e">
        <f t="shared" ref="AB8:AB47" si="4">D8/H8</f>
        <v>#DIV/0!</v>
      </c>
      <c r="AC8" s="2677"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7" t="s">
        <v>2561</v>
      </c>
      <c r="Q9" s="1798" t="str">
        <f t="shared" ref="Q9:Q15" si="6">B9</f>
        <v>用途</v>
      </c>
      <c r="R9" s="770" t="s">
        <v>17</v>
      </c>
      <c r="S9" s="771">
        <f t="shared" si="0"/>
        <v>100</v>
      </c>
      <c r="T9" s="770" t="s">
        <v>17</v>
      </c>
      <c r="U9" s="771">
        <f t="shared" si="1"/>
        <v>100</v>
      </c>
      <c r="V9" s="770" t="s">
        <v>17</v>
      </c>
      <c r="W9" s="771">
        <f t="shared" si="2"/>
        <v>100</v>
      </c>
      <c r="X9" s="772"/>
      <c r="Y9" s="3036" t="s">
        <v>2562</v>
      </c>
      <c r="Z9" s="55" t="str">
        <f t="shared" ref="Z9:Z15" si="7">Q9</f>
        <v>用途</v>
      </c>
      <c r="AA9" s="773">
        <f t="shared" si="3"/>
        <v>1</v>
      </c>
      <c r="AB9" s="773">
        <f t="shared" si="4"/>
        <v>1</v>
      </c>
      <c r="AC9" s="2677">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2677">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7"/>
      <c r="Q11" s="1798"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87"/>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87"/>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87"/>
      <c r="Q14" s="1798">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2677">
        <f t="shared" si="5"/>
        <v>1</v>
      </c>
    </row>
    <row r="15" spans="1:29" ht="71.25">
      <c r="A15" s="440" t="s">
        <v>2565</v>
      </c>
      <c r="B15" s="629" t="s">
        <v>2693</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9" t="s">
        <v>2566</v>
      </c>
      <c r="Q15" s="1813" t="str">
        <f t="shared" si="6"/>
        <v>办公集聚程度</v>
      </c>
      <c r="R15" s="774" t="s">
        <v>17</v>
      </c>
      <c r="S15" s="775">
        <f t="shared" si="0"/>
        <v>100</v>
      </c>
      <c r="T15" s="774" t="s">
        <v>17</v>
      </c>
      <c r="U15" s="775">
        <f t="shared" si="1"/>
        <v>100</v>
      </c>
      <c r="V15" s="774" t="s">
        <v>17</v>
      </c>
      <c r="W15" s="775">
        <f t="shared" si="2"/>
        <v>100</v>
      </c>
      <c r="X15" s="1816"/>
      <c r="Y15" s="3165" t="s">
        <v>2566</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40"/>
      <c r="Q16" s="1813"/>
      <c r="R16" s="774"/>
      <c r="S16" s="775"/>
      <c r="T16" s="774"/>
      <c r="U16" s="775"/>
      <c r="V16" s="774"/>
      <c r="W16" s="775"/>
      <c r="X16" s="1816"/>
      <c r="Y16" s="3166"/>
      <c r="Z16" s="1817"/>
      <c r="AA16" s="1814">
        <v>1</v>
      </c>
      <c r="AB16" s="1814">
        <v>1</v>
      </c>
      <c r="AC16" s="2680">
        <v>1</v>
      </c>
    </row>
    <row r="17" spans="1:29" ht="71.25">
      <c r="A17" s="428"/>
      <c r="B17" s="631" t="s">
        <v>2102</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0"/>
      <c r="Q17" s="1813" t="str">
        <f>B17</f>
        <v>交通便捷度</v>
      </c>
      <c r="R17" s="774" t="s">
        <v>17</v>
      </c>
      <c r="S17" s="775">
        <f>F17</f>
        <v>100</v>
      </c>
      <c r="T17" s="774" t="s">
        <v>17</v>
      </c>
      <c r="U17" s="775">
        <f>H17</f>
        <v>100</v>
      </c>
      <c r="V17" s="774" t="s">
        <v>17</v>
      </c>
      <c r="W17" s="775">
        <f>J17</f>
        <v>100</v>
      </c>
      <c r="X17" s="1816"/>
      <c r="Y17" s="3166"/>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40"/>
      <c r="Q18" s="1813"/>
      <c r="R18" s="774"/>
      <c r="S18" s="775"/>
      <c r="T18" s="774"/>
      <c r="U18" s="775"/>
      <c r="V18" s="774"/>
      <c r="W18" s="775"/>
      <c r="X18" s="1816"/>
      <c r="Y18" s="3166"/>
      <c r="Z18" s="1817"/>
      <c r="AA18" s="1814">
        <v>1</v>
      </c>
      <c r="AB18" s="1814">
        <v>1</v>
      </c>
      <c r="AC18" s="2680">
        <v>1</v>
      </c>
    </row>
    <row r="19" spans="1:29" ht="42.75">
      <c r="A19" s="428"/>
      <c r="B19" s="631" t="s">
        <v>2694</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0"/>
      <c r="Q19" s="1813" t="str">
        <f>B19</f>
        <v>公共配套设施</v>
      </c>
      <c r="R19" s="774" t="s">
        <v>17</v>
      </c>
      <c r="S19" s="775">
        <f>F19</f>
        <v>100</v>
      </c>
      <c r="T19" s="774" t="s">
        <v>17</v>
      </c>
      <c r="U19" s="775">
        <f>H19</f>
        <v>100</v>
      </c>
      <c r="V19" s="774" t="s">
        <v>17</v>
      </c>
      <c r="W19" s="775">
        <f>J19</f>
        <v>100</v>
      </c>
      <c r="X19" s="1816"/>
      <c r="Y19" s="3166"/>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40"/>
      <c r="Q20" s="1813"/>
      <c r="R20" s="774"/>
      <c r="S20" s="775"/>
      <c r="T20" s="774"/>
      <c r="U20" s="775"/>
      <c r="V20" s="774"/>
      <c r="W20" s="775"/>
      <c r="X20" s="1816"/>
      <c r="Y20" s="3166"/>
      <c r="Z20" s="1817"/>
      <c r="AA20" s="1814">
        <v>1</v>
      </c>
      <c r="AB20" s="1814">
        <v>1</v>
      </c>
      <c r="AC20" s="2680">
        <v>1</v>
      </c>
    </row>
    <row r="21" spans="1:29" ht="28.5">
      <c r="A21" s="428"/>
      <c r="B21" s="633" t="s">
        <v>2695</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0"/>
      <c r="Q21" s="1813" t="str">
        <f>B21</f>
        <v>基础设施水平</v>
      </c>
      <c r="R21" s="774" t="s">
        <v>17</v>
      </c>
      <c r="S21" s="775">
        <f>F21</f>
        <v>100</v>
      </c>
      <c r="T21" s="774" t="s">
        <v>17</v>
      </c>
      <c r="U21" s="775">
        <f>H21</f>
        <v>100</v>
      </c>
      <c r="V21" s="774" t="s">
        <v>17</v>
      </c>
      <c r="W21" s="775">
        <f>J21</f>
        <v>100</v>
      </c>
      <c r="X21" s="1816"/>
      <c r="Y21" s="3166"/>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40"/>
      <c r="Q22" s="1813"/>
      <c r="R22" s="774"/>
      <c r="S22" s="775"/>
      <c r="T22" s="774"/>
      <c r="U22" s="775"/>
      <c r="V22" s="774"/>
      <c r="W22" s="775"/>
      <c r="X22" s="1816"/>
      <c r="Y22" s="3166"/>
      <c r="Z22" s="1817"/>
      <c r="AA22" s="1814">
        <v>1</v>
      </c>
      <c r="AB22" s="1814">
        <v>1</v>
      </c>
      <c r="AC22" s="2680">
        <v>1</v>
      </c>
    </row>
    <row r="23" spans="1:29" ht="42.75">
      <c r="A23" s="428"/>
      <c r="B23" s="631" t="s">
        <v>2696</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0"/>
      <c r="Q23" s="1813" t="str">
        <f>B23</f>
        <v>环境质量</v>
      </c>
      <c r="R23" s="774" t="s">
        <v>17</v>
      </c>
      <c r="S23" s="775">
        <f>F23</f>
        <v>100</v>
      </c>
      <c r="T23" s="774" t="s">
        <v>17</v>
      </c>
      <c r="U23" s="775">
        <f>H23</f>
        <v>100</v>
      </c>
      <c r="V23" s="774" t="s">
        <v>17</v>
      </c>
      <c r="W23" s="775">
        <f>J23</f>
        <v>100</v>
      </c>
      <c r="X23" s="1816"/>
      <c r="Y23" s="3166"/>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40"/>
      <c r="Q24" s="1813"/>
      <c r="R24" s="774"/>
      <c r="S24" s="775"/>
      <c r="T24" s="774"/>
      <c r="U24" s="775"/>
      <c r="V24" s="774"/>
      <c r="W24" s="775"/>
      <c r="X24" s="1816"/>
      <c r="Y24" s="3166"/>
      <c r="Z24" s="1817"/>
      <c r="AA24" s="1814">
        <v>1</v>
      </c>
      <c r="AB24" s="1814">
        <v>1</v>
      </c>
      <c r="AC24" s="2680">
        <v>1</v>
      </c>
    </row>
    <row r="25" spans="1:29" ht="27">
      <c r="A25" s="404"/>
      <c r="B25" s="631" t="s">
        <v>2697</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40"/>
      <c r="Q25" s="1813" t="str">
        <f>B25</f>
        <v>毗邻道路的类型与等级</v>
      </c>
      <c r="R25" s="774" t="s">
        <v>17</v>
      </c>
      <c r="S25" s="775">
        <f>F25</f>
        <v>100</v>
      </c>
      <c r="T25" s="774" t="s">
        <v>17</v>
      </c>
      <c r="U25" s="775">
        <f>H25</f>
        <v>100</v>
      </c>
      <c r="V25" s="774" t="s">
        <v>17</v>
      </c>
      <c r="W25" s="775">
        <f>J25</f>
        <v>100</v>
      </c>
      <c r="X25" s="1816"/>
      <c r="Y25" s="3166"/>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40"/>
      <c r="Q26" s="1813"/>
      <c r="R26" s="774"/>
      <c r="S26" s="775"/>
      <c r="T26" s="774"/>
      <c r="U26" s="775"/>
      <c r="V26" s="774"/>
      <c r="W26" s="775"/>
      <c r="X26" s="1816"/>
      <c r="Y26" s="3166"/>
      <c r="Z26" s="1817"/>
      <c r="AA26" s="1814">
        <v>1</v>
      </c>
      <c r="AB26" s="1814">
        <v>1</v>
      </c>
      <c r="AC26" s="2680">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0"/>
      <c r="Q27" s="1813" t="str">
        <f t="shared" ref="Q27:Q47" si="11">B27</f>
        <v>楼层</v>
      </c>
      <c r="R27" s="774" t="s">
        <v>17</v>
      </c>
      <c r="S27" s="775">
        <f>F27</f>
        <v>100</v>
      </c>
      <c r="T27" s="774" t="s">
        <v>17</v>
      </c>
      <c r="U27" s="775">
        <f>H27</f>
        <v>100</v>
      </c>
      <c r="V27" s="774" t="s">
        <v>17</v>
      </c>
      <c r="W27" s="775">
        <f>J27</f>
        <v>100</v>
      </c>
      <c r="X27" s="1816"/>
      <c r="Y27" s="3166"/>
      <c r="Z27" s="1817" t="str">
        <f>Q27</f>
        <v>楼层</v>
      </c>
      <c r="AA27" s="1814">
        <f t="shared" si="3"/>
        <v>1</v>
      </c>
      <c r="AB27" s="1814">
        <f t="shared" si="4"/>
        <v>1</v>
      </c>
      <c r="AC27" s="2680">
        <f t="shared" si="5"/>
        <v>1</v>
      </c>
    </row>
    <row r="28" spans="1:29" s="117" customFormat="1" ht="15">
      <c r="A28" s="431"/>
      <c r="B28" s="631" t="s">
        <v>2698</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40"/>
      <c r="Q28" s="1798" t="str">
        <f t="shared" si="11"/>
        <v>朝向</v>
      </c>
      <c r="R28" s="770" t="s">
        <v>17</v>
      </c>
      <c r="S28" s="771">
        <f>F28</f>
        <v>100</v>
      </c>
      <c r="T28" s="770" t="s">
        <v>17</v>
      </c>
      <c r="U28" s="771">
        <f>H28</f>
        <v>100</v>
      </c>
      <c r="V28" s="770" t="s">
        <v>17</v>
      </c>
      <c r="W28" s="771">
        <f>J28</f>
        <v>100</v>
      </c>
      <c r="X28" s="772"/>
      <c r="Y28" s="3166"/>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40"/>
      <c r="Q29" s="1813">
        <f t="shared" si="11"/>
        <v>111</v>
      </c>
      <c r="R29" s="774" t="s">
        <v>17</v>
      </c>
      <c r="S29" s="775">
        <f t="shared" ref="S29:S47" si="12">F29</f>
        <v>100</v>
      </c>
      <c r="T29" s="774" t="s">
        <v>17</v>
      </c>
      <c r="U29" s="775">
        <f t="shared" ref="U29:U47" si="13">H29</f>
        <v>100</v>
      </c>
      <c r="V29" s="774" t="s">
        <v>17</v>
      </c>
      <c r="W29" s="775">
        <f t="shared" ref="W29:W47" si="14">J29</f>
        <v>100</v>
      </c>
      <c r="X29" s="1816"/>
      <c r="Y29" s="3166"/>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40"/>
      <c r="Q30" s="1813">
        <f t="shared" si="11"/>
        <v>111</v>
      </c>
      <c r="R30" s="774" t="s">
        <v>17</v>
      </c>
      <c r="S30" s="775">
        <f t="shared" si="12"/>
        <v>100</v>
      </c>
      <c r="T30" s="774" t="s">
        <v>17</v>
      </c>
      <c r="U30" s="775">
        <f t="shared" si="13"/>
        <v>100</v>
      </c>
      <c r="V30" s="774" t="s">
        <v>17</v>
      </c>
      <c r="W30" s="775">
        <f t="shared" si="14"/>
        <v>100</v>
      </c>
      <c r="X30" s="1816"/>
      <c r="Y30" s="3166"/>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40"/>
      <c r="Q31" s="1813">
        <f t="shared" si="11"/>
        <v>111</v>
      </c>
      <c r="R31" s="774" t="s">
        <v>17</v>
      </c>
      <c r="S31" s="775">
        <f t="shared" si="12"/>
        <v>100</v>
      </c>
      <c r="T31" s="774" t="s">
        <v>17</v>
      </c>
      <c r="U31" s="775">
        <f t="shared" si="13"/>
        <v>100</v>
      </c>
      <c r="V31" s="774" t="s">
        <v>17</v>
      </c>
      <c r="W31" s="775">
        <f t="shared" si="14"/>
        <v>100</v>
      </c>
      <c r="X31" s="1816"/>
      <c r="Y31" s="3166"/>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40"/>
      <c r="Q32" s="1813">
        <f t="shared" si="11"/>
        <v>111</v>
      </c>
      <c r="R32" s="774" t="s">
        <v>17</v>
      </c>
      <c r="S32" s="775">
        <f t="shared" si="12"/>
        <v>100</v>
      </c>
      <c r="T32" s="774" t="s">
        <v>17</v>
      </c>
      <c r="U32" s="775">
        <f t="shared" si="13"/>
        <v>100</v>
      </c>
      <c r="V32" s="774" t="s">
        <v>17</v>
      </c>
      <c r="W32" s="775">
        <f t="shared" si="14"/>
        <v>100</v>
      </c>
      <c r="X32" s="1816"/>
      <c r="Y32" s="3166"/>
      <c r="Z32" s="1817">
        <f t="shared" si="15"/>
        <v>111</v>
      </c>
      <c r="AA32" s="1814">
        <f t="shared" si="3"/>
        <v>1</v>
      </c>
      <c r="AB32" s="1814">
        <f t="shared" si="4"/>
        <v>1</v>
      </c>
      <c r="AC32" s="2680">
        <f t="shared" si="5"/>
        <v>1</v>
      </c>
    </row>
    <row r="33" spans="1:29" ht="15">
      <c r="A33" s="440" t="s">
        <v>2569</v>
      </c>
      <c r="B33" s="71" t="s">
        <v>2699</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5" t="s">
        <v>2571</v>
      </c>
      <c r="Q33" s="1813" t="str">
        <f t="shared" si="11"/>
        <v>建筑类型</v>
      </c>
      <c r="R33" s="774" t="s">
        <v>17</v>
      </c>
      <c r="S33" s="775">
        <f t="shared" si="12"/>
        <v>100</v>
      </c>
      <c r="T33" s="774" t="s">
        <v>17</v>
      </c>
      <c r="U33" s="775">
        <f t="shared" si="13"/>
        <v>100</v>
      </c>
      <c r="V33" s="774" t="s">
        <v>17</v>
      </c>
      <c r="W33" s="775">
        <f t="shared" si="14"/>
        <v>100</v>
      </c>
      <c r="X33" s="1816"/>
      <c r="Y33" s="3168" t="s">
        <v>2571</v>
      </c>
      <c r="Z33" s="1817" t="str">
        <f t="shared" si="15"/>
        <v>建筑类型</v>
      </c>
      <c r="AA33" s="1814">
        <f t="shared" si="3"/>
        <v>1</v>
      </c>
      <c r="AB33" s="1814">
        <f t="shared" si="4"/>
        <v>1</v>
      </c>
      <c r="AC33" s="2680">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6"/>
      <c r="Q34" s="776" t="str">
        <f t="shared" si="11"/>
        <v>项目建筑规模</v>
      </c>
      <c r="R34" s="777" t="s">
        <v>17</v>
      </c>
      <c r="S34" s="778" t="e">
        <f t="shared" si="12"/>
        <v>#N/A</v>
      </c>
      <c r="T34" s="777" t="s">
        <v>17</v>
      </c>
      <c r="U34" s="778" t="e">
        <f t="shared" si="13"/>
        <v>#N/A</v>
      </c>
      <c r="V34" s="777" t="s">
        <v>17</v>
      </c>
      <c r="W34" s="778" t="e">
        <f t="shared" si="14"/>
        <v>#N/A</v>
      </c>
      <c r="X34" s="779"/>
      <c r="Y34" s="3168"/>
      <c r="Z34" s="780" t="str">
        <f t="shared" si="15"/>
        <v>项目建筑规模</v>
      </c>
      <c r="AA34" s="1814" t="e">
        <f t="shared" si="3"/>
        <v>#N/A</v>
      </c>
      <c r="AB34" s="1814" t="e">
        <f t="shared" si="4"/>
        <v>#N/A</v>
      </c>
      <c r="AC34" s="2680"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6"/>
      <c r="Q35" s="1813" t="str">
        <f t="shared" si="11"/>
        <v>建筑结构</v>
      </c>
      <c r="R35" s="774" t="s">
        <v>17</v>
      </c>
      <c r="S35" s="775">
        <f t="shared" si="12"/>
        <v>100</v>
      </c>
      <c r="T35" s="774" t="s">
        <v>17</v>
      </c>
      <c r="U35" s="775">
        <f t="shared" si="13"/>
        <v>100</v>
      </c>
      <c r="V35" s="774" t="s">
        <v>17</v>
      </c>
      <c r="W35" s="775">
        <f t="shared" si="14"/>
        <v>100</v>
      </c>
      <c r="X35" s="1816"/>
      <c r="Y35" s="3168"/>
      <c r="Z35" s="1817" t="str">
        <f t="shared" si="15"/>
        <v>建筑结构</v>
      </c>
      <c r="AA35" s="1814">
        <f t="shared" si="3"/>
        <v>1</v>
      </c>
      <c r="AB35" s="1814">
        <f t="shared" si="4"/>
        <v>1</v>
      </c>
      <c r="AC35" s="2680">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6"/>
      <c r="Q36" s="1813" t="str">
        <f t="shared" si="11"/>
        <v>公共部分装修</v>
      </c>
      <c r="R36" s="774" t="s">
        <v>17</v>
      </c>
      <c r="S36" s="775">
        <f t="shared" si="12"/>
        <v>100</v>
      </c>
      <c r="T36" s="774" t="s">
        <v>17</v>
      </c>
      <c r="U36" s="775">
        <f t="shared" si="13"/>
        <v>100</v>
      </c>
      <c r="V36" s="774" t="s">
        <v>17</v>
      </c>
      <c r="W36" s="775">
        <f t="shared" si="14"/>
        <v>100</v>
      </c>
      <c r="X36" s="1816"/>
      <c r="Y36" s="3168"/>
      <c r="Z36" s="1817" t="str">
        <f t="shared" si="15"/>
        <v>公共部分装修</v>
      </c>
      <c r="AA36" s="1814">
        <f t="shared" si="3"/>
        <v>1</v>
      </c>
      <c r="AB36" s="1814">
        <f t="shared" si="4"/>
        <v>1</v>
      </c>
      <c r="AC36" s="2680">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6"/>
      <c r="Q37" s="1813" t="str">
        <f t="shared" si="11"/>
        <v>成新度</v>
      </c>
      <c r="R37" s="774" t="s">
        <v>17</v>
      </c>
      <c r="S37" s="775" t="e">
        <f t="shared" si="12"/>
        <v>#N/A</v>
      </c>
      <c r="T37" s="774" t="s">
        <v>17</v>
      </c>
      <c r="U37" s="775" t="e">
        <f t="shared" si="13"/>
        <v>#N/A</v>
      </c>
      <c r="V37" s="774" t="s">
        <v>17</v>
      </c>
      <c r="W37" s="775" t="e">
        <f t="shared" si="14"/>
        <v>#N/A</v>
      </c>
      <c r="X37" s="1816"/>
      <c r="Y37" s="3168"/>
      <c r="Z37" s="1817" t="str">
        <f t="shared" si="15"/>
        <v>成新度</v>
      </c>
      <c r="AA37" s="1814" t="e">
        <f t="shared" si="3"/>
        <v>#N/A</v>
      </c>
      <c r="AB37" s="1814" t="e">
        <f t="shared" si="4"/>
        <v>#N/A</v>
      </c>
      <c r="AC37" s="2680"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6"/>
      <c r="Q38" s="1798" t="str">
        <f t="shared" si="11"/>
        <v>写字楼等级</v>
      </c>
      <c r="R38" s="770" t="s">
        <v>17</v>
      </c>
      <c r="S38" s="771">
        <f t="shared" si="12"/>
        <v>100</v>
      </c>
      <c r="T38" s="770" t="s">
        <v>17</v>
      </c>
      <c r="U38" s="771">
        <f t="shared" si="13"/>
        <v>100</v>
      </c>
      <c r="V38" s="770" t="s">
        <v>17</v>
      </c>
      <c r="W38" s="771">
        <f t="shared" si="14"/>
        <v>100</v>
      </c>
      <c r="X38" s="772"/>
      <c r="Y38" s="3168"/>
      <c r="Z38" s="55" t="str">
        <f t="shared" si="15"/>
        <v>写字楼等级</v>
      </c>
      <c r="AA38" s="773">
        <f t="shared" si="3"/>
        <v>1</v>
      </c>
      <c r="AB38" s="773">
        <f t="shared" si="4"/>
        <v>1</v>
      </c>
      <c r="AC38" s="2677">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6" t="s">
        <v>2571</v>
      </c>
      <c r="Q39" s="1813" t="str">
        <f t="shared" si="11"/>
        <v>物业管理</v>
      </c>
      <c r="R39" s="774" t="s">
        <v>17</v>
      </c>
      <c r="S39" s="775">
        <f t="shared" si="12"/>
        <v>100</v>
      </c>
      <c r="T39" s="774" t="s">
        <v>17</v>
      </c>
      <c r="U39" s="775">
        <f t="shared" si="13"/>
        <v>100</v>
      </c>
      <c r="V39" s="774" t="s">
        <v>17</v>
      </c>
      <c r="W39" s="775">
        <f t="shared" si="14"/>
        <v>100</v>
      </c>
      <c r="X39" s="1816"/>
      <c r="Y39" s="3168" t="s">
        <v>2571</v>
      </c>
      <c r="Z39" s="1817" t="str">
        <f t="shared" si="15"/>
        <v>物业管理</v>
      </c>
      <c r="AA39" s="1814">
        <f t="shared" si="3"/>
        <v>1</v>
      </c>
      <c r="AB39" s="1814">
        <f t="shared" si="4"/>
        <v>1</v>
      </c>
      <c r="AC39" s="2680">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6"/>
      <c r="Q40" s="1813" t="str">
        <f t="shared" si="11"/>
        <v>市政基础设施</v>
      </c>
      <c r="R40" s="774" t="s">
        <v>17</v>
      </c>
      <c r="S40" s="775">
        <f t="shared" si="12"/>
        <v>100</v>
      </c>
      <c r="T40" s="774" t="s">
        <v>17</v>
      </c>
      <c r="U40" s="775">
        <f t="shared" si="13"/>
        <v>100</v>
      </c>
      <c r="V40" s="774" t="s">
        <v>17</v>
      </c>
      <c r="W40" s="775">
        <f t="shared" si="14"/>
        <v>100</v>
      </c>
      <c r="X40" s="1816"/>
      <c r="Y40" s="3168"/>
      <c r="Z40" s="1817" t="str">
        <f t="shared" si="15"/>
        <v>市政基础设施</v>
      </c>
      <c r="AA40" s="1814">
        <f t="shared" si="3"/>
        <v>1</v>
      </c>
      <c r="AB40" s="1814">
        <f t="shared" si="4"/>
        <v>1</v>
      </c>
      <c r="AC40" s="2680">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6"/>
      <c r="Q41" s="1813" t="str">
        <f t="shared" si="11"/>
        <v>层高</v>
      </c>
      <c r="R41" s="774" t="s">
        <v>17</v>
      </c>
      <c r="S41" s="775">
        <f t="shared" si="12"/>
        <v>100</v>
      </c>
      <c r="T41" s="774" t="s">
        <v>17</v>
      </c>
      <c r="U41" s="775">
        <f t="shared" si="13"/>
        <v>100</v>
      </c>
      <c r="V41" s="774" t="s">
        <v>17</v>
      </c>
      <c r="W41" s="775">
        <f t="shared" si="14"/>
        <v>100</v>
      </c>
      <c r="X41" s="1816"/>
      <c r="Y41" s="3168"/>
      <c r="Z41" s="1817" t="str">
        <f t="shared" si="15"/>
        <v>层高</v>
      </c>
      <c r="AA41" s="1814">
        <f t="shared" si="3"/>
        <v>1</v>
      </c>
      <c r="AB41" s="1814">
        <f t="shared" si="4"/>
        <v>1</v>
      </c>
      <c r="AC41" s="2680">
        <f t="shared" si="5"/>
        <v>1</v>
      </c>
    </row>
    <row r="42" spans="1:29" s="471" customFormat="1" ht="15">
      <c r="A42" s="468"/>
      <c r="B42" s="1815"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6"/>
      <c r="Q42" s="776" t="str">
        <f t="shared" si="11"/>
        <v>单套建筑面积</v>
      </c>
      <c r="R42" s="777" t="s">
        <v>17</v>
      </c>
      <c r="S42" s="778">
        <f t="shared" si="12"/>
        <v>100</v>
      </c>
      <c r="T42" s="777" t="s">
        <v>17</v>
      </c>
      <c r="U42" s="778">
        <f t="shared" si="13"/>
        <v>100</v>
      </c>
      <c r="V42" s="777" t="s">
        <v>17</v>
      </c>
      <c r="W42" s="778">
        <f t="shared" si="14"/>
        <v>100</v>
      </c>
      <c r="X42" s="779"/>
      <c r="Y42" s="3168"/>
      <c r="Z42" s="780" t="str">
        <f t="shared" si="15"/>
        <v>单套建筑面积</v>
      </c>
      <c r="AA42" s="1814">
        <f t="shared" si="3"/>
        <v>1</v>
      </c>
      <c r="AB42" s="1814">
        <f t="shared" si="4"/>
        <v>1</v>
      </c>
      <c r="AC42" s="2680">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6"/>
      <c r="Q43" s="1813" t="str">
        <f t="shared" si="11"/>
        <v>内部装修</v>
      </c>
      <c r="R43" s="774" t="s">
        <v>17</v>
      </c>
      <c r="S43" s="775">
        <f t="shared" si="12"/>
        <v>100</v>
      </c>
      <c r="T43" s="774" t="s">
        <v>17</v>
      </c>
      <c r="U43" s="775">
        <f t="shared" si="13"/>
        <v>100</v>
      </c>
      <c r="V43" s="774" t="s">
        <v>17</v>
      </c>
      <c r="W43" s="775">
        <f t="shared" si="14"/>
        <v>100</v>
      </c>
      <c r="X43" s="1816"/>
      <c r="Y43" s="3168"/>
      <c r="Z43" s="1817" t="str">
        <f t="shared" si="15"/>
        <v>内部装修</v>
      </c>
      <c r="AA43" s="1814">
        <f t="shared" si="3"/>
        <v>1</v>
      </c>
      <c r="AB43" s="1814">
        <f t="shared" si="4"/>
        <v>1</v>
      </c>
      <c r="AC43" s="2680">
        <f t="shared" si="5"/>
        <v>1</v>
      </c>
    </row>
    <row r="44" spans="1:29" ht="15">
      <c r="A44" s="472"/>
      <c r="B44" s="422" t="s">
        <v>2582</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36"/>
      <c r="Q44" s="1813" t="str">
        <f t="shared" si="11"/>
        <v>内部装修维护情况</v>
      </c>
      <c r="R44" s="774" t="s">
        <v>17</v>
      </c>
      <c r="S44" s="775">
        <f t="shared" si="12"/>
        <v>100</v>
      </c>
      <c r="T44" s="774" t="s">
        <v>17</v>
      </c>
      <c r="U44" s="775">
        <f t="shared" si="13"/>
        <v>100</v>
      </c>
      <c r="V44" s="774" t="s">
        <v>17</v>
      </c>
      <c r="W44" s="775">
        <f t="shared" si="14"/>
        <v>100</v>
      </c>
      <c r="X44" s="1816"/>
      <c r="Y44" s="3168"/>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6"/>
      <c r="Q45" s="1798">
        <f t="shared" si="11"/>
        <v>111</v>
      </c>
      <c r="R45" s="770" t="s">
        <v>17</v>
      </c>
      <c r="S45" s="771">
        <f t="shared" si="12"/>
        <v>100</v>
      </c>
      <c r="T45" s="770" t="s">
        <v>17</v>
      </c>
      <c r="U45" s="771">
        <f t="shared" si="13"/>
        <v>100</v>
      </c>
      <c r="V45" s="770" t="s">
        <v>17</v>
      </c>
      <c r="W45" s="771">
        <f t="shared" si="14"/>
        <v>100</v>
      </c>
      <c r="X45" s="772"/>
      <c r="Y45" s="3168"/>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6"/>
      <c r="Q46" s="1813">
        <f t="shared" si="11"/>
        <v>111</v>
      </c>
      <c r="R46" s="774" t="s">
        <v>17</v>
      </c>
      <c r="S46" s="775">
        <f t="shared" si="12"/>
        <v>100</v>
      </c>
      <c r="T46" s="774" t="s">
        <v>17</v>
      </c>
      <c r="U46" s="775">
        <f t="shared" si="13"/>
        <v>100</v>
      </c>
      <c r="V46" s="774" t="s">
        <v>17</v>
      </c>
      <c r="W46" s="775">
        <f t="shared" si="14"/>
        <v>100</v>
      </c>
      <c r="X46" s="1816"/>
      <c r="Y46" s="3168"/>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7"/>
      <c r="Q47" s="1813">
        <f t="shared" si="11"/>
        <v>111</v>
      </c>
      <c r="R47" s="774" t="s">
        <v>17</v>
      </c>
      <c r="S47" s="775">
        <f t="shared" si="12"/>
        <v>100</v>
      </c>
      <c r="T47" s="774" t="s">
        <v>17</v>
      </c>
      <c r="U47" s="775">
        <f t="shared" si="13"/>
        <v>100</v>
      </c>
      <c r="V47" s="774" t="s">
        <v>17</v>
      </c>
      <c r="W47" s="775">
        <f t="shared" si="14"/>
        <v>100</v>
      </c>
      <c r="X47" s="1816"/>
      <c r="Y47" s="3238"/>
      <c r="Z47" s="1817">
        <f t="shared" si="15"/>
        <v>111</v>
      </c>
      <c r="AA47" s="1814">
        <f t="shared" si="3"/>
        <v>1</v>
      </c>
      <c r="AB47" s="1814">
        <f t="shared" si="4"/>
        <v>1</v>
      </c>
      <c r="AC47" s="2680">
        <f t="shared" si="5"/>
        <v>1</v>
      </c>
    </row>
    <row r="48" spans="1:29" ht="15">
      <c r="A48" s="479" t="s">
        <v>2583</v>
      </c>
      <c r="B48" s="480"/>
      <c r="C48" s="1410" t="s">
        <v>1</v>
      </c>
      <c r="D48" s="1411"/>
      <c r="E48" s="1412"/>
      <c r="F48" s="1413"/>
      <c r="G48" s="1414"/>
      <c r="H48" s="1415"/>
      <c r="I48" s="1412"/>
      <c r="J48" s="485"/>
      <c r="K48" s="783"/>
      <c r="L48" s="1146"/>
      <c r="M48" s="1134"/>
      <c r="N48" s="1134"/>
      <c r="O48" s="1134"/>
      <c r="P48" s="3187" t="str">
        <f>A48</f>
        <v>成交单价（元/平方米）</v>
      </c>
      <c r="Q48" s="3162"/>
      <c r="R48" s="3234">
        <f>E48</f>
        <v>0</v>
      </c>
      <c r="S48" s="3234"/>
      <c r="T48" s="3234">
        <f>G48</f>
        <v>0</v>
      </c>
      <c r="U48" s="3234"/>
      <c r="V48" s="3234">
        <f>I48</f>
        <v>0</v>
      </c>
      <c r="W48" s="3234"/>
      <c r="X48" s="446"/>
      <c r="Y48" s="781"/>
      <c r="Z48" s="446"/>
      <c r="AA48" s="446"/>
      <c r="AB48" s="446"/>
      <c r="AC48" s="630"/>
    </row>
    <row r="49" spans="1:29" ht="15.75" thickBot="1">
      <c r="A49" s="486" t="s">
        <v>2675</v>
      </c>
      <c r="B49" s="487"/>
      <c r="C49" s="1416" t="e">
        <f>R50</f>
        <v>#DIV/0!</v>
      </c>
      <c r="D49" s="1417"/>
      <c r="E49" s="1418" t="e">
        <f>R49</f>
        <v>#DIV/0!</v>
      </c>
      <c r="F49" s="1418"/>
      <c r="G49" s="1416" t="e">
        <f>T49</f>
        <v>#DIV/0!</v>
      </c>
      <c r="H49" s="1417"/>
      <c r="I49" s="1418" t="e">
        <f>V49</f>
        <v>#DIV/0!</v>
      </c>
      <c r="J49" s="489"/>
      <c r="K49" s="784"/>
      <c r="L49" s="1146"/>
      <c r="M49" s="1134"/>
      <c r="N49" s="1134"/>
      <c r="O49" s="1134"/>
      <c r="P49" s="3187" t="str">
        <f>A49</f>
        <v>比较价值（元/平方米）</v>
      </c>
      <c r="Q49" s="3162"/>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6"/>
      <c r="Y49" s="446"/>
      <c r="Z49" s="446"/>
      <c r="AA49" s="446"/>
      <c r="AB49" s="446"/>
      <c r="AC49" s="630"/>
    </row>
    <row r="50" spans="1:29" ht="15.75" thickBot="1">
      <c r="A50" s="492" t="s">
        <v>2676</v>
      </c>
      <c r="B50" s="493"/>
      <c r="C50" s="1420" t="e">
        <f>R50</f>
        <v>#DIV/0!</v>
      </c>
      <c r="D50" s="1420"/>
      <c r="E50" s="1420"/>
      <c r="F50" s="1420"/>
      <c r="G50" s="1420"/>
      <c r="H50" s="1420"/>
      <c r="I50" s="1420"/>
      <c r="J50" s="494"/>
      <c r="K50" s="785"/>
      <c r="L50" s="1146"/>
      <c r="M50" s="1134"/>
      <c r="N50" s="1134"/>
      <c r="O50" s="1134"/>
      <c r="P50" s="3253" t="str">
        <f>A50</f>
        <v>估价对象XX用房的比较价值（楼面单价，元/平方米）</v>
      </c>
      <c r="Q50" s="3254"/>
      <c r="R50" s="3255" t="e">
        <f>IF(F1="售价",ROUND(AVERAGE(R49:V49),0),ROUND(AVERAGE(R49:V49),1))</f>
        <v>#DIV/0!</v>
      </c>
      <c r="S50" s="3255"/>
      <c r="T50" s="3255"/>
      <c r="U50" s="3255"/>
      <c r="V50" s="3255"/>
      <c r="W50" s="3255"/>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2680</v>
      </c>
      <c r="B58" s="759"/>
      <c r="C58" s="764"/>
      <c r="D58" s="764"/>
      <c r="E58" s="764"/>
      <c r="F58" s="765"/>
      <c r="G58" s="765"/>
      <c r="H58" s="764"/>
      <c r="I58" s="764"/>
      <c r="J58" s="764"/>
      <c r="K58" s="766"/>
      <c r="L58" s="1164"/>
      <c r="M58" s="1162"/>
      <c r="N58" s="1162"/>
      <c r="O58" s="1162"/>
      <c r="P58" s="2687"/>
      <c r="Q58" s="504"/>
    </row>
    <row r="59" spans="1:29" s="508" customFormat="1" ht="15">
      <c r="A59" s="505" t="s">
        <v>2554</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2591</v>
      </c>
      <c r="B61" s="516"/>
      <c r="C61" s="517"/>
      <c r="D61" s="518"/>
      <c r="E61" s="518"/>
      <c r="F61" s="518"/>
      <c r="G61" s="518"/>
      <c r="H61" s="518"/>
      <c r="I61" s="518"/>
      <c r="J61" s="518"/>
      <c r="K61" s="518"/>
      <c r="L61" s="518"/>
      <c r="M61" s="519"/>
      <c r="N61" s="518"/>
      <c r="O61" s="519"/>
      <c r="P61" s="2688"/>
      <c r="Q61" s="504"/>
    </row>
    <row r="62" spans="1:29" s="117" customFormat="1" ht="15">
      <c r="A62" s="521" t="s">
        <v>2556</v>
      </c>
      <c r="B62" s="510"/>
      <c r="C62" s="522" t="s">
        <v>2658</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2594</v>
      </c>
      <c r="B64" s="528" t="s">
        <v>2560</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2695</v>
      </c>
      <c r="C83" s="660" t="s">
        <v>2681</v>
      </c>
      <c r="D83" s="660" t="s">
        <v>2682</v>
      </c>
      <c r="E83" s="660" t="s">
        <v>2683</v>
      </c>
      <c r="F83" s="660" t="s">
        <v>2684</v>
      </c>
      <c r="G83" s="660" t="s">
        <v>2685</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2705</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2569</v>
      </c>
      <c r="B101" s="528" t="s">
        <v>2618</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2620</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2622</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2706</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2623</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2624</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2707</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2690</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2626</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5" t="s">
        <v>2708</v>
      </c>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2650</v>
      </c>
      <c r="D3" s="399">
        <f>IF(D1="",'数据-汇总表'!E3,SUMIF('数据-汇总表'!$C19:$C33,D1,'数据-汇总表'!$E19:$E33))</f>
        <v>6170.06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9" t="s">
        <v>2653</v>
      </c>
      <c r="S4" s="3190"/>
      <c r="T4" s="3189" t="s">
        <v>2654</v>
      </c>
      <c r="U4" s="3190"/>
      <c r="V4" s="3164" t="s">
        <v>2655</v>
      </c>
      <c r="W4" s="3164"/>
      <c r="X4" s="1816"/>
      <c r="Y4" s="3189" t="s">
        <v>2657</v>
      </c>
      <c r="Z4" s="3190"/>
      <c r="AA4" s="3169" t="s">
        <v>2653</v>
      </c>
      <c r="AB4" s="3170" t="s">
        <v>2654</v>
      </c>
      <c r="AC4" s="3169" t="s">
        <v>2655</v>
      </c>
    </row>
    <row r="5" spans="1:29" ht="15">
      <c r="A5" s="404"/>
      <c r="B5" s="405"/>
      <c r="C5" s="3193" t="s">
        <v>2548</v>
      </c>
      <c r="D5" s="3194"/>
      <c r="E5" s="3182" t="s">
        <v>2549</v>
      </c>
      <c r="F5" s="3183"/>
      <c r="G5" s="3193" t="s">
        <v>2550</v>
      </c>
      <c r="H5" s="3194"/>
      <c r="I5" s="3193" t="s">
        <v>2551</v>
      </c>
      <c r="J5" s="3194"/>
      <c r="K5" s="610"/>
      <c r="L5" s="1133"/>
      <c r="M5" s="1134"/>
      <c r="N5" s="1134"/>
      <c r="O5" s="1134"/>
      <c r="P5" s="3178"/>
      <c r="Q5" s="3179"/>
      <c r="R5" s="3191"/>
      <c r="S5" s="3192"/>
      <c r="T5" s="3191"/>
      <c r="U5" s="3192"/>
      <c r="V5" s="3164"/>
      <c r="W5" s="3164"/>
      <c r="X5" s="1816"/>
      <c r="Y5" s="3191"/>
      <c r="Z5" s="3192"/>
      <c r="AA5" s="3170"/>
      <c r="AB5" s="3170"/>
      <c r="AC5" s="3170"/>
    </row>
    <row r="6" spans="1:29" ht="15.75" thickBot="1">
      <c r="A6" s="406"/>
      <c r="B6" s="407"/>
      <c r="C6" s="3229" t="s">
        <v>2552</v>
      </c>
      <c r="D6" s="3230"/>
      <c r="E6" s="3231" t="s">
        <v>2552</v>
      </c>
      <c r="F6" s="3232"/>
      <c r="G6" s="3229" t="s">
        <v>2552</v>
      </c>
      <c r="H6" s="3230"/>
      <c r="I6" s="3229" t="s">
        <v>2552</v>
      </c>
      <c r="J6" s="3230"/>
      <c r="K6" s="610" t="s">
        <v>2553</v>
      </c>
      <c r="L6" s="1133"/>
      <c r="M6" s="1134"/>
      <c r="N6" s="1134"/>
      <c r="O6" s="1134"/>
      <c r="P6" s="3180"/>
      <c r="Q6" s="3181"/>
      <c r="R6" s="3191"/>
      <c r="S6" s="3192"/>
      <c r="T6" s="3200"/>
      <c r="U6" s="3201"/>
      <c r="V6" s="3164"/>
      <c r="W6" s="3164"/>
      <c r="X6" s="1816"/>
      <c r="Y6" s="3200"/>
      <c r="Z6" s="3201"/>
      <c r="AA6" s="3171"/>
      <c r="AB6" s="3171"/>
      <c r="AC6" s="3171"/>
    </row>
    <row r="7" spans="1:29" s="117" customFormat="1" ht="15.75" thickBot="1">
      <c r="A7" s="408" t="s">
        <v>2554</v>
      </c>
      <c r="B7" s="409"/>
      <c r="C7" s="410">
        <f>'数据-取费表'!B2</f>
        <v>43154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4" t="s">
        <v>2555</v>
      </c>
      <c r="Q7" s="3197"/>
      <c r="R7" s="770" t="s">
        <v>17</v>
      </c>
      <c r="S7" s="771">
        <f t="shared" ref="S7:S15" si="0">F7</f>
        <v>0</v>
      </c>
      <c r="T7" s="770" t="s">
        <v>17</v>
      </c>
      <c r="U7" s="771">
        <f t="shared" ref="U7:U15" si="1">H7</f>
        <v>0</v>
      </c>
      <c r="V7" s="770" t="s">
        <v>17</v>
      </c>
      <c r="W7" s="771">
        <f t="shared" ref="W7:W15" si="2">J7</f>
        <v>0</v>
      </c>
      <c r="X7" s="772"/>
      <c r="Y7" s="3184" t="s">
        <v>2555</v>
      </c>
      <c r="Z7" s="3185"/>
      <c r="AA7" s="773" t="e">
        <f>D7/F7</f>
        <v>#DIV/0!</v>
      </c>
      <c r="AB7" s="773" t="e">
        <f>D7/H7</f>
        <v>#DIV/0!</v>
      </c>
      <c r="AC7" s="773"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4" t="s">
        <v>2558</v>
      </c>
      <c r="Q8" s="3185"/>
      <c r="R8" s="770" t="s">
        <v>17</v>
      </c>
      <c r="S8" s="771">
        <f t="shared" si="0"/>
        <v>0</v>
      </c>
      <c r="T8" s="770" t="s">
        <v>17</v>
      </c>
      <c r="U8" s="771">
        <f t="shared" si="1"/>
        <v>0</v>
      </c>
      <c r="V8" s="770" t="s">
        <v>17</v>
      </c>
      <c r="W8" s="771">
        <f t="shared" si="2"/>
        <v>0</v>
      </c>
      <c r="X8" s="772"/>
      <c r="Y8" s="3184" t="s">
        <v>2558</v>
      </c>
      <c r="Z8" s="3185"/>
      <c r="AA8" s="773" t="e">
        <f t="shared" ref="AA8:AA40" si="3">D8/F8</f>
        <v>#DIV/0!</v>
      </c>
      <c r="AB8" s="773" t="e">
        <f t="shared" ref="AB8:AB40" si="4">D8/H8</f>
        <v>#DIV/0!</v>
      </c>
      <c r="AC8" s="773"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2" t="s">
        <v>2561</v>
      </c>
      <c r="Q9" s="1798" t="str">
        <f t="shared" ref="Q9:Q15" si="6">B9</f>
        <v>用途</v>
      </c>
      <c r="R9" s="770" t="s">
        <v>17</v>
      </c>
      <c r="S9" s="771">
        <f t="shared" si="0"/>
        <v>100</v>
      </c>
      <c r="T9" s="770" t="s">
        <v>17</v>
      </c>
      <c r="U9" s="771">
        <f t="shared" si="1"/>
        <v>100</v>
      </c>
      <c r="V9" s="770" t="s">
        <v>17</v>
      </c>
      <c r="W9" s="771">
        <f t="shared" si="2"/>
        <v>100</v>
      </c>
      <c r="X9" s="772"/>
      <c r="Y9" s="3036"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2"/>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2"/>
      <c r="Q11" s="1798"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62"/>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62"/>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62"/>
      <c r="Q14" s="1798">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2565</v>
      </c>
      <c r="B15" s="69" t="s">
        <v>2709</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5" t="s">
        <v>2566</v>
      </c>
      <c r="Q15" s="1813" t="str">
        <f t="shared" si="6"/>
        <v>产业集聚程度</v>
      </c>
      <c r="R15" s="774" t="s">
        <v>17</v>
      </c>
      <c r="S15" s="775">
        <f t="shared" si="0"/>
        <v>100</v>
      </c>
      <c r="T15" s="774" t="s">
        <v>17</v>
      </c>
      <c r="U15" s="775">
        <f t="shared" si="1"/>
        <v>100</v>
      </c>
      <c r="V15" s="774" t="s">
        <v>17</v>
      </c>
      <c r="W15" s="775">
        <f t="shared" si="2"/>
        <v>100</v>
      </c>
      <c r="X15" s="1816"/>
      <c r="Y15" s="3165" t="s">
        <v>2566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6"/>
      <c r="Q16" s="1813"/>
      <c r="R16" s="774"/>
      <c r="S16" s="775"/>
      <c r="T16" s="774"/>
      <c r="U16" s="775"/>
      <c r="V16" s="774"/>
      <c r="W16" s="775"/>
      <c r="X16" s="1816"/>
      <c r="Y16" s="3166"/>
      <c r="Z16" s="1817"/>
      <c r="AA16" s="1814">
        <v>1</v>
      </c>
      <c r="AB16" s="1814">
        <v>1</v>
      </c>
      <c r="AC16" s="1814">
        <v>1</v>
      </c>
    </row>
    <row r="17" spans="1:29" ht="85.5">
      <c r="A17" s="428"/>
      <c r="B17" s="451" t="s">
        <v>2102</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6"/>
      <c r="Q17" s="1813" t="str">
        <f>B17</f>
        <v>交通便捷度</v>
      </c>
      <c r="R17" s="774" t="s">
        <v>17</v>
      </c>
      <c r="S17" s="775">
        <f>F17</f>
        <v>100</v>
      </c>
      <c r="T17" s="774" t="s">
        <v>17</v>
      </c>
      <c r="U17" s="775">
        <f>H17</f>
        <v>100</v>
      </c>
      <c r="V17" s="774" t="s">
        <v>17</v>
      </c>
      <c r="W17" s="775">
        <f>J17</f>
        <v>100</v>
      </c>
      <c r="X17" s="1816"/>
      <c r="Y17" s="316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66"/>
      <c r="Q18" s="1813"/>
      <c r="R18" s="774"/>
      <c r="S18" s="775"/>
      <c r="T18" s="774"/>
      <c r="U18" s="775"/>
      <c r="V18" s="774"/>
      <c r="W18" s="775"/>
      <c r="X18" s="1816"/>
      <c r="Y18" s="3166"/>
      <c r="Z18" s="1817"/>
      <c r="AA18" s="1814">
        <v>1</v>
      </c>
      <c r="AB18" s="1814">
        <v>1</v>
      </c>
      <c r="AC18" s="1814">
        <v>1</v>
      </c>
    </row>
    <row r="19" spans="1:29" ht="42.75">
      <c r="A19" s="428"/>
      <c r="B19" s="451" t="s">
        <v>2694</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6"/>
      <c r="Q19" s="1813" t="str">
        <f>B19</f>
        <v>公共配套设施</v>
      </c>
      <c r="R19" s="774" t="s">
        <v>17</v>
      </c>
      <c r="S19" s="775">
        <f>F19</f>
        <v>100</v>
      </c>
      <c r="T19" s="774" t="s">
        <v>17</v>
      </c>
      <c r="U19" s="775">
        <f>H19</f>
        <v>100</v>
      </c>
      <c r="V19" s="774" t="s">
        <v>17</v>
      </c>
      <c r="W19" s="775">
        <f>J19</f>
        <v>100</v>
      </c>
      <c r="X19" s="1816"/>
      <c r="Y19" s="316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66"/>
      <c r="Q20" s="1813"/>
      <c r="R20" s="774"/>
      <c r="S20" s="775"/>
      <c r="T20" s="774"/>
      <c r="U20" s="775"/>
      <c r="V20" s="774"/>
      <c r="W20" s="775"/>
      <c r="X20" s="1816"/>
      <c r="Y20" s="3166"/>
      <c r="Z20" s="1817"/>
      <c r="AA20" s="1814">
        <v>1</v>
      </c>
      <c r="AB20" s="1814">
        <v>1</v>
      </c>
      <c r="AC20" s="1814">
        <v>1</v>
      </c>
    </row>
    <row r="21" spans="1:29" ht="28.5">
      <c r="A21" s="428"/>
      <c r="B21" s="1387" t="s">
        <v>2695</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6"/>
      <c r="Q21" s="1813" t="str">
        <f>B21</f>
        <v>基础设施水平</v>
      </c>
      <c r="R21" s="774" t="s">
        <v>17</v>
      </c>
      <c r="S21" s="775">
        <f>F21</f>
        <v>100</v>
      </c>
      <c r="T21" s="774" t="s">
        <v>17</v>
      </c>
      <c r="U21" s="775">
        <f>H21</f>
        <v>100</v>
      </c>
      <c r="V21" s="774" t="s">
        <v>17</v>
      </c>
      <c r="W21" s="775">
        <f>J21</f>
        <v>100</v>
      </c>
      <c r="X21" s="1816"/>
      <c r="Y21" s="316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66"/>
      <c r="Q22" s="1813"/>
      <c r="R22" s="774"/>
      <c r="S22" s="775"/>
      <c r="T22" s="774"/>
      <c r="U22" s="775"/>
      <c r="V22" s="774"/>
      <c r="W22" s="775"/>
      <c r="X22" s="1816"/>
      <c r="Y22" s="3166"/>
      <c r="Z22" s="1817"/>
      <c r="AA22" s="1814">
        <v>1</v>
      </c>
      <c r="AB22" s="1814">
        <v>1</v>
      </c>
      <c r="AC22" s="1814">
        <v>1</v>
      </c>
    </row>
    <row r="23" spans="1:29" ht="71.25">
      <c r="A23" s="428"/>
      <c r="B23" s="451" t="s">
        <v>2696</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6"/>
      <c r="Q23" s="1813" t="str">
        <f>B23</f>
        <v>环境质量</v>
      </c>
      <c r="R23" s="774" t="s">
        <v>17</v>
      </c>
      <c r="S23" s="775">
        <f>F23</f>
        <v>100</v>
      </c>
      <c r="T23" s="774" t="s">
        <v>17</v>
      </c>
      <c r="U23" s="775">
        <f>H23</f>
        <v>100</v>
      </c>
      <c r="V23" s="774" t="s">
        <v>17</v>
      </c>
      <c r="W23" s="775">
        <f>J23</f>
        <v>100</v>
      </c>
      <c r="X23" s="1816"/>
      <c r="Y23" s="3166"/>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66"/>
      <c r="Q24" s="1813"/>
      <c r="R24" s="774"/>
      <c r="S24" s="775"/>
      <c r="T24" s="774"/>
      <c r="U24" s="775"/>
      <c r="V24" s="774"/>
      <c r="W24" s="775"/>
      <c r="X24" s="1816"/>
      <c r="Y24" s="316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6"/>
      <c r="Q25" s="1813">
        <f>B25</f>
        <v>111</v>
      </c>
      <c r="R25" s="774" t="s">
        <v>17</v>
      </c>
      <c r="S25" s="775">
        <f>F25</f>
        <v>100</v>
      </c>
      <c r="T25" s="774" t="s">
        <v>17</v>
      </c>
      <c r="U25" s="775">
        <f>H25</f>
        <v>100</v>
      </c>
      <c r="V25" s="774" t="s">
        <v>17</v>
      </c>
      <c r="W25" s="775">
        <f>J25</f>
        <v>100</v>
      </c>
      <c r="X25" s="1816"/>
      <c r="Y25" s="316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6"/>
      <c r="Q26" s="1813">
        <f t="shared" ref="Q26:Q40" si="11">B26</f>
        <v>111</v>
      </c>
      <c r="R26" s="774" t="s">
        <v>17</v>
      </c>
      <c r="S26" s="775">
        <f>F26</f>
        <v>100</v>
      </c>
      <c r="T26" s="774" t="s">
        <v>17</v>
      </c>
      <c r="U26" s="775">
        <f>H26</f>
        <v>100</v>
      </c>
      <c r="V26" s="774" t="s">
        <v>17</v>
      </c>
      <c r="W26" s="775">
        <f>J26</f>
        <v>100</v>
      </c>
      <c r="X26" s="1816"/>
      <c r="Y26" s="316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6"/>
      <c r="Q27" s="1798">
        <f t="shared" si="11"/>
        <v>111</v>
      </c>
      <c r="R27" s="770" t="s">
        <v>17</v>
      </c>
      <c r="S27" s="771">
        <f>F27</f>
        <v>100</v>
      </c>
      <c r="T27" s="770" t="s">
        <v>17</v>
      </c>
      <c r="U27" s="771">
        <f>H27</f>
        <v>100</v>
      </c>
      <c r="V27" s="770" t="s">
        <v>17</v>
      </c>
      <c r="W27" s="771">
        <f>J27</f>
        <v>100</v>
      </c>
      <c r="X27" s="772"/>
      <c r="Y27" s="316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6"/>
      <c r="Q28" s="1813">
        <f t="shared" si="11"/>
        <v>111</v>
      </c>
      <c r="R28" s="774" t="s">
        <v>17</v>
      </c>
      <c r="S28" s="775">
        <f t="shared" ref="S28:S40" si="12">F28</f>
        <v>100</v>
      </c>
      <c r="T28" s="774" t="s">
        <v>17</v>
      </c>
      <c r="U28" s="775">
        <f t="shared" ref="U28:U40" si="13">H28</f>
        <v>100</v>
      </c>
      <c r="V28" s="774" t="s">
        <v>17</v>
      </c>
      <c r="W28" s="775">
        <f t="shared" ref="W28:W40" si="14">J28</f>
        <v>100</v>
      </c>
      <c r="X28" s="1816"/>
      <c r="Y28" s="3166"/>
      <c r="Z28" s="1817">
        <f t="shared" ref="Z28:Z40" si="15">Q28</f>
        <v>111</v>
      </c>
      <c r="AA28" s="1814">
        <f t="shared" si="3"/>
        <v>1</v>
      </c>
      <c r="AB28" s="1814">
        <f t="shared" si="4"/>
        <v>1</v>
      </c>
      <c r="AC28" s="1814">
        <f t="shared" si="5"/>
        <v>1</v>
      </c>
    </row>
    <row r="29" spans="1:29" ht="15">
      <c r="A29" s="466" t="s">
        <v>2569</v>
      </c>
      <c r="B29" s="71" t="s">
        <v>2699</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67" t="s">
        <v>2571</v>
      </c>
      <c r="Q29" s="1813" t="str">
        <f t="shared" si="11"/>
        <v>建筑类型</v>
      </c>
      <c r="R29" s="774" t="s">
        <v>17</v>
      </c>
      <c r="S29" s="775">
        <f t="shared" si="12"/>
        <v>100</v>
      </c>
      <c r="T29" s="774" t="s">
        <v>17</v>
      </c>
      <c r="U29" s="775">
        <f t="shared" si="13"/>
        <v>100</v>
      </c>
      <c r="V29" s="774" t="s">
        <v>17</v>
      </c>
      <c r="W29" s="775">
        <f t="shared" si="14"/>
        <v>100</v>
      </c>
      <c r="X29" s="1816"/>
      <c r="Y29" s="3168" t="s">
        <v>2571</v>
      </c>
      <c r="Z29" s="1817" t="str">
        <f t="shared" si="15"/>
        <v>建筑类型</v>
      </c>
      <c r="AA29" s="1814">
        <f t="shared" si="3"/>
        <v>1</v>
      </c>
      <c r="AB29" s="1814">
        <f t="shared" si="4"/>
        <v>1</v>
      </c>
      <c r="AC29" s="1814">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8"/>
      <c r="Q30" s="776" t="str">
        <f t="shared" si="11"/>
        <v>项目建筑规模</v>
      </c>
      <c r="R30" s="777" t="s">
        <v>17</v>
      </c>
      <c r="S30" s="778" t="e">
        <f t="shared" si="12"/>
        <v>#N/A</v>
      </c>
      <c r="T30" s="777" t="s">
        <v>17</v>
      </c>
      <c r="U30" s="778" t="e">
        <f t="shared" si="13"/>
        <v>#N/A</v>
      </c>
      <c r="V30" s="777" t="s">
        <v>17</v>
      </c>
      <c r="W30" s="778" t="e">
        <f t="shared" si="14"/>
        <v>#N/A</v>
      </c>
      <c r="X30" s="779"/>
      <c r="Y30" s="3168"/>
      <c r="Z30" s="780" t="str">
        <f t="shared" si="15"/>
        <v>项目建筑规模</v>
      </c>
      <c r="AA30" s="1814" t="e">
        <f t="shared" si="3"/>
        <v>#N/A</v>
      </c>
      <c r="AB30" s="1814" t="e">
        <f t="shared" si="4"/>
        <v>#N/A</v>
      </c>
      <c r="AC30" s="1814"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8"/>
      <c r="Q31" s="1813" t="str">
        <f t="shared" si="11"/>
        <v>建筑结构</v>
      </c>
      <c r="R31" s="774" t="s">
        <v>17</v>
      </c>
      <c r="S31" s="775">
        <f t="shared" si="12"/>
        <v>100</v>
      </c>
      <c r="T31" s="774" t="s">
        <v>17</v>
      </c>
      <c r="U31" s="775">
        <f t="shared" si="13"/>
        <v>100</v>
      </c>
      <c r="V31" s="774" t="s">
        <v>17</v>
      </c>
      <c r="W31" s="775">
        <f t="shared" si="14"/>
        <v>100</v>
      </c>
      <c r="X31" s="1816"/>
      <c r="Y31" s="3168"/>
      <c r="Z31" s="1817" t="str">
        <f t="shared" si="15"/>
        <v>建筑结构</v>
      </c>
      <c r="AA31" s="1814">
        <f t="shared" si="3"/>
        <v>1</v>
      </c>
      <c r="AB31" s="1814">
        <f t="shared" si="4"/>
        <v>1</v>
      </c>
      <c r="AC31" s="1814">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8"/>
      <c r="Q32" s="1813" t="str">
        <f t="shared" si="11"/>
        <v>公共部分装修</v>
      </c>
      <c r="R32" s="774" t="s">
        <v>17</v>
      </c>
      <c r="S32" s="775">
        <f t="shared" si="12"/>
        <v>100</v>
      </c>
      <c r="T32" s="774" t="s">
        <v>17</v>
      </c>
      <c r="U32" s="775">
        <f t="shared" si="13"/>
        <v>100</v>
      </c>
      <c r="V32" s="774" t="s">
        <v>17</v>
      </c>
      <c r="W32" s="775">
        <f t="shared" si="14"/>
        <v>100</v>
      </c>
      <c r="X32" s="1816"/>
      <c r="Y32" s="3168"/>
      <c r="Z32" s="1817" t="str">
        <f t="shared" si="15"/>
        <v>公共部分装修</v>
      </c>
      <c r="AA32" s="1814">
        <f t="shared" si="3"/>
        <v>1</v>
      </c>
      <c r="AB32" s="1814">
        <f t="shared" si="4"/>
        <v>1</v>
      </c>
      <c r="AC32" s="1814">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8"/>
      <c r="Q33" s="1813" t="str">
        <f t="shared" si="11"/>
        <v>成新度</v>
      </c>
      <c r="R33" s="774" t="s">
        <v>17</v>
      </c>
      <c r="S33" s="775" t="e">
        <f t="shared" si="12"/>
        <v>#N/A</v>
      </c>
      <c r="T33" s="774" t="s">
        <v>17</v>
      </c>
      <c r="U33" s="775" t="e">
        <f t="shared" si="13"/>
        <v>#N/A</v>
      </c>
      <c r="V33" s="774" t="s">
        <v>17</v>
      </c>
      <c r="W33" s="775" t="e">
        <f t="shared" si="14"/>
        <v>#N/A</v>
      </c>
      <c r="X33" s="1816"/>
      <c r="Y33" s="3168"/>
      <c r="Z33" s="1817" t="str">
        <f t="shared" si="15"/>
        <v>成新度</v>
      </c>
      <c r="AA33" s="1814" t="e">
        <f t="shared" si="3"/>
        <v>#N/A</v>
      </c>
      <c r="AB33" s="1814" t="e">
        <f t="shared" si="4"/>
        <v>#N/A</v>
      </c>
      <c r="AC33" s="1814"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8"/>
      <c r="Q34" s="1798" t="str">
        <f t="shared" si="11"/>
        <v>物业管理</v>
      </c>
      <c r="R34" s="770" t="s">
        <v>17</v>
      </c>
      <c r="S34" s="771">
        <f t="shared" si="12"/>
        <v>100</v>
      </c>
      <c r="T34" s="770" t="s">
        <v>17</v>
      </c>
      <c r="U34" s="771">
        <f t="shared" si="13"/>
        <v>100</v>
      </c>
      <c r="V34" s="770" t="s">
        <v>17</v>
      </c>
      <c r="W34" s="771">
        <f t="shared" si="14"/>
        <v>100</v>
      </c>
      <c r="X34" s="772"/>
      <c r="Y34" s="3168"/>
      <c r="Z34" s="55" t="str">
        <f t="shared" si="15"/>
        <v>物业管理</v>
      </c>
      <c r="AA34" s="773">
        <f t="shared" si="3"/>
        <v>1</v>
      </c>
      <c r="AB34" s="773">
        <f t="shared" si="4"/>
        <v>1</v>
      </c>
      <c r="AC34" s="773">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8" t="s">
        <v>2571</v>
      </c>
      <c r="Q35" s="1813" t="str">
        <f t="shared" si="11"/>
        <v>市政基础设施</v>
      </c>
      <c r="R35" s="774" t="s">
        <v>17</v>
      </c>
      <c r="S35" s="775">
        <f t="shared" si="12"/>
        <v>100</v>
      </c>
      <c r="T35" s="774" t="s">
        <v>17</v>
      </c>
      <c r="U35" s="775">
        <f t="shared" si="13"/>
        <v>100</v>
      </c>
      <c r="V35" s="774" t="s">
        <v>17</v>
      </c>
      <c r="W35" s="775">
        <f t="shared" si="14"/>
        <v>100</v>
      </c>
      <c r="X35" s="1816"/>
      <c r="Y35" s="3168" t="s">
        <v>2571</v>
      </c>
      <c r="Z35" s="1817" t="str">
        <f t="shared" si="15"/>
        <v>市政基础设施</v>
      </c>
      <c r="AA35" s="1814">
        <f t="shared" si="3"/>
        <v>1</v>
      </c>
      <c r="AB35" s="1814">
        <f t="shared" si="4"/>
        <v>1</v>
      </c>
      <c r="AC35" s="1814">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8"/>
      <c r="Q36" s="1813" t="str">
        <f t="shared" si="11"/>
        <v>内部装修</v>
      </c>
      <c r="R36" s="774" t="s">
        <v>17</v>
      </c>
      <c r="S36" s="775">
        <f t="shared" si="12"/>
        <v>100</v>
      </c>
      <c r="T36" s="774" t="s">
        <v>17</v>
      </c>
      <c r="U36" s="775">
        <f t="shared" si="13"/>
        <v>100</v>
      </c>
      <c r="V36" s="774" t="s">
        <v>17</v>
      </c>
      <c r="W36" s="775">
        <f t="shared" si="14"/>
        <v>100</v>
      </c>
      <c r="X36" s="1816"/>
      <c r="Y36" s="3168"/>
      <c r="Z36" s="1817" t="str">
        <f t="shared" si="15"/>
        <v>内部装修</v>
      </c>
      <c r="AA36" s="1814">
        <f t="shared" si="3"/>
        <v>1</v>
      </c>
      <c r="AB36" s="1814">
        <f t="shared" si="4"/>
        <v>1</v>
      </c>
      <c r="AC36" s="1814">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8"/>
      <c r="Q37" s="1813" t="str">
        <f t="shared" si="11"/>
        <v>内部装修状况</v>
      </c>
      <c r="R37" s="774" t="s">
        <v>17</v>
      </c>
      <c r="S37" s="775">
        <f t="shared" si="12"/>
        <v>100</v>
      </c>
      <c r="T37" s="774" t="s">
        <v>17</v>
      </c>
      <c r="U37" s="775">
        <f t="shared" si="13"/>
        <v>100</v>
      </c>
      <c r="V37" s="774" t="s">
        <v>17</v>
      </c>
      <c r="W37" s="775">
        <f t="shared" si="14"/>
        <v>100</v>
      </c>
      <c r="X37" s="1816"/>
      <c r="Y37" s="316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8"/>
      <c r="Q38" s="776">
        <f t="shared" si="11"/>
        <v>111</v>
      </c>
      <c r="R38" s="777" t="s">
        <v>17</v>
      </c>
      <c r="S38" s="778">
        <f t="shared" si="12"/>
        <v>100</v>
      </c>
      <c r="T38" s="777" t="s">
        <v>17</v>
      </c>
      <c r="U38" s="778">
        <f t="shared" si="13"/>
        <v>100</v>
      </c>
      <c r="V38" s="777" t="s">
        <v>17</v>
      </c>
      <c r="W38" s="778">
        <f t="shared" si="14"/>
        <v>100</v>
      </c>
      <c r="X38" s="779"/>
      <c r="Y38" s="316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8"/>
      <c r="Q39" s="1813">
        <f t="shared" si="11"/>
        <v>111</v>
      </c>
      <c r="R39" s="774" t="s">
        <v>17</v>
      </c>
      <c r="S39" s="775">
        <f t="shared" si="12"/>
        <v>100</v>
      </c>
      <c r="T39" s="774" t="s">
        <v>17</v>
      </c>
      <c r="U39" s="775">
        <f t="shared" si="13"/>
        <v>100</v>
      </c>
      <c r="V39" s="774" t="s">
        <v>17</v>
      </c>
      <c r="W39" s="775">
        <f t="shared" si="14"/>
        <v>100</v>
      </c>
      <c r="X39" s="1816"/>
      <c r="Y39" s="3168"/>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8"/>
      <c r="Q40" s="1813">
        <f t="shared" si="11"/>
        <v>111</v>
      </c>
      <c r="R40" s="774" t="s">
        <v>17</v>
      </c>
      <c r="S40" s="775">
        <f t="shared" si="12"/>
        <v>100</v>
      </c>
      <c r="T40" s="774" t="s">
        <v>17</v>
      </c>
      <c r="U40" s="775">
        <f t="shared" si="13"/>
        <v>100</v>
      </c>
      <c r="V40" s="774" t="s">
        <v>17</v>
      </c>
      <c r="W40" s="775">
        <f t="shared" si="14"/>
        <v>100</v>
      </c>
      <c r="X40" s="1816"/>
      <c r="Y40" s="3238"/>
      <c r="Z40" s="1817">
        <f t="shared" si="15"/>
        <v>111</v>
      </c>
      <c r="AA40" s="1814">
        <f t="shared" si="3"/>
        <v>1</v>
      </c>
      <c r="AB40" s="1814">
        <f t="shared" si="4"/>
        <v>1</v>
      </c>
      <c r="AC40" s="1814">
        <f t="shared" si="5"/>
        <v>1</v>
      </c>
    </row>
    <row r="41" spans="1:29" ht="15">
      <c r="A41" s="479" t="s">
        <v>2583</v>
      </c>
      <c r="B41" s="480"/>
      <c r="C41" s="1410" t="s">
        <v>1</v>
      </c>
      <c r="D41" s="1411"/>
      <c r="E41" s="1412"/>
      <c r="F41" s="1413"/>
      <c r="G41" s="1414"/>
      <c r="H41" s="1415"/>
      <c r="I41" s="1412"/>
      <c r="J41" s="1415"/>
      <c r="K41" s="783"/>
      <c r="L41" s="1146"/>
      <c r="M41" s="1147"/>
      <c r="N41" s="1134"/>
      <c r="O41" s="1147"/>
      <c r="P41" s="3162" t="str">
        <f>A41</f>
        <v>成交单价（元/平方米）</v>
      </c>
      <c r="Q41" s="3162"/>
      <c r="R41" s="3234">
        <f>E41</f>
        <v>0</v>
      </c>
      <c r="S41" s="3234"/>
      <c r="T41" s="3234">
        <f>G41</f>
        <v>0</v>
      </c>
      <c r="U41" s="3234"/>
      <c r="V41" s="3234">
        <f>I41</f>
        <v>0</v>
      </c>
      <c r="W41" s="3234"/>
      <c r="X41" s="759"/>
      <c r="Y41" s="781"/>
      <c r="Z41" s="759"/>
      <c r="AA41" s="759"/>
      <c r="AB41" s="759"/>
      <c r="AC41" s="759"/>
    </row>
    <row r="42" spans="1:29" ht="15.75" thickBot="1">
      <c r="A42" s="486" t="s">
        <v>2675</v>
      </c>
      <c r="B42" s="487"/>
      <c r="C42" s="1416" t="e">
        <f>R43</f>
        <v>#DIV/0!</v>
      </c>
      <c r="D42" s="1417"/>
      <c r="E42" s="1418" t="e">
        <f>R42</f>
        <v>#DIV/0!</v>
      </c>
      <c r="F42" s="1418"/>
      <c r="G42" s="1416" t="e">
        <f>T42</f>
        <v>#DIV/0!</v>
      </c>
      <c r="H42" s="1417"/>
      <c r="I42" s="1418" t="e">
        <f>V42</f>
        <v>#DIV/0!</v>
      </c>
      <c r="J42" s="1417"/>
      <c r="K42" s="784"/>
      <c r="L42" s="1146"/>
      <c r="M42" s="1147"/>
      <c r="N42" s="1134"/>
      <c r="O42" s="1147"/>
      <c r="P42" s="3162" t="str">
        <f>A42</f>
        <v>比较价值（元/平方米）</v>
      </c>
      <c r="Q42" s="3162"/>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9"/>
      <c r="Y42" s="759"/>
      <c r="Z42" s="759"/>
      <c r="AA42" s="759"/>
      <c r="AB42" s="759"/>
      <c r="AC42" s="759"/>
    </row>
    <row r="43" spans="1:29" ht="15.75" thickBot="1">
      <c r="A43" s="492" t="s">
        <v>2676</v>
      </c>
      <c r="B43" s="493"/>
      <c r="C43" s="1420" t="e">
        <f>R43</f>
        <v>#DIV/0!</v>
      </c>
      <c r="D43" s="1420"/>
      <c r="E43" s="1420"/>
      <c r="F43" s="1420"/>
      <c r="G43" s="1420"/>
      <c r="H43" s="1420"/>
      <c r="I43" s="1420"/>
      <c r="J43" s="1420"/>
      <c r="K43" s="785"/>
      <c r="L43" s="1146"/>
      <c r="M43" s="1147"/>
      <c r="N43" s="1147"/>
      <c r="O43" s="1147"/>
      <c r="P43" s="3159" t="str">
        <f>A43</f>
        <v>估价对象XX用房的比较价值（楼面单价，元/平方米）</v>
      </c>
      <c r="Q43" s="3160"/>
      <c r="R43" s="3233" t="e">
        <f>IF(F1="售价",ROUND(AVERAGE(R42:V42),0),ROUND(AVERAGE(R42:V42),1))</f>
        <v>#DIV/0!</v>
      </c>
      <c r="S43" s="3233"/>
      <c r="T43" s="3233"/>
      <c r="U43" s="3233"/>
      <c r="V43" s="3233"/>
      <c r="W43" s="323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2680</v>
      </c>
      <c r="B51" s="759"/>
      <c r="C51" s="764"/>
      <c r="D51" s="764"/>
      <c r="E51" s="764"/>
      <c r="F51" s="765"/>
      <c r="G51" s="765"/>
      <c r="H51" s="764"/>
      <c r="I51" s="764"/>
      <c r="J51" s="764"/>
      <c r="K51" s="1163"/>
      <c r="L51" s="1164"/>
      <c r="M51" s="1162"/>
      <c r="N51" s="1162"/>
      <c r="O51" s="1162"/>
      <c r="P51" s="503"/>
      <c r="Q51" s="504"/>
    </row>
    <row r="52" spans="1:17" s="508" customFormat="1" ht="15">
      <c r="A52" s="505" t="s">
        <v>2554</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2594</v>
      </c>
      <c r="B57" s="528" t="s">
        <v>2560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2569</v>
      </c>
      <c r="B88" s="528" t="s">
        <v>2618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2620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25"/>
      <c r="F1" s="2590"/>
      <c r="G1" s="1626" t="s">
        <v>2649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9" t="s">
        <v>2653</v>
      </c>
      <c r="S4" s="3190"/>
      <c r="T4" s="3189" t="s">
        <v>2654</v>
      </c>
      <c r="U4" s="3190"/>
      <c r="V4" s="3164" t="s">
        <v>2655</v>
      </c>
      <c r="W4" s="3164"/>
      <c r="X4" s="1816"/>
      <c r="Y4" s="3189" t="s">
        <v>2657</v>
      </c>
      <c r="Z4" s="3190"/>
      <c r="AA4" s="3169" t="s">
        <v>2653</v>
      </c>
      <c r="AB4" s="3170" t="s">
        <v>2654</v>
      </c>
      <c r="AC4" s="3169" t="s">
        <v>2655</v>
      </c>
    </row>
    <row r="5" spans="1:29" ht="15">
      <c r="A5" s="404"/>
      <c r="B5" s="405"/>
      <c r="C5" s="3193" t="s">
        <v>2548</v>
      </c>
      <c r="D5" s="3194"/>
      <c r="E5" s="3182" t="s">
        <v>2549</v>
      </c>
      <c r="F5" s="3183"/>
      <c r="G5" s="3193" t="s">
        <v>2550</v>
      </c>
      <c r="H5" s="3194"/>
      <c r="I5" s="3193" t="s">
        <v>2551</v>
      </c>
      <c r="J5" s="3194"/>
      <c r="K5" s="610"/>
      <c r="L5" s="1133"/>
      <c r="M5" s="1134"/>
      <c r="N5" s="1134"/>
      <c r="O5" s="1134"/>
      <c r="P5" s="3178"/>
      <c r="Q5" s="3179"/>
      <c r="R5" s="3191"/>
      <c r="S5" s="3192"/>
      <c r="T5" s="3191"/>
      <c r="U5" s="3192"/>
      <c r="V5" s="3164"/>
      <c r="W5" s="3164"/>
      <c r="X5" s="1816"/>
      <c r="Y5" s="3191"/>
      <c r="Z5" s="3192"/>
      <c r="AA5" s="3170"/>
      <c r="AB5" s="3170"/>
      <c r="AC5" s="3170"/>
    </row>
    <row r="6" spans="1:29" ht="15.75" thickBot="1">
      <c r="A6" s="406"/>
      <c r="B6" s="407"/>
      <c r="C6" s="3229" t="s">
        <v>2552</v>
      </c>
      <c r="D6" s="3230"/>
      <c r="E6" s="3231" t="s">
        <v>2552</v>
      </c>
      <c r="F6" s="3232"/>
      <c r="G6" s="3229" t="s">
        <v>2552</v>
      </c>
      <c r="H6" s="3230"/>
      <c r="I6" s="3229" t="s">
        <v>2552</v>
      </c>
      <c r="J6" s="3230"/>
      <c r="K6" s="610" t="s">
        <v>2553</v>
      </c>
      <c r="L6" s="1133"/>
      <c r="M6" s="1134"/>
      <c r="N6" s="1134"/>
      <c r="O6" s="1134"/>
      <c r="P6" s="3180"/>
      <c r="Q6" s="3181"/>
      <c r="R6" s="3191"/>
      <c r="S6" s="3192"/>
      <c r="T6" s="3200"/>
      <c r="U6" s="3201"/>
      <c r="V6" s="3164"/>
      <c r="W6" s="3164"/>
      <c r="X6" s="1816"/>
      <c r="Y6" s="3200"/>
      <c r="Z6" s="3201"/>
      <c r="AA6" s="3171"/>
      <c r="AB6" s="3171"/>
      <c r="AC6" s="3171"/>
    </row>
    <row r="7" spans="1:29" s="117" customFormat="1" ht="15.75" thickBot="1">
      <c r="A7" s="408" t="s">
        <v>2554</v>
      </c>
      <c r="B7" s="409"/>
      <c r="C7" s="410">
        <f>'数据-取费表'!B2</f>
        <v>43154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4" t="s">
        <v>2555</v>
      </c>
      <c r="Q7" s="3197"/>
      <c r="R7" s="770" t="s">
        <v>17</v>
      </c>
      <c r="S7" s="771">
        <f t="shared" ref="S7:S14" si="0">F7</f>
        <v>0</v>
      </c>
      <c r="T7" s="770" t="s">
        <v>17</v>
      </c>
      <c r="U7" s="771">
        <f t="shared" ref="U7:U14" si="1">H7</f>
        <v>0</v>
      </c>
      <c r="V7" s="770" t="s">
        <v>17</v>
      </c>
      <c r="W7" s="771">
        <f t="shared" ref="W7:W14" si="2">J7</f>
        <v>0</v>
      </c>
      <c r="X7" s="772"/>
      <c r="Y7" s="3184" t="s">
        <v>2555</v>
      </c>
      <c r="Z7" s="3185"/>
      <c r="AA7" s="773" t="e">
        <f>D7/F7</f>
        <v>#DIV/0!</v>
      </c>
      <c r="AB7" s="773" t="e">
        <f>D7/H7</f>
        <v>#DIV/0!</v>
      </c>
      <c r="AC7" s="773"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4" t="s">
        <v>2558</v>
      </c>
      <c r="Q8" s="3185"/>
      <c r="R8" s="770" t="s">
        <v>17</v>
      </c>
      <c r="S8" s="771">
        <f t="shared" si="0"/>
        <v>0</v>
      </c>
      <c r="T8" s="770" t="s">
        <v>17</v>
      </c>
      <c r="U8" s="771">
        <f t="shared" si="1"/>
        <v>0</v>
      </c>
      <c r="V8" s="770" t="s">
        <v>17</v>
      </c>
      <c r="W8" s="771">
        <f t="shared" si="2"/>
        <v>0</v>
      </c>
      <c r="X8" s="772"/>
      <c r="Y8" s="3184" t="s">
        <v>2558</v>
      </c>
      <c r="Z8" s="3185"/>
      <c r="AA8" s="773" t="e">
        <f t="shared" ref="AA8:AA36" si="3">D8/F8</f>
        <v>#DIV/0!</v>
      </c>
      <c r="AB8" s="773" t="e">
        <f t="shared" ref="AB8:AB36" si="4">D8/H8</f>
        <v>#DIV/0!</v>
      </c>
      <c r="AC8" s="773"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2" t="s">
        <v>2561</v>
      </c>
      <c r="Q9" s="1798" t="str">
        <f t="shared" ref="Q9:Q14" si="6">B9</f>
        <v>用途</v>
      </c>
      <c r="R9" s="770" t="s">
        <v>17</v>
      </c>
      <c r="S9" s="771">
        <f t="shared" si="0"/>
        <v>100</v>
      </c>
      <c r="T9" s="770" t="s">
        <v>17</v>
      </c>
      <c r="U9" s="771">
        <f t="shared" si="1"/>
        <v>100</v>
      </c>
      <c r="V9" s="770" t="s">
        <v>17</v>
      </c>
      <c r="W9" s="771">
        <f t="shared" si="2"/>
        <v>100</v>
      </c>
      <c r="X9" s="772"/>
      <c r="Y9" s="3036" t="s">
        <v>2562</v>
      </c>
      <c r="Z9" s="55" t="str">
        <f t="shared" ref="Z9:Z14" si="7">Q9</f>
        <v>用途</v>
      </c>
      <c r="AA9" s="773">
        <f t="shared" si="3"/>
        <v>1</v>
      </c>
      <c r="AB9" s="773">
        <f t="shared" si="4"/>
        <v>1</v>
      </c>
      <c r="AC9" s="773">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2"/>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2"/>
      <c r="Q11" s="1798">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2"/>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2"/>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85.5">
      <c r="A14" s="401" t="s">
        <v>2565</v>
      </c>
      <c r="B14" s="629" t="s">
        <v>2715</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5" t="s">
        <v>2566</v>
      </c>
      <c r="Q14" s="1813" t="str">
        <f t="shared" si="6"/>
        <v>交通便捷度</v>
      </c>
      <c r="R14" s="774" t="s">
        <v>17</v>
      </c>
      <c r="S14" s="775">
        <f t="shared" si="0"/>
        <v>100</v>
      </c>
      <c r="T14" s="774" t="s">
        <v>17</v>
      </c>
      <c r="U14" s="775">
        <f t="shared" si="1"/>
        <v>100</v>
      </c>
      <c r="V14" s="774" t="s">
        <v>17</v>
      </c>
      <c r="W14" s="775">
        <f t="shared" si="2"/>
        <v>100</v>
      </c>
      <c r="X14" s="1816"/>
      <c r="Y14" s="3165" t="s">
        <v>2566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6"/>
      <c r="Q15" s="1813"/>
      <c r="R15" s="774"/>
      <c r="S15" s="775"/>
      <c r="T15" s="774"/>
      <c r="U15" s="775"/>
      <c r="V15" s="774"/>
      <c r="W15" s="775"/>
      <c r="X15" s="1816"/>
      <c r="Y15" s="3166"/>
      <c r="Z15" s="1817"/>
      <c r="AA15" s="1814">
        <v>1</v>
      </c>
      <c r="AB15" s="1814">
        <v>1</v>
      </c>
      <c r="AC15" s="1814">
        <v>1</v>
      </c>
    </row>
    <row r="16" spans="1:29" ht="42.75">
      <c r="A16" s="404"/>
      <c r="B16" s="631" t="s">
        <v>2694</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6"/>
      <c r="Q16" s="1813" t="str">
        <f>B16</f>
        <v>公共配套设施</v>
      </c>
      <c r="R16" s="774" t="s">
        <v>17</v>
      </c>
      <c r="S16" s="775">
        <f>F16</f>
        <v>100</v>
      </c>
      <c r="T16" s="774" t="s">
        <v>17</v>
      </c>
      <c r="U16" s="775">
        <f>H16</f>
        <v>100</v>
      </c>
      <c r="V16" s="774" t="s">
        <v>17</v>
      </c>
      <c r="W16" s="775">
        <f>J16</f>
        <v>100</v>
      </c>
      <c r="X16" s="1816"/>
      <c r="Y16" s="3166"/>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66"/>
      <c r="Q17" s="1813"/>
      <c r="R17" s="774"/>
      <c r="S17" s="775"/>
      <c r="T17" s="774"/>
      <c r="U17" s="775"/>
      <c r="V17" s="774"/>
      <c r="W17" s="775"/>
      <c r="X17" s="1816"/>
      <c r="Y17" s="3166"/>
      <c r="Z17" s="1817"/>
      <c r="AA17" s="1814">
        <v>1</v>
      </c>
      <c r="AB17" s="1814">
        <v>1</v>
      </c>
      <c r="AC17" s="1814">
        <v>1</v>
      </c>
    </row>
    <row r="18" spans="1:29" ht="28.5">
      <c r="A18" s="404"/>
      <c r="B18" s="633" t="s">
        <v>2695</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6"/>
      <c r="Q18" s="1813" t="str">
        <f>B18</f>
        <v>基础设施水平</v>
      </c>
      <c r="R18" s="774" t="s">
        <v>17</v>
      </c>
      <c r="S18" s="775">
        <f>F18</f>
        <v>100</v>
      </c>
      <c r="T18" s="774" t="s">
        <v>17</v>
      </c>
      <c r="U18" s="775">
        <f>H18</f>
        <v>100</v>
      </c>
      <c r="V18" s="774" t="s">
        <v>17</v>
      </c>
      <c r="W18" s="775">
        <f>J18</f>
        <v>100</v>
      </c>
      <c r="X18" s="1816"/>
      <c r="Y18" s="3166"/>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66"/>
      <c r="Q19" s="1813"/>
      <c r="R19" s="774"/>
      <c r="S19" s="775"/>
      <c r="T19" s="774"/>
      <c r="U19" s="775"/>
      <c r="V19" s="774"/>
      <c r="W19" s="775"/>
      <c r="X19" s="1816"/>
      <c r="Y19" s="3166"/>
      <c r="Z19" s="1817"/>
      <c r="AA19" s="1814">
        <v>1</v>
      </c>
      <c r="AB19" s="1814">
        <v>1</v>
      </c>
      <c r="AC19" s="1814">
        <v>1</v>
      </c>
    </row>
    <row r="20" spans="1:29" ht="57">
      <c r="A20" s="404"/>
      <c r="B20" s="631" t="s">
        <v>2716</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6"/>
      <c r="Q20" s="1813" t="str">
        <f>B20</f>
        <v>自然及人文环境</v>
      </c>
      <c r="R20" s="774" t="s">
        <v>17</v>
      </c>
      <c r="S20" s="775">
        <f>F20</f>
        <v>100</v>
      </c>
      <c r="T20" s="774" t="s">
        <v>17</v>
      </c>
      <c r="U20" s="775">
        <f>H20</f>
        <v>100</v>
      </c>
      <c r="V20" s="774" t="s">
        <v>17</v>
      </c>
      <c r="W20" s="775">
        <f>J20</f>
        <v>100</v>
      </c>
      <c r="X20" s="1816"/>
      <c r="Y20" s="316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6"/>
      <c r="Q21" s="1813"/>
      <c r="R21" s="774"/>
      <c r="S21" s="775"/>
      <c r="T21" s="774"/>
      <c r="U21" s="775"/>
      <c r="V21" s="774"/>
      <c r="W21" s="775"/>
      <c r="X21" s="1816"/>
      <c r="Y21" s="3166"/>
      <c r="Z21" s="1817"/>
      <c r="AA21" s="1814">
        <v>1</v>
      </c>
      <c r="AB21" s="1814">
        <v>1</v>
      </c>
      <c r="AC21" s="1814">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6"/>
      <c r="Q22" s="1813" t="str">
        <f>B22</f>
        <v>楼层</v>
      </c>
      <c r="R22" s="774" t="s">
        <v>17</v>
      </c>
      <c r="S22" s="775">
        <f>F22</f>
        <v>100</v>
      </c>
      <c r="T22" s="774" t="s">
        <v>17</v>
      </c>
      <c r="U22" s="775">
        <f>H22</f>
        <v>100</v>
      </c>
      <c r="V22" s="774" t="s">
        <v>17</v>
      </c>
      <c r="W22" s="775">
        <f>J22</f>
        <v>100</v>
      </c>
      <c r="X22" s="1816"/>
      <c r="Y22" s="316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6"/>
      <c r="Q23" s="1813">
        <f>B23</f>
        <v>111</v>
      </c>
      <c r="R23" s="774" t="s">
        <v>17</v>
      </c>
      <c r="S23" s="775">
        <f>F23</f>
        <v>100</v>
      </c>
      <c r="T23" s="774" t="s">
        <v>17</v>
      </c>
      <c r="U23" s="775">
        <f>H23</f>
        <v>100</v>
      </c>
      <c r="V23" s="774" t="s">
        <v>17</v>
      </c>
      <c r="W23" s="775">
        <f>J23</f>
        <v>100</v>
      </c>
      <c r="X23" s="1816"/>
      <c r="Y23" s="316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6"/>
      <c r="Q24" s="1813">
        <f t="shared" ref="Q24:Q36" si="11">B24</f>
        <v>111</v>
      </c>
      <c r="R24" s="774" t="s">
        <v>17</v>
      </c>
      <c r="S24" s="775">
        <f>F24</f>
        <v>100</v>
      </c>
      <c r="T24" s="774" t="s">
        <v>17</v>
      </c>
      <c r="U24" s="775">
        <f>H24</f>
        <v>100</v>
      </c>
      <c r="V24" s="774" t="s">
        <v>17</v>
      </c>
      <c r="W24" s="775">
        <f>J24</f>
        <v>100</v>
      </c>
      <c r="X24" s="1816"/>
      <c r="Y24" s="316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6"/>
      <c r="Q25" s="1798">
        <f t="shared" si="11"/>
        <v>111</v>
      </c>
      <c r="R25" s="770" t="s">
        <v>17</v>
      </c>
      <c r="S25" s="771">
        <f>F25</f>
        <v>100</v>
      </c>
      <c r="T25" s="770" t="s">
        <v>17</v>
      </c>
      <c r="U25" s="771">
        <f>H25</f>
        <v>100</v>
      </c>
      <c r="V25" s="770" t="s">
        <v>17</v>
      </c>
      <c r="W25" s="771">
        <f>J25</f>
        <v>100</v>
      </c>
      <c r="X25" s="772"/>
      <c r="Y25" s="3166"/>
      <c r="Z25" s="55">
        <f>Q25</f>
        <v>111</v>
      </c>
      <c r="AA25" s="1814">
        <f>D25/F25</f>
        <v>1</v>
      </c>
      <c r="AB25" s="1814">
        <f>D25/H25</f>
        <v>1</v>
      </c>
      <c r="AC25" s="1814">
        <f>D25/J25</f>
        <v>1</v>
      </c>
    </row>
    <row r="26" spans="1:29" ht="15">
      <c r="A26" s="652" t="s">
        <v>2569</v>
      </c>
      <c r="B26" s="70" t="s">
        <v>2718</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7" t="s">
        <v>2571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8" t="s">
        <v>2571</v>
      </c>
      <c r="Z26" s="1817" t="str">
        <f t="shared" ref="Z26:Z36" si="15">Q26</f>
        <v>配套类型</v>
      </c>
      <c r="AA26" s="1814">
        <f t="shared" si="3"/>
        <v>1</v>
      </c>
      <c r="AB26" s="1814">
        <f t="shared" si="4"/>
        <v>1</v>
      </c>
      <c r="AC26" s="1814">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8"/>
      <c r="Q27" s="776" t="str">
        <f t="shared" si="11"/>
        <v>项目停车位配比</v>
      </c>
      <c r="R27" s="777" t="s">
        <v>17</v>
      </c>
      <c r="S27" s="778">
        <f t="shared" si="12"/>
        <v>100</v>
      </c>
      <c r="T27" s="777" t="s">
        <v>17</v>
      </c>
      <c r="U27" s="778">
        <f t="shared" si="13"/>
        <v>100</v>
      </c>
      <c r="V27" s="777" t="s">
        <v>17</v>
      </c>
      <c r="W27" s="778">
        <f t="shared" si="14"/>
        <v>100</v>
      </c>
      <c r="X27" s="779"/>
      <c r="Y27" s="3168"/>
      <c r="Z27" s="780" t="str">
        <f t="shared" si="15"/>
        <v>项目停车位配比</v>
      </c>
      <c r="AA27" s="1814">
        <f t="shared" si="3"/>
        <v>1</v>
      </c>
      <c r="AB27" s="1814">
        <f t="shared" si="4"/>
        <v>1</v>
      </c>
      <c r="AC27" s="1814">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8"/>
      <c r="Q28" s="1813" t="str">
        <f t="shared" si="11"/>
        <v>公共部分装修</v>
      </c>
      <c r="R28" s="774" t="s">
        <v>17</v>
      </c>
      <c r="S28" s="775">
        <f t="shared" si="12"/>
        <v>100</v>
      </c>
      <c r="T28" s="774" t="s">
        <v>17</v>
      </c>
      <c r="U28" s="775">
        <f t="shared" si="13"/>
        <v>100</v>
      </c>
      <c r="V28" s="774" t="s">
        <v>17</v>
      </c>
      <c r="W28" s="775">
        <f t="shared" si="14"/>
        <v>100</v>
      </c>
      <c r="X28" s="1816"/>
      <c r="Y28" s="3168"/>
      <c r="Z28" s="1817" t="str">
        <f t="shared" si="15"/>
        <v>公共部分装修</v>
      </c>
      <c r="AA28" s="1814">
        <f t="shared" si="3"/>
        <v>1</v>
      </c>
      <c r="AB28" s="1814">
        <f t="shared" si="4"/>
        <v>1</v>
      </c>
      <c r="AC28" s="1814">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8"/>
      <c r="Q29" s="1813" t="str">
        <f t="shared" si="11"/>
        <v>成新率</v>
      </c>
      <c r="R29" s="774" t="s">
        <v>17</v>
      </c>
      <c r="S29" s="775" t="e">
        <f t="shared" si="12"/>
        <v>#N/A</v>
      </c>
      <c r="T29" s="774" t="s">
        <v>17</v>
      </c>
      <c r="U29" s="775" t="e">
        <f t="shared" si="13"/>
        <v>#N/A</v>
      </c>
      <c r="V29" s="774" t="s">
        <v>17</v>
      </c>
      <c r="W29" s="775" t="e">
        <f t="shared" si="14"/>
        <v>#N/A</v>
      </c>
      <c r="X29" s="1816"/>
      <c r="Y29" s="3168"/>
      <c r="Z29" s="1817" t="str">
        <f t="shared" si="15"/>
        <v>成新率</v>
      </c>
      <c r="AA29" s="1814" t="e">
        <f t="shared" si="3"/>
        <v>#N/A</v>
      </c>
      <c r="AB29" s="1814" t="e">
        <f t="shared" si="4"/>
        <v>#N/A</v>
      </c>
      <c r="AC29" s="1814"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8"/>
      <c r="Q30" s="1813" t="str">
        <f t="shared" si="11"/>
        <v>物业等级</v>
      </c>
      <c r="R30" s="774" t="s">
        <v>17</v>
      </c>
      <c r="S30" s="775">
        <f t="shared" si="12"/>
        <v>100</v>
      </c>
      <c r="T30" s="774" t="s">
        <v>17</v>
      </c>
      <c r="U30" s="775">
        <f t="shared" si="13"/>
        <v>100</v>
      </c>
      <c r="V30" s="774" t="s">
        <v>17</v>
      </c>
      <c r="W30" s="775">
        <f t="shared" si="14"/>
        <v>100</v>
      </c>
      <c r="X30" s="1816"/>
      <c r="Y30" s="3168"/>
      <c r="Z30" s="1817" t="str">
        <f t="shared" si="15"/>
        <v>物业等级</v>
      </c>
      <c r="AA30" s="1814">
        <f t="shared" si="3"/>
        <v>1</v>
      </c>
      <c r="AB30" s="1814">
        <f t="shared" si="4"/>
        <v>1</v>
      </c>
      <c r="AC30" s="1814">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8"/>
      <c r="Q31" s="1798" t="str">
        <f t="shared" si="11"/>
        <v>停车位面积</v>
      </c>
      <c r="R31" s="770" t="s">
        <v>17</v>
      </c>
      <c r="S31" s="771" t="e">
        <f t="shared" si="12"/>
        <v>#N/A</v>
      </c>
      <c r="T31" s="770" t="s">
        <v>17</v>
      </c>
      <c r="U31" s="771" t="e">
        <f t="shared" si="13"/>
        <v>#N/A</v>
      </c>
      <c r="V31" s="770" t="s">
        <v>17</v>
      </c>
      <c r="W31" s="771" t="e">
        <f t="shared" si="14"/>
        <v>#N/A</v>
      </c>
      <c r="X31" s="772"/>
      <c r="Y31" s="3168"/>
      <c r="Z31" s="55" t="str">
        <f t="shared" si="15"/>
        <v>停车位面积</v>
      </c>
      <c r="AA31" s="773" t="e">
        <f t="shared" si="3"/>
        <v>#N/A</v>
      </c>
      <c r="AB31" s="773" t="e">
        <f t="shared" si="4"/>
        <v>#N/A</v>
      </c>
      <c r="AC31" s="773"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8" t="s">
        <v>2571</v>
      </c>
      <c r="Q32" s="1813" t="str">
        <f t="shared" si="11"/>
        <v>车位类型</v>
      </c>
      <c r="R32" s="774" t="s">
        <v>17</v>
      </c>
      <c r="S32" s="775">
        <f t="shared" si="12"/>
        <v>100</v>
      </c>
      <c r="T32" s="774" t="s">
        <v>17</v>
      </c>
      <c r="U32" s="775">
        <f t="shared" si="13"/>
        <v>100</v>
      </c>
      <c r="V32" s="774" t="s">
        <v>17</v>
      </c>
      <c r="W32" s="775">
        <f t="shared" si="14"/>
        <v>100</v>
      </c>
      <c r="X32" s="1816"/>
      <c r="Y32" s="3168" t="s">
        <v>2571</v>
      </c>
      <c r="Z32" s="1817" t="str">
        <f t="shared" si="15"/>
        <v>车位类型</v>
      </c>
      <c r="AA32" s="1814">
        <f t="shared" si="3"/>
        <v>1</v>
      </c>
      <c r="AB32" s="1814">
        <f t="shared" si="4"/>
        <v>1</v>
      </c>
      <c r="AC32" s="1814">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8"/>
      <c r="Q33" s="1813" t="str">
        <f t="shared" si="11"/>
        <v>是否直接入户</v>
      </c>
      <c r="R33" s="774" t="s">
        <v>17</v>
      </c>
      <c r="S33" s="775">
        <f t="shared" si="12"/>
        <v>100</v>
      </c>
      <c r="T33" s="774" t="s">
        <v>17</v>
      </c>
      <c r="U33" s="775">
        <f t="shared" si="13"/>
        <v>100</v>
      </c>
      <c r="V33" s="774" t="s">
        <v>17</v>
      </c>
      <c r="W33" s="775">
        <f t="shared" si="14"/>
        <v>100</v>
      </c>
      <c r="X33" s="1816"/>
      <c r="Y33" s="316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8"/>
      <c r="Q34" s="1813">
        <f t="shared" si="11"/>
        <v>111</v>
      </c>
      <c r="R34" s="774" t="s">
        <v>17</v>
      </c>
      <c r="S34" s="775">
        <f t="shared" si="12"/>
        <v>100</v>
      </c>
      <c r="T34" s="774" t="s">
        <v>17</v>
      </c>
      <c r="U34" s="775">
        <f t="shared" si="13"/>
        <v>100</v>
      </c>
      <c r="V34" s="774" t="s">
        <v>17</v>
      </c>
      <c r="W34" s="775">
        <f t="shared" si="14"/>
        <v>100</v>
      </c>
      <c r="X34" s="1816"/>
      <c r="Y34" s="316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8"/>
      <c r="Q35" s="776">
        <f t="shared" si="11"/>
        <v>111</v>
      </c>
      <c r="R35" s="777" t="s">
        <v>17</v>
      </c>
      <c r="S35" s="778">
        <f t="shared" si="12"/>
        <v>100</v>
      </c>
      <c r="T35" s="777" t="s">
        <v>17</v>
      </c>
      <c r="U35" s="778">
        <f t="shared" si="13"/>
        <v>100</v>
      </c>
      <c r="V35" s="777" t="s">
        <v>17</v>
      </c>
      <c r="W35" s="778">
        <f t="shared" si="14"/>
        <v>100</v>
      </c>
      <c r="X35" s="779"/>
      <c r="Y35" s="316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8"/>
      <c r="Q36" s="1813">
        <f t="shared" si="11"/>
        <v>111</v>
      </c>
      <c r="R36" s="774" t="s">
        <v>17</v>
      </c>
      <c r="S36" s="775">
        <f t="shared" si="12"/>
        <v>100</v>
      </c>
      <c r="T36" s="774" t="s">
        <v>17</v>
      </c>
      <c r="U36" s="775">
        <f t="shared" si="13"/>
        <v>100</v>
      </c>
      <c r="V36" s="774" t="s">
        <v>17</v>
      </c>
      <c r="W36" s="775">
        <f t="shared" si="14"/>
        <v>100</v>
      </c>
      <c r="X36" s="1816"/>
      <c r="Y36" s="3168"/>
      <c r="Z36" s="1817">
        <f t="shared" si="15"/>
        <v>111</v>
      </c>
      <c r="AA36" s="1814">
        <f t="shared" si="3"/>
        <v>1</v>
      </c>
      <c r="AB36" s="1814">
        <f t="shared" si="4"/>
        <v>1</v>
      </c>
      <c r="AC36" s="1814">
        <f t="shared" si="5"/>
        <v>1</v>
      </c>
    </row>
    <row r="37" spans="1:29" ht="15">
      <c r="A37" s="479" t="s">
        <v>2726</v>
      </c>
      <c r="B37" s="2701" t="s">
        <v>2727</v>
      </c>
      <c r="C37" s="1410" t="s">
        <v>1</v>
      </c>
      <c r="D37" s="1411"/>
      <c r="E37" s="1412"/>
      <c r="F37" s="1413"/>
      <c r="G37" s="1414"/>
      <c r="H37" s="1415"/>
      <c r="I37" s="1412"/>
      <c r="J37" s="1415"/>
      <c r="K37" s="619"/>
      <c r="L37" s="1146"/>
      <c r="M37" s="1147"/>
      <c r="N37" s="1134"/>
      <c r="O37" s="1147"/>
      <c r="P37" s="3162" t="str">
        <f>A37</f>
        <v>成交单价</v>
      </c>
      <c r="Q37" s="3162"/>
      <c r="R37" s="3234">
        <f>E37</f>
        <v>0</v>
      </c>
      <c r="S37" s="3234"/>
      <c r="T37" s="3234">
        <f>G37</f>
        <v>0</v>
      </c>
      <c r="U37" s="3234"/>
      <c r="V37" s="3234">
        <f>I37</f>
        <v>0</v>
      </c>
      <c r="W37" s="3234"/>
      <c r="X37" s="759"/>
      <c r="Y37" s="781"/>
      <c r="Z37" s="759"/>
      <c r="AA37" s="759"/>
      <c r="AB37" s="759"/>
      <c r="AC37" s="759"/>
    </row>
    <row r="38" spans="1:29" ht="15.75" thickBot="1">
      <c r="A38" s="486" t="s">
        <v>2728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2" t="str">
        <f>A38</f>
        <v>比较价值（元/平方米）</v>
      </c>
      <c r="Q38" s="3162"/>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9"/>
      <c r="Y38" s="759"/>
      <c r="Z38" s="759"/>
      <c r="AA38" s="759"/>
      <c r="AB38" s="759"/>
      <c r="AC38" s="759"/>
    </row>
    <row r="39" spans="1:29" ht="15.75" thickBot="1">
      <c r="A39" s="492" t="s">
        <v>2729</v>
      </c>
      <c r="B39" s="493"/>
      <c r="C39" s="1420" t="e">
        <f>R39</f>
        <v>#DIV/0!</v>
      </c>
      <c r="D39" s="1420"/>
      <c r="E39" s="1420"/>
      <c r="F39" s="1420"/>
      <c r="G39" s="1420"/>
      <c r="H39" s="1420"/>
      <c r="I39" s="1420"/>
      <c r="J39" s="1420"/>
      <c r="K39" s="621"/>
      <c r="L39" s="1146"/>
      <c r="M39" s="1147"/>
      <c r="N39" s="1147"/>
      <c r="O39" s="1147"/>
      <c r="P39" s="3159" t="str">
        <f>A39</f>
        <v>估价对象XX用房的比较价值（楼面单价，元/平方米）</v>
      </c>
      <c r="Q39" s="3160"/>
      <c r="R39" s="3233" t="e">
        <f>IF(F1="售价",ROUND(AVERAGE(R38:V38),0),ROUND(AVERAGE(R38:V38),1))</f>
        <v>#DIV/0!</v>
      </c>
      <c r="S39" s="3233"/>
      <c r="T39" s="3233"/>
      <c r="U39" s="3233"/>
      <c r="V39" s="3233"/>
      <c r="W39" s="323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2734</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2556</v>
      </c>
      <c r="B51" s="510"/>
      <c r="C51" s="522" t="s">
        <v>2658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2594</v>
      </c>
      <c r="B53" s="528" t="s">
        <v>2560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2609</v>
      </c>
      <c r="C65" s="578" t="s">
        <v>2603</v>
      </c>
      <c r="D65" s="578" t="s">
        <v>2604</v>
      </c>
      <c r="E65" s="578" t="s">
        <v>2605</v>
      </c>
      <c r="F65" s="578" t="s">
        <v>2606</v>
      </c>
      <c r="G65" s="578" t="s">
        <v>2607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2695</v>
      </c>
      <c r="C67" s="660" t="s">
        <v>2681</v>
      </c>
      <c r="D67" s="660" t="s">
        <v>2682</v>
      </c>
      <c r="E67" s="660" t="s">
        <v>2683</v>
      </c>
      <c r="F67" s="660" t="s">
        <v>2684</v>
      </c>
      <c r="G67" s="660" t="s">
        <v>2685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2615</v>
      </c>
      <c r="C69" s="578" t="s">
        <v>2603</v>
      </c>
      <c r="D69" s="578" t="s">
        <v>2604</v>
      </c>
      <c r="E69" s="578" t="s">
        <v>2605</v>
      </c>
      <c r="F69" s="578" t="s">
        <v>2606</v>
      </c>
      <c r="G69" s="578" t="s">
        <v>2607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2569</v>
      </c>
      <c r="B79" s="528" t="s">
        <v>2736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9" t="s">
        <v>2653</v>
      </c>
      <c r="S4" s="3190"/>
      <c r="T4" s="3189" t="s">
        <v>2654</v>
      </c>
      <c r="U4" s="3190"/>
      <c r="V4" s="3164" t="s">
        <v>2655</v>
      </c>
      <c r="W4" s="3164"/>
      <c r="X4" s="1816"/>
      <c r="Y4" s="3189" t="s">
        <v>2657</v>
      </c>
      <c r="Z4" s="3190"/>
      <c r="AA4" s="3169" t="s">
        <v>2653</v>
      </c>
      <c r="AB4" s="3170" t="s">
        <v>2654</v>
      </c>
      <c r="AC4" s="3169" t="s">
        <v>2655</v>
      </c>
    </row>
    <row r="5" spans="1:29" ht="15">
      <c r="A5" s="404"/>
      <c r="B5" s="405"/>
      <c r="C5" s="3193" t="s">
        <v>2548</v>
      </c>
      <c r="D5" s="3194"/>
      <c r="E5" s="3182" t="s">
        <v>2549</v>
      </c>
      <c r="F5" s="3183"/>
      <c r="G5" s="3193" t="s">
        <v>2550</v>
      </c>
      <c r="H5" s="3194"/>
      <c r="I5" s="3193" t="s">
        <v>2551</v>
      </c>
      <c r="J5" s="3194"/>
      <c r="K5" s="610"/>
      <c r="L5" s="1133"/>
      <c r="M5" s="1134"/>
      <c r="N5" s="1134"/>
      <c r="O5" s="1134"/>
      <c r="P5" s="3178"/>
      <c r="Q5" s="3179"/>
      <c r="R5" s="3191"/>
      <c r="S5" s="3192"/>
      <c r="T5" s="3191"/>
      <c r="U5" s="3192"/>
      <c r="V5" s="3164"/>
      <c r="W5" s="3164"/>
      <c r="X5" s="1816"/>
      <c r="Y5" s="3191"/>
      <c r="Z5" s="3192"/>
      <c r="AA5" s="3170"/>
      <c r="AB5" s="3170"/>
      <c r="AC5" s="3170"/>
    </row>
    <row r="6" spans="1:29" ht="15.75" thickBot="1">
      <c r="A6" s="406"/>
      <c r="B6" s="407"/>
      <c r="C6" s="3229" t="s">
        <v>2552</v>
      </c>
      <c r="D6" s="3230"/>
      <c r="E6" s="3231" t="s">
        <v>2552</v>
      </c>
      <c r="F6" s="3232"/>
      <c r="G6" s="3229" t="s">
        <v>2552</v>
      </c>
      <c r="H6" s="3230"/>
      <c r="I6" s="3229" t="s">
        <v>2552</v>
      </c>
      <c r="J6" s="3230"/>
      <c r="K6" s="610" t="s">
        <v>2553</v>
      </c>
      <c r="L6" s="1133"/>
      <c r="M6" s="1134"/>
      <c r="N6" s="1134"/>
      <c r="O6" s="1134"/>
      <c r="P6" s="3180"/>
      <c r="Q6" s="3181"/>
      <c r="R6" s="3191"/>
      <c r="S6" s="3192"/>
      <c r="T6" s="3200"/>
      <c r="U6" s="3201"/>
      <c r="V6" s="3164"/>
      <c r="W6" s="3164"/>
      <c r="X6" s="1816"/>
      <c r="Y6" s="3200"/>
      <c r="Z6" s="3201"/>
      <c r="AA6" s="3171"/>
      <c r="AB6" s="3171"/>
      <c r="AC6" s="3171"/>
    </row>
    <row r="7" spans="1:29" s="117" customFormat="1" ht="15.75" thickBot="1">
      <c r="A7" s="408" t="s">
        <v>2554</v>
      </c>
      <c r="B7" s="409"/>
      <c r="C7" s="410">
        <f>'数据-取费表'!B2</f>
        <v>43154</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84" t="s">
        <v>2555</v>
      </c>
      <c r="Q7" s="3197"/>
      <c r="R7" s="770" t="s">
        <v>17</v>
      </c>
      <c r="S7" s="771">
        <f t="shared" ref="S7:S14" si="0">F7</f>
        <v>0</v>
      </c>
      <c r="T7" s="770" t="s">
        <v>17</v>
      </c>
      <c r="U7" s="771">
        <f t="shared" ref="U7:U14" si="1">H7</f>
        <v>0</v>
      </c>
      <c r="V7" s="770" t="s">
        <v>17</v>
      </c>
      <c r="W7" s="771">
        <f t="shared" ref="W7:W14" si="2">J7</f>
        <v>0</v>
      </c>
      <c r="X7" s="772"/>
      <c r="Y7" s="3184" t="s">
        <v>2555</v>
      </c>
      <c r="Z7" s="3185"/>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4" t="s">
        <v>2558</v>
      </c>
      <c r="Q8" s="3185"/>
      <c r="R8" s="770" t="s">
        <v>17</v>
      </c>
      <c r="S8" s="771">
        <f t="shared" si="0"/>
        <v>0</v>
      </c>
      <c r="T8" s="770" t="s">
        <v>17</v>
      </c>
      <c r="U8" s="771">
        <f t="shared" si="1"/>
        <v>0</v>
      </c>
      <c r="V8" s="770" t="s">
        <v>17</v>
      </c>
      <c r="W8" s="771">
        <f t="shared" si="2"/>
        <v>0</v>
      </c>
      <c r="X8" s="772"/>
      <c r="Y8" s="3184" t="s">
        <v>2558</v>
      </c>
      <c r="Z8" s="3185"/>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2" t="s">
        <v>2561</v>
      </c>
      <c r="Q9" s="1798" t="str">
        <f t="shared" ref="Q9:Q14" si="6">B9</f>
        <v>用途</v>
      </c>
      <c r="R9" s="770" t="s">
        <v>17</v>
      </c>
      <c r="S9" s="771">
        <f t="shared" si="0"/>
        <v>100</v>
      </c>
      <c r="T9" s="770" t="s">
        <v>17</v>
      </c>
      <c r="U9" s="771">
        <f t="shared" si="1"/>
        <v>100</v>
      </c>
      <c r="V9" s="770" t="s">
        <v>17</v>
      </c>
      <c r="W9" s="771">
        <f t="shared" si="2"/>
        <v>100</v>
      </c>
      <c r="X9" s="772"/>
      <c r="Y9" s="3036"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2"/>
      <c r="Q10" s="1798"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2"/>
      <c r="Q11" s="1798">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2"/>
      <c r="Q12" s="1798">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62"/>
      <c r="Q13" s="1798">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85.5">
      <c r="A14" s="440" t="s">
        <v>2565</v>
      </c>
      <c r="B14" s="69" t="s">
        <v>2715</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5" t="s">
        <v>2566</v>
      </c>
      <c r="Q14" s="1813" t="str">
        <f t="shared" si="6"/>
        <v>交通便捷度</v>
      </c>
      <c r="R14" s="774" t="s">
        <v>17</v>
      </c>
      <c r="S14" s="775">
        <f t="shared" si="0"/>
        <v>100</v>
      </c>
      <c r="T14" s="774" t="s">
        <v>17</v>
      </c>
      <c r="U14" s="775">
        <f t="shared" si="1"/>
        <v>100</v>
      </c>
      <c r="V14" s="774" t="s">
        <v>17</v>
      </c>
      <c r="W14" s="775">
        <f t="shared" si="2"/>
        <v>100</v>
      </c>
      <c r="X14" s="1816"/>
      <c r="Y14" s="3165" t="s">
        <v>2566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6"/>
      <c r="Q15" s="1813"/>
      <c r="R15" s="774"/>
      <c r="S15" s="775"/>
      <c r="T15" s="774"/>
      <c r="U15" s="775"/>
      <c r="V15" s="774"/>
      <c r="W15" s="775"/>
      <c r="X15" s="1816"/>
      <c r="Y15" s="3166"/>
      <c r="Z15" s="1817"/>
      <c r="AA15" s="1814">
        <v>1</v>
      </c>
      <c r="AB15" s="1814">
        <v>1</v>
      </c>
      <c r="AC15" s="1814">
        <v>1</v>
      </c>
    </row>
    <row r="16" spans="1:29" ht="42.75">
      <c r="A16" s="428"/>
      <c r="B16" s="451" t="s">
        <v>2694</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6"/>
      <c r="Q16" s="1813" t="str">
        <f>B16</f>
        <v>公共配套设施</v>
      </c>
      <c r="R16" s="774" t="s">
        <v>17</v>
      </c>
      <c r="S16" s="775">
        <f>F16</f>
        <v>100</v>
      </c>
      <c r="T16" s="774" t="s">
        <v>17</v>
      </c>
      <c r="U16" s="775">
        <f>H16</f>
        <v>100</v>
      </c>
      <c r="V16" s="774" t="s">
        <v>17</v>
      </c>
      <c r="W16" s="775">
        <f>J16</f>
        <v>100</v>
      </c>
      <c r="X16" s="1816"/>
      <c r="Y16" s="3166"/>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66"/>
      <c r="Q17" s="1813"/>
      <c r="R17" s="774"/>
      <c r="S17" s="775"/>
      <c r="T17" s="774"/>
      <c r="U17" s="775"/>
      <c r="V17" s="774"/>
      <c r="W17" s="775"/>
      <c r="X17" s="1816"/>
      <c r="Y17" s="3166"/>
      <c r="Z17" s="1817"/>
      <c r="AA17" s="1814">
        <v>1</v>
      </c>
      <c r="AB17" s="1814">
        <v>1</v>
      </c>
      <c r="AC17" s="1814">
        <v>1</v>
      </c>
    </row>
    <row r="18" spans="1:29" ht="28.5">
      <c r="A18" s="428"/>
      <c r="B18" s="1387" t="s">
        <v>2695</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6"/>
      <c r="Q18" s="1813" t="str">
        <f>B18</f>
        <v>基础设施水平</v>
      </c>
      <c r="R18" s="774" t="s">
        <v>17</v>
      </c>
      <c r="S18" s="775">
        <f>F18</f>
        <v>100</v>
      </c>
      <c r="T18" s="774" t="s">
        <v>17</v>
      </c>
      <c r="U18" s="775">
        <f>H18</f>
        <v>100</v>
      </c>
      <c r="V18" s="774" t="s">
        <v>17</v>
      </c>
      <c r="W18" s="775">
        <f>J18</f>
        <v>100</v>
      </c>
      <c r="X18" s="1816"/>
      <c r="Y18" s="3166"/>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66"/>
      <c r="Q19" s="1813"/>
      <c r="R19" s="774"/>
      <c r="S19" s="775"/>
      <c r="T19" s="774"/>
      <c r="U19" s="775"/>
      <c r="V19" s="774"/>
      <c r="W19" s="775"/>
      <c r="X19" s="1816"/>
      <c r="Y19" s="3166"/>
      <c r="Z19" s="1817"/>
      <c r="AA19" s="1814">
        <v>1</v>
      </c>
      <c r="AB19" s="1814">
        <v>1</v>
      </c>
      <c r="AC19" s="1814">
        <v>1</v>
      </c>
    </row>
    <row r="20" spans="1:29" ht="57">
      <c r="A20" s="428"/>
      <c r="B20" s="451" t="s">
        <v>2716</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6"/>
      <c r="Q20" s="1813" t="str">
        <f>B20</f>
        <v>自然及人文环境</v>
      </c>
      <c r="R20" s="774" t="s">
        <v>17</v>
      </c>
      <c r="S20" s="775">
        <f>F20</f>
        <v>100</v>
      </c>
      <c r="T20" s="774" t="s">
        <v>17</v>
      </c>
      <c r="U20" s="775">
        <f>H20</f>
        <v>100</v>
      </c>
      <c r="V20" s="774" t="s">
        <v>17</v>
      </c>
      <c r="W20" s="775">
        <f>J20</f>
        <v>100</v>
      </c>
      <c r="X20" s="1816"/>
      <c r="Y20" s="316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6"/>
      <c r="Q21" s="1813"/>
      <c r="R21" s="774"/>
      <c r="S21" s="775"/>
      <c r="T21" s="774"/>
      <c r="U21" s="775"/>
      <c r="V21" s="774"/>
      <c r="W21" s="775"/>
      <c r="X21" s="1816"/>
      <c r="Y21" s="3166"/>
      <c r="Z21" s="1817"/>
      <c r="AA21" s="1814">
        <v>1</v>
      </c>
      <c r="AB21" s="1814">
        <v>1</v>
      </c>
      <c r="AC21" s="1814">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6"/>
      <c r="Q22" s="1813" t="str">
        <f>B22</f>
        <v>楼层</v>
      </c>
      <c r="R22" s="774" t="s">
        <v>17</v>
      </c>
      <c r="S22" s="775">
        <f>F22</f>
        <v>100</v>
      </c>
      <c r="T22" s="774" t="s">
        <v>17</v>
      </c>
      <c r="U22" s="775">
        <f>H22</f>
        <v>100</v>
      </c>
      <c r="V22" s="774" t="s">
        <v>17</v>
      </c>
      <c r="W22" s="775">
        <f>J22</f>
        <v>100</v>
      </c>
      <c r="X22" s="1816"/>
      <c r="Y22" s="3166"/>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6"/>
      <c r="Q23" s="1813">
        <f>B23</f>
        <v>111</v>
      </c>
      <c r="R23" s="774" t="s">
        <v>17</v>
      </c>
      <c r="S23" s="775">
        <f>F23</f>
        <v>100</v>
      </c>
      <c r="T23" s="774" t="s">
        <v>17</v>
      </c>
      <c r="U23" s="775">
        <f>H23</f>
        <v>100</v>
      </c>
      <c r="V23" s="774" t="s">
        <v>17</v>
      </c>
      <c r="W23" s="775">
        <f>J23</f>
        <v>100</v>
      </c>
      <c r="X23" s="1816"/>
      <c r="Y23" s="3166"/>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6"/>
      <c r="Q24" s="1813">
        <f t="shared" ref="Q24:Q34" si="11">B24</f>
        <v>111</v>
      </c>
      <c r="R24" s="774" t="s">
        <v>17</v>
      </c>
      <c r="S24" s="775">
        <f>F24</f>
        <v>100</v>
      </c>
      <c r="T24" s="774" t="s">
        <v>17</v>
      </c>
      <c r="U24" s="775">
        <f>H24</f>
        <v>100</v>
      </c>
      <c r="V24" s="774" t="s">
        <v>17</v>
      </c>
      <c r="W24" s="775">
        <f>J24</f>
        <v>100</v>
      </c>
      <c r="X24" s="1816"/>
      <c r="Y24" s="3166"/>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66"/>
      <c r="Q25" s="1798">
        <f t="shared" si="11"/>
        <v>111</v>
      </c>
      <c r="R25" s="770" t="s">
        <v>17</v>
      </c>
      <c r="S25" s="771">
        <f>F25</f>
        <v>100</v>
      </c>
      <c r="T25" s="770" t="s">
        <v>17</v>
      </c>
      <c r="U25" s="771">
        <f>H25</f>
        <v>100</v>
      </c>
      <c r="V25" s="770" t="s">
        <v>17</v>
      </c>
      <c r="W25" s="771">
        <f>J25</f>
        <v>100</v>
      </c>
      <c r="X25" s="772"/>
      <c r="Y25" s="3166"/>
      <c r="Z25" s="55">
        <f>Q25</f>
        <v>111</v>
      </c>
      <c r="AA25" s="1814">
        <f>D25/F25</f>
        <v>1</v>
      </c>
      <c r="AB25" s="1814">
        <f>D25/H25</f>
        <v>1</v>
      </c>
      <c r="AC25" s="1814">
        <f>D25/J25</f>
        <v>1</v>
      </c>
    </row>
    <row r="26" spans="1:29" ht="15">
      <c r="A26" s="466" t="s">
        <v>2569</v>
      </c>
      <c r="B26" s="71" t="s">
        <v>2720</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67" t="s">
        <v>2571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8" t="s">
        <v>2571</v>
      </c>
      <c r="Z26" s="1817" t="str">
        <f t="shared" ref="Z26:Z34" si="15">Q26</f>
        <v>公共部分装修</v>
      </c>
      <c r="AA26" s="1814">
        <f t="shared" si="3"/>
        <v>1</v>
      </c>
      <c r="AB26" s="1814">
        <f t="shared" si="4"/>
        <v>1</v>
      </c>
      <c r="AC26" s="1814">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8"/>
      <c r="Q27" s="776" t="str">
        <f t="shared" si="11"/>
        <v>成新率</v>
      </c>
      <c r="R27" s="777" t="s">
        <v>17</v>
      </c>
      <c r="S27" s="778" t="e">
        <f t="shared" si="12"/>
        <v>#N/A</v>
      </c>
      <c r="T27" s="777" t="s">
        <v>17</v>
      </c>
      <c r="U27" s="778" t="e">
        <f t="shared" si="13"/>
        <v>#N/A</v>
      </c>
      <c r="V27" s="777" t="s">
        <v>17</v>
      </c>
      <c r="W27" s="778" t="e">
        <f t="shared" si="14"/>
        <v>#N/A</v>
      </c>
      <c r="X27" s="779"/>
      <c r="Y27" s="3168"/>
      <c r="Z27" s="780" t="str">
        <f t="shared" si="15"/>
        <v>成新率</v>
      </c>
      <c r="AA27" s="1814" t="e">
        <f t="shared" si="3"/>
        <v>#N/A</v>
      </c>
      <c r="AB27" s="1814" t="e">
        <f t="shared" si="4"/>
        <v>#N/A</v>
      </c>
      <c r="AC27" s="1814"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8"/>
      <c r="Q28" s="1813" t="str">
        <f t="shared" si="11"/>
        <v>物业等级</v>
      </c>
      <c r="R28" s="774" t="s">
        <v>17</v>
      </c>
      <c r="S28" s="775">
        <f t="shared" si="12"/>
        <v>100</v>
      </c>
      <c r="T28" s="774" t="s">
        <v>17</v>
      </c>
      <c r="U28" s="775">
        <f t="shared" si="13"/>
        <v>100</v>
      </c>
      <c r="V28" s="774" t="s">
        <v>17</v>
      </c>
      <c r="W28" s="775">
        <f t="shared" si="14"/>
        <v>100</v>
      </c>
      <c r="X28" s="1816"/>
      <c r="Y28" s="3168"/>
      <c r="Z28" s="1817" t="str">
        <f t="shared" si="15"/>
        <v>物业等级</v>
      </c>
      <c r="AA28" s="1814">
        <f t="shared" si="3"/>
        <v>1</v>
      </c>
      <c r="AB28" s="1814">
        <f t="shared" si="4"/>
        <v>1</v>
      </c>
      <c r="AC28" s="1814">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8"/>
      <c r="Q29" s="1813" t="str">
        <f t="shared" si="11"/>
        <v>有无电梯</v>
      </c>
      <c r="R29" s="774" t="s">
        <v>17</v>
      </c>
      <c r="S29" s="775">
        <f t="shared" si="12"/>
        <v>100</v>
      </c>
      <c r="T29" s="774" t="s">
        <v>17</v>
      </c>
      <c r="U29" s="775">
        <f t="shared" si="13"/>
        <v>100</v>
      </c>
      <c r="V29" s="774" t="s">
        <v>17</v>
      </c>
      <c r="W29" s="775">
        <f t="shared" si="14"/>
        <v>100</v>
      </c>
      <c r="X29" s="1816"/>
      <c r="Y29" s="3168"/>
      <c r="Z29" s="1817" t="str">
        <f t="shared" si="15"/>
        <v>有无电梯</v>
      </c>
      <c r="AA29" s="1814">
        <f t="shared" si="3"/>
        <v>1</v>
      </c>
      <c r="AB29" s="1814">
        <f t="shared" si="4"/>
        <v>1</v>
      </c>
      <c r="AC29" s="1814">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8"/>
      <c r="Q30" s="1813" t="str">
        <f t="shared" si="11"/>
        <v>建筑面积</v>
      </c>
      <c r="R30" s="774" t="s">
        <v>17</v>
      </c>
      <c r="S30" s="775" t="e">
        <f t="shared" si="12"/>
        <v>#N/A</v>
      </c>
      <c r="T30" s="774" t="s">
        <v>17</v>
      </c>
      <c r="U30" s="775" t="e">
        <f t="shared" si="13"/>
        <v>#N/A</v>
      </c>
      <c r="V30" s="774" t="s">
        <v>17</v>
      </c>
      <c r="W30" s="775" t="e">
        <f t="shared" si="14"/>
        <v>#N/A</v>
      </c>
      <c r="X30" s="1816"/>
      <c r="Y30" s="3168"/>
      <c r="Z30" s="1817" t="str">
        <f t="shared" si="15"/>
        <v>建筑面积</v>
      </c>
      <c r="AA30" s="1814" t="e">
        <f t="shared" si="3"/>
        <v>#N/A</v>
      </c>
      <c r="AB30" s="1814" t="e">
        <f t="shared" si="4"/>
        <v>#N/A</v>
      </c>
      <c r="AC30" s="1814"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8"/>
      <c r="Q31" s="1798" t="str">
        <f t="shared" si="11"/>
        <v>是否封闭</v>
      </c>
      <c r="R31" s="770" t="s">
        <v>17</v>
      </c>
      <c r="S31" s="771">
        <f t="shared" si="12"/>
        <v>100</v>
      </c>
      <c r="T31" s="770" t="s">
        <v>17</v>
      </c>
      <c r="U31" s="771">
        <f t="shared" si="13"/>
        <v>100</v>
      </c>
      <c r="V31" s="770" t="s">
        <v>17</v>
      </c>
      <c r="W31" s="771">
        <f t="shared" si="14"/>
        <v>100</v>
      </c>
      <c r="X31" s="772"/>
      <c r="Y31" s="316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8" t="s">
        <v>2571</v>
      </c>
      <c r="Q32" s="1813">
        <f t="shared" si="11"/>
        <v>111</v>
      </c>
      <c r="R32" s="774" t="s">
        <v>17</v>
      </c>
      <c r="S32" s="775">
        <f t="shared" si="12"/>
        <v>100</v>
      </c>
      <c r="T32" s="774" t="s">
        <v>17</v>
      </c>
      <c r="U32" s="775">
        <f t="shared" si="13"/>
        <v>100</v>
      </c>
      <c r="V32" s="774" t="s">
        <v>17</v>
      </c>
      <c r="W32" s="775">
        <f t="shared" si="14"/>
        <v>100</v>
      </c>
      <c r="X32" s="1816"/>
      <c r="Y32" s="3168" t="s">
        <v>2571</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8"/>
      <c r="Q33" s="1813">
        <f t="shared" si="11"/>
        <v>111</v>
      </c>
      <c r="R33" s="774" t="s">
        <v>17</v>
      </c>
      <c r="S33" s="775">
        <f t="shared" si="12"/>
        <v>100</v>
      </c>
      <c r="T33" s="774" t="s">
        <v>17</v>
      </c>
      <c r="U33" s="775">
        <f t="shared" si="13"/>
        <v>100</v>
      </c>
      <c r="V33" s="774" t="s">
        <v>17</v>
      </c>
      <c r="W33" s="775">
        <f t="shared" si="14"/>
        <v>100</v>
      </c>
      <c r="X33" s="1816"/>
      <c r="Y33" s="3168"/>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68"/>
      <c r="Q34" s="1813">
        <f t="shared" si="11"/>
        <v>111</v>
      </c>
      <c r="R34" s="774" t="s">
        <v>17</v>
      </c>
      <c r="S34" s="775">
        <f t="shared" si="12"/>
        <v>100</v>
      </c>
      <c r="T34" s="774" t="s">
        <v>17</v>
      </c>
      <c r="U34" s="775">
        <f t="shared" si="13"/>
        <v>100</v>
      </c>
      <c r="V34" s="774" t="s">
        <v>17</v>
      </c>
      <c r="W34" s="775">
        <f t="shared" si="14"/>
        <v>100</v>
      </c>
      <c r="X34" s="1816"/>
      <c r="Y34" s="3168"/>
      <c r="Z34" s="1817">
        <f t="shared" si="15"/>
        <v>111</v>
      </c>
      <c r="AA34" s="1814">
        <f t="shared" si="3"/>
        <v>1</v>
      </c>
      <c r="AB34" s="1814">
        <f t="shared" si="4"/>
        <v>1</v>
      </c>
      <c r="AC34" s="1814">
        <f t="shared" si="5"/>
        <v>1</v>
      </c>
    </row>
    <row r="35" spans="1:29" ht="15">
      <c r="A35" s="479" t="s">
        <v>2583</v>
      </c>
      <c r="B35" s="480"/>
      <c r="C35" s="1410" t="s">
        <v>1</v>
      </c>
      <c r="D35" s="1411"/>
      <c r="E35" s="1412"/>
      <c r="F35" s="1413"/>
      <c r="G35" s="1414"/>
      <c r="H35" s="1415"/>
      <c r="I35" s="1412"/>
      <c r="J35" s="1415"/>
      <c r="K35" s="783"/>
      <c r="L35" s="1146"/>
      <c r="M35" s="1147"/>
      <c r="N35" s="1134"/>
      <c r="O35" s="1147"/>
      <c r="P35" s="3162" t="str">
        <f>A35</f>
        <v>成交单价（元/平方米）</v>
      </c>
      <c r="Q35" s="3162"/>
      <c r="R35" s="3234">
        <f>E35</f>
        <v>0</v>
      </c>
      <c r="S35" s="3234"/>
      <c r="T35" s="3234">
        <f>G35</f>
        <v>0</v>
      </c>
      <c r="U35" s="3234"/>
      <c r="V35" s="3234">
        <f>I35</f>
        <v>0</v>
      </c>
      <c r="W35" s="3234"/>
      <c r="X35" s="759"/>
      <c r="Y35" s="781"/>
      <c r="Z35" s="759"/>
      <c r="AA35" s="759"/>
      <c r="AB35" s="759"/>
      <c r="AC35" s="759"/>
    </row>
    <row r="36" spans="1:29" ht="15.75" thickBot="1">
      <c r="A36" s="486" t="s">
        <v>2675</v>
      </c>
      <c r="B36" s="487"/>
      <c r="C36" s="1416" t="e">
        <f>R37</f>
        <v>#DIV/0!</v>
      </c>
      <c r="D36" s="1417"/>
      <c r="E36" s="1418" t="e">
        <f>R36</f>
        <v>#DIV/0!</v>
      </c>
      <c r="F36" s="1418"/>
      <c r="G36" s="1416" t="e">
        <f>T36</f>
        <v>#DIV/0!</v>
      </c>
      <c r="H36" s="1417"/>
      <c r="I36" s="1418" t="e">
        <f>V36</f>
        <v>#DIV/0!</v>
      </c>
      <c r="J36" s="1417"/>
      <c r="K36" s="784"/>
      <c r="L36" s="1146"/>
      <c r="M36" s="1147"/>
      <c r="N36" s="1134"/>
      <c r="O36" s="1147"/>
      <c r="P36" s="3162" t="str">
        <f>A36</f>
        <v>比较价值（元/平方米）</v>
      </c>
      <c r="Q36" s="3162"/>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9"/>
      <c r="Y36" s="759"/>
      <c r="Z36" s="759"/>
      <c r="AA36" s="759"/>
      <c r="AB36" s="759"/>
      <c r="AC36" s="759"/>
    </row>
    <row r="37" spans="1:29" ht="15.75" thickBot="1">
      <c r="A37" s="492" t="s">
        <v>2676</v>
      </c>
      <c r="B37" s="493"/>
      <c r="C37" s="1420" t="e">
        <f>R37</f>
        <v>#DIV/0!</v>
      </c>
      <c r="D37" s="1420"/>
      <c r="E37" s="1420"/>
      <c r="F37" s="1420"/>
      <c r="G37" s="1420"/>
      <c r="H37" s="1420"/>
      <c r="I37" s="1420"/>
      <c r="J37" s="1420"/>
      <c r="K37" s="785"/>
      <c r="L37" s="1146"/>
      <c r="M37" s="1147"/>
      <c r="N37" s="1147"/>
      <c r="O37" s="1147"/>
      <c r="P37" s="3159" t="str">
        <f>A37</f>
        <v>估价对象XX用房的比较价值（楼面单价，元/平方米）</v>
      </c>
      <c r="Q37" s="3160"/>
      <c r="R37" s="3233" t="e">
        <f>IF(F1="售价",ROUND(AVERAGE(R36:V36),0),ROUND(AVERAGE(R36:V36),1))</f>
        <v>#DIV/0!</v>
      </c>
      <c r="S37" s="3233"/>
      <c r="T37" s="3233"/>
      <c r="U37" s="3233"/>
      <c r="V37" s="3233"/>
      <c r="W37" s="323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2594</v>
      </c>
      <c r="B51" s="528" t="s">
        <v>2560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2569</v>
      </c>
      <c r="B77" s="528" t="s">
        <v>2622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9" t="s">
        <v>2653</v>
      </c>
      <c r="S4" s="3190"/>
      <c r="T4" s="3189" t="s">
        <v>2654</v>
      </c>
      <c r="U4" s="3190"/>
      <c r="V4" s="3164" t="s">
        <v>2655</v>
      </c>
      <c r="W4" s="3164"/>
      <c r="X4" s="1816"/>
      <c r="Y4" s="3189" t="s">
        <v>2657</v>
      </c>
      <c r="Z4" s="3190"/>
      <c r="AA4" s="3169" t="s">
        <v>2653</v>
      </c>
      <c r="AB4" s="3170" t="s">
        <v>2654</v>
      </c>
      <c r="AC4" s="3169" t="s">
        <v>2655</v>
      </c>
    </row>
    <row r="5" spans="1:30" ht="15">
      <c r="A5" s="404"/>
      <c r="B5" s="405"/>
      <c r="C5" s="3193" t="s">
        <v>2548</v>
      </c>
      <c r="D5" s="3194"/>
      <c r="E5" s="3182" t="s">
        <v>2549</v>
      </c>
      <c r="F5" s="3183"/>
      <c r="G5" s="3193" t="s">
        <v>2550</v>
      </c>
      <c r="H5" s="3194"/>
      <c r="I5" s="3193" t="s">
        <v>2551</v>
      </c>
      <c r="J5" s="3194"/>
      <c r="K5" s="610"/>
      <c r="L5" s="1133"/>
      <c r="M5" s="1134"/>
      <c r="N5" s="1134"/>
      <c r="O5" s="1134"/>
      <c r="P5" s="3178"/>
      <c r="Q5" s="3179"/>
      <c r="R5" s="3191"/>
      <c r="S5" s="3192"/>
      <c r="T5" s="3191"/>
      <c r="U5" s="3192"/>
      <c r="V5" s="3164"/>
      <c r="W5" s="3164"/>
      <c r="X5" s="1816"/>
      <c r="Y5" s="3191"/>
      <c r="Z5" s="3192"/>
      <c r="AA5" s="3170"/>
      <c r="AB5" s="3170"/>
      <c r="AC5" s="3170"/>
    </row>
    <row r="6" spans="1:30" ht="15.75" thickBot="1">
      <c r="A6" s="406"/>
      <c r="B6" s="407"/>
      <c r="C6" s="3229" t="s">
        <v>2552</v>
      </c>
      <c r="D6" s="3230"/>
      <c r="E6" s="3231" t="s">
        <v>2552</v>
      </c>
      <c r="F6" s="3232"/>
      <c r="G6" s="3229" t="s">
        <v>2552</v>
      </c>
      <c r="H6" s="3230"/>
      <c r="I6" s="3229" t="s">
        <v>2552</v>
      </c>
      <c r="J6" s="3230"/>
      <c r="K6" s="610" t="s">
        <v>2553</v>
      </c>
      <c r="L6" s="1133"/>
      <c r="M6" s="1134"/>
      <c r="N6" s="1134"/>
      <c r="O6" s="1134"/>
      <c r="P6" s="3180"/>
      <c r="Q6" s="3181"/>
      <c r="R6" s="3191"/>
      <c r="S6" s="3192"/>
      <c r="T6" s="3200"/>
      <c r="U6" s="3201"/>
      <c r="V6" s="3164"/>
      <c r="W6" s="3164"/>
      <c r="X6" s="1816"/>
      <c r="Y6" s="3200"/>
      <c r="Z6" s="3201"/>
      <c r="AA6" s="3171"/>
      <c r="AB6" s="3171"/>
      <c r="AC6" s="3171"/>
    </row>
    <row r="7" spans="1:30" s="117" customFormat="1" ht="15.75" thickBot="1">
      <c r="A7" s="408" t="s">
        <v>2554</v>
      </c>
      <c r="B7" s="409"/>
      <c r="C7" s="410">
        <f>'数据-取费表'!B2</f>
        <v>43154</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84" t="s">
        <v>2555</v>
      </c>
      <c r="Q7" s="3197"/>
      <c r="R7" s="770" t="s">
        <v>17</v>
      </c>
      <c r="S7" s="771">
        <f t="shared" ref="S7:S15" si="0">F7</f>
        <v>0</v>
      </c>
      <c r="T7" s="770" t="s">
        <v>17</v>
      </c>
      <c r="U7" s="771">
        <f t="shared" ref="U7:U15" si="1">H7</f>
        <v>0</v>
      </c>
      <c r="V7" s="770" t="s">
        <v>17</v>
      </c>
      <c r="W7" s="771">
        <f t="shared" ref="W7:W15" si="2">J7</f>
        <v>0</v>
      </c>
      <c r="X7" s="772"/>
      <c r="Y7" s="3184" t="s">
        <v>2555</v>
      </c>
      <c r="Z7" s="3185"/>
      <c r="AA7" s="773" t="e">
        <f>D7/F7</f>
        <v>#DIV/0!</v>
      </c>
      <c r="AB7" s="773" t="e">
        <f>D7/H7</f>
        <v>#DIV/0!</v>
      </c>
      <c r="AC7" s="773"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4" t="s">
        <v>2558</v>
      </c>
      <c r="Q8" s="3185"/>
      <c r="R8" s="770" t="s">
        <v>17</v>
      </c>
      <c r="S8" s="771">
        <f t="shared" si="0"/>
        <v>0</v>
      </c>
      <c r="T8" s="770" t="s">
        <v>17</v>
      </c>
      <c r="U8" s="771">
        <f t="shared" si="1"/>
        <v>0</v>
      </c>
      <c r="V8" s="770" t="s">
        <v>17</v>
      </c>
      <c r="W8" s="771">
        <f t="shared" si="2"/>
        <v>0</v>
      </c>
      <c r="X8" s="772"/>
      <c r="Y8" s="3184" t="s">
        <v>2558</v>
      </c>
      <c r="Z8" s="3185"/>
      <c r="AA8" s="773" t="e">
        <f t="shared" ref="AA8:AA45" si="3">D8/F8</f>
        <v>#DIV/0!</v>
      </c>
      <c r="AB8" s="773" t="e">
        <f t="shared" ref="AB8:AB45" si="4">D8/H8</f>
        <v>#DIV/0!</v>
      </c>
      <c r="AC8" s="773" t="e">
        <f t="shared" ref="AC8:AC45" si="5">D8/J8</f>
        <v>#DIV/0!</v>
      </c>
    </row>
    <row r="9" spans="1:30" s="117" customFormat="1">
      <c r="A9" s="415" t="s">
        <v>2559</v>
      </c>
      <c r="B9" s="71" t="s">
        <v>2560</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62" t="s">
        <v>2561</v>
      </c>
      <c r="Q9" s="1798" t="str">
        <f t="shared" ref="Q9:Q15" si="6">B9</f>
        <v>用途</v>
      </c>
      <c r="R9" s="770" t="s">
        <v>17</v>
      </c>
      <c r="S9" s="771">
        <f t="shared" si="0"/>
        <v>100</v>
      </c>
      <c r="T9" s="770" t="s">
        <v>17</v>
      </c>
      <c r="U9" s="771">
        <f t="shared" si="1"/>
        <v>100</v>
      </c>
      <c r="V9" s="770" t="s">
        <v>17</v>
      </c>
      <c r="W9" s="771">
        <f t="shared" si="2"/>
        <v>100</v>
      </c>
      <c r="X9" s="772"/>
      <c r="Y9" s="3036"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62"/>
      <c r="Q10" s="1798" t="str">
        <f t="shared" si="6"/>
        <v>土地使用年限（年）</v>
      </c>
      <c r="R10" s="770" t="s">
        <v>17</v>
      </c>
      <c r="S10" s="771">
        <f t="shared" si="0"/>
        <v>111</v>
      </c>
      <c r="T10" s="770" t="s">
        <v>17</v>
      </c>
      <c r="U10" s="771">
        <f t="shared" si="1"/>
        <v>111</v>
      </c>
      <c r="V10" s="770" t="s">
        <v>17</v>
      </c>
      <c r="W10" s="771">
        <f t="shared" si="2"/>
        <v>111</v>
      </c>
      <c r="X10" s="772"/>
      <c r="Y10" s="3036"/>
      <c r="Z10" s="55" t="str">
        <f t="shared" si="7"/>
        <v>土地使用年限（年）</v>
      </c>
      <c r="AA10" s="773">
        <f t="shared" si="3"/>
        <v>0.90090090090090091</v>
      </c>
      <c r="AB10" s="773">
        <f t="shared" si="4"/>
        <v>0.90090090090090091</v>
      </c>
      <c r="AC10" s="773">
        <f t="shared" si="5"/>
        <v>0.90090090090090091</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2"/>
      <c r="Q11" s="1798"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30" s="117" customFormat="1" ht="15">
      <c r="A12" s="431"/>
      <c r="B12" s="2606" t="s">
        <v>2753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2"/>
      <c r="Q12" s="1798" t="str">
        <f t="shared" si="6"/>
        <v>配建</v>
      </c>
      <c r="R12" s="770" t="s">
        <v>17</v>
      </c>
      <c r="S12" s="771">
        <f t="shared" si="0"/>
        <v>100</v>
      </c>
      <c r="T12" s="770" t="s">
        <v>17</v>
      </c>
      <c r="U12" s="771">
        <f t="shared" si="1"/>
        <v>100</v>
      </c>
      <c r="V12" s="770" t="s">
        <v>17</v>
      </c>
      <c r="W12" s="771">
        <f t="shared" si="2"/>
        <v>100</v>
      </c>
      <c r="X12" s="772"/>
      <c r="Y12" s="3036"/>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2"/>
      <c r="Q13" s="1798">
        <f t="shared" si="6"/>
        <v>111</v>
      </c>
      <c r="R13" s="770" t="s">
        <v>17</v>
      </c>
      <c r="S13" s="771">
        <f t="shared" si="0"/>
        <v>100</v>
      </c>
      <c r="T13" s="770" t="s">
        <v>17</v>
      </c>
      <c r="U13" s="771">
        <f t="shared" si="1"/>
        <v>100</v>
      </c>
      <c r="V13" s="770" t="s">
        <v>17</v>
      </c>
      <c r="W13" s="771">
        <f t="shared" si="2"/>
        <v>100</v>
      </c>
      <c r="X13" s="772"/>
      <c r="Y13" s="3036"/>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2"/>
      <c r="Q14" s="1798">
        <f t="shared" si="6"/>
        <v>111</v>
      </c>
      <c r="R14" s="770" t="s">
        <v>17</v>
      </c>
      <c r="S14" s="771">
        <f t="shared" si="0"/>
        <v>100</v>
      </c>
      <c r="T14" s="770" t="s">
        <v>17</v>
      </c>
      <c r="U14" s="771">
        <f t="shared" si="1"/>
        <v>100</v>
      </c>
      <c r="V14" s="770" t="s">
        <v>17</v>
      </c>
      <c r="W14" s="771">
        <f t="shared" si="2"/>
        <v>100</v>
      </c>
      <c r="X14" s="772"/>
      <c r="Y14" s="3036"/>
      <c r="Z14" s="55">
        <f t="shared" si="7"/>
        <v>111</v>
      </c>
      <c r="AA14" s="773">
        <f>D14/F14</f>
        <v>1</v>
      </c>
      <c r="AB14" s="773">
        <f>D14/H14</f>
        <v>1</v>
      </c>
      <c r="AC14" s="773">
        <f>D14/J14</f>
        <v>1</v>
      </c>
    </row>
    <row r="15" spans="1:30" ht="99.75">
      <c r="A15" s="440" t="s">
        <v>2565</v>
      </c>
      <c r="B15" s="69" t="s">
        <v>2090</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5" t="s">
        <v>2566</v>
      </c>
      <c r="Q15" s="1813" t="str">
        <f t="shared" si="6"/>
        <v>居住社区成熟度</v>
      </c>
      <c r="R15" s="774" t="s">
        <v>17</v>
      </c>
      <c r="S15" s="775">
        <f t="shared" si="0"/>
        <v>100</v>
      </c>
      <c r="T15" s="774" t="s">
        <v>17</v>
      </c>
      <c r="U15" s="775">
        <f t="shared" si="1"/>
        <v>100</v>
      </c>
      <c r="V15" s="774" t="s">
        <v>17</v>
      </c>
      <c r="W15" s="775">
        <f t="shared" si="2"/>
        <v>100</v>
      </c>
      <c r="X15" s="1816"/>
      <c r="Y15" s="3165" t="s">
        <v>2566</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66"/>
      <c r="Q16" s="1813"/>
      <c r="R16" s="774"/>
      <c r="S16" s="775"/>
      <c r="T16" s="774"/>
      <c r="U16" s="775"/>
      <c r="V16" s="774"/>
      <c r="W16" s="775"/>
      <c r="X16" s="1816"/>
      <c r="Y16" s="3166"/>
      <c r="Z16" s="1817"/>
      <c r="AA16" s="1814">
        <v>1</v>
      </c>
      <c r="AB16" s="1814">
        <v>1</v>
      </c>
      <c r="AC16" s="1814">
        <v>1</v>
      </c>
    </row>
    <row r="17" spans="1:29" ht="71.25">
      <c r="A17" s="428"/>
      <c r="B17" s="451" t="s">
        <v>2659</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6"/>
      <c r="Q17" s="1813" t="str">
        <f>B17</f>
        <v>商业繁华度</v>
      </c>
      <c r="R17" s="774" t="s">
        <v>17</v>
      </c>
      <c r="S17" s="775">
        <f>F17</f>
        <v>100</v>
      </c>
      <c r="T17" s="774" t="s">
        <v>17</v>
      </c>
      <c r="U17" s="775">
        <f>H17</f>
        <v>100</v>
      </c>
      <c r="V17" s="774" t="s">
        <v>17</v>
      </c>
      <c r="W17" s="775">
        <f>J17</f>
        <v>100</v>
      </c>
      <c r="X17" s="1816"/>
      <c r="Y17" s="3166"/>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66"/>
      <c r="Q18" s="1813"/>
      <c r="R18" s="774"/>
      <c r="S18" s="775"/>
      <c r="T18" s="774"/>
      <c r="U18" s="775"/>
      <c r="V18" s="774"/>
      <c r="W18" s="775"/>
      <c r="X18" s="1816"/>
      <c r="Y18" s="3166"/>
      <c r="Z18" s="1817"/>
      <c r="AA18" s="1814">
        <v>1</v>
      </c>
      <c r="AB18" s="1814">
        <v>1</v>
      </c>
      <c r="AC18" s="1814">
        <v>1</v>
      </c>
    </row>
    <row r="19" spans="1:29" ht="71.25">
      <c r="A19" s="428"/>
      <c r="B19" s="451" t="s">
        <v>2693</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6"/>
      <c r="Q19" s="1813" t="str">
        <f>B19</f>
        <v>办公集聚程度</v>
      </c>
      <c r="R19" s="774" t="s">
        <v>17</v>
      </c>
      <c r="S19" s="775">
        <f>F19</f>
        <v>100</v>
      </c>
      <c r="T19" s="774" t="s">
        <v>17</v>
      </c>
      <c r="U19" s="775">
        <f>H19</f>
        <v>100</v>
      </c>
      <c r="V19" s="774" t="s">
        <v>17</v>
      </c>
      <c r="W19" s="775">
        <f>J19</f>
        <v>100</v>
      </c>
      <c r="X19" s="1816"/>
      <c r="Y19" s="3166"/>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66"/>
      <c r="Q20" s="1813"/>
      <c r="R20" s="774"/>
      <c r="S20" s="775"/>
      <c r="T20" s="774"/>
      <c r="U20" s="775"/>
      <c r="V20" s="774"/>
      <c r="W20" s="775"/>
      <c r="X20" s="1816"/>
      <c r="Y20" s="3166"/>
      <c r="Z20" s="1817"/>
      <c r="AA20" s="1814">
        <v>1</v>
      </c>
      <c r="AB20" s="1814">
        <v>1</v>
      </c>
      <c r="AC20" s="1814">
        <v>1</v>
      </c>
    </row>
    <row r="21" spans="1:29" ht="85.5">
      <c r="A21" s="428"/>
      <c r="B21" s="451" t="s">
        <v>2715</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6"/>
      <c r="Q21" s="1813" t="str">
        <f>B21</f>
        <v>交通便捷度</v>
      </c>
      <c r="R21" s="774" t="s">
        <v>17</v>
      </c>
      <c r="S21" s="775">
        <f>F21</f>
        <v>100</v>
      </c>
      <c r="T21" s="774" t="s">
        <v>17</v>
      </c>
      <c r="U21" s="775">
        <f>H21</f>
        <v>100</v>
      </c>
      <c r="V21" s="774" t="s">
        <v>17</v>
      </c>
      <c r="W21" s="775">
        <f>J21</f>
        <v>100</v>
      </c>
      <c r="X21" s="1816"/>
      <c r="Y21" s="3166"/>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66"/>
      <c r="Q22" s="1813"/>
      <c r="R22" s="774"/>
      <c r="S22" s="775"/>
      <c r="T22" s="774"/>
      <c r="U22" s="775"/>
      <c r="V22" s="774"/>
      <c r="W22" s="775"/>
      <c r="X22" s="1816"/>
      <c r="Y22" s="3166"/>
      <c r="Z22" s="1817"/>
      <c r="AA22" s="1814">
        <v>1</v>
      </c>
      <c r="AB22" s="1814">
        <v>1</v>
      </c>
      <c r="AC22" s="1814">
        <v>1</v>
      </c>
    </row>
    <row r="23" spans="1:29" ht="15">
      <c r="A23" s="404"/>
      <c r="B23" s="451" t="s">
        <v>2754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6"/>
      <c r="Q23" s="1813" t="str">
        <f t="shared" ref="Q23:Q37" si="8">B23</f>
        <v>区域土地利用方向</v>
      </c>
      <c r="R23" s="774" t="s">
        <v>17</v>
      </c>
      <c r="S23" s="775">
        <f>F23</f>
        <v>100</v>
      </c>
      <c r="T23" s="774" t="s">
        <v>17</v>
      </c>
      <c r="U23" s="775">
        <f>H23</f>
        <v>100</v>
      </c>
      <c r="V23" s="774" t="s">
        <v>17</v>
      </c>
      <c r="W23" s="775">
        <f>J23</f>
        <v>100</v>
      </c>
      <c r="X23" s="1816"/>
      <c r="Y23" s="3166"/>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66"/>
      <c r="Q24" s="1813"/>
      <c r="R24" s="774"/>
      <c r="S24" s="775"/>
      <c r="T24" s="774"/>
      <c r="U24" s="775"/>
      <c r="V24" s="774"/>
      <c r="W24" s="775"/>
      <c r="X24" s="1816"/>
      <c r="Y24" s="3166"/>
      <c r="Z24" s="1817"/>
      <c r="AA24" s="1814"/>
      <c r="AB24" s="1814"/>
      <c r="AC24" s="1814"/>
    </row>
    <row r="25" spans="1:29" ht="57">
      <c r="A25" s="404"/>
      <c r="B25" s="1387" t="s">
        <v>2755</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6"/>
      <c r="Q25" s="1813" t="str">
        <f t="shared" si="8"/>
        <v>自然及人文环境状况</v>
      </c>
      <c r="R25" s="774" t="s">
        <v>17</v>
      </c>
      <c r="S25" s="775">
        <f>F25</f>
        <v>100</v>
      </c>
      <c r="T25" s="774" t="s">
        <v>17</v>
      </c>
      <c r="U25" s="775">
        <f>H25</f>
        <v>100</v>
      </c>
      <c r="V25" s="774" t="s">
        <v>17</v>
      </c>
      <c r="W25" s="775">
        <f>J25</f>
        <v>100</v>
      </c>
      <c r="X25" s="1816"/>
      <c r="Y25" s="3166"/>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66"/>
      <c r="Q26" s="1813"/>
      <c r="R26" s="774"/>
      <c r="S26" s="775"/>
      <c r="T26" s="774"/>
      <c r="U26" s="775"/>
      <c r="V26" s="774"/>
      <c r="W26" s="775"/>
      <c r="X26" s="1816"/>
      <c r="Y26" s="3166"/>
      <c r="Z26" s="1817"/>
      <c r="AA26" s="1814">
        <v>1</v>
      </c>
      <c r="AB26" s="1814">
        <v>1</v>
      </c>
      <c r="AC26" s="1814">
        <v>1</v>
      </c>
    </row>
    <row r="27" spans="1:29" s="117" customFormat="1" ht="42.75">
      <c r="A27" s="649"/>
      <c r="B27" s="1387" t="s">
        <v>2660</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6"/>
      <c r="Q27" s="1798" t="str">
        <f t="shared" si="8"/>
        <v>公共配套设施</v>
      </c>
      <c r="R27" s="770" t="s">
        <v>17</v>
      </c>
      <c r="S27" s="771">
        <f>F27</f>
        <v>100</v>
      </c>
      <c r="T27" s="770" t="s">
        <v>17</v>
      </c>
      <c r="U27" s="771">
        <f>H27</f>
        <v>100</v>
      </c>
      <c r="V27" s="770" t="s">
        <v>17</v>
      </c>
      <c r="W27" s="771">
        <f>J27</f>
        <v>100</v>
      </c>
      <c r="X27" s="772"/>
      <c r="Y27" s="3166"/>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66"/>
      <c r="Q28" s="1798"/>
      <c r="R28" s="770"/>
      <c r="S28" s="771"/>
      <c r="T28" s="770"/>
      <c r="U28" s="771"/>
      <c r="V28" s="770"/>
      <c r="W28" s="771"/>
      <c r="X28" s="772"/>
      <c r="Y28" s="3166"/>
      <c r="Z28" s="55"/>
      <c r="AA28" s="1814">
        <v>1</v>
      </c>
      <c r="AB28" s="1814">
        <v>1</v>
      </c>
      <c r="AC28" s="1814">
        <v>1</v>
      </c>
    </row>
    <row r="29" spans="1:29" s="117" customFormat="1" ht="28.5">
      <c r="A29" s="649"/>
      <c r="B29" s="1387" t="s">
        <v>2661</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6"/>
      <c r="Q29" s="1798" t="str">
        <f t="shared" ref="Q29" si="9">B29</f>
        <v>基础设施水平</v>
      </c>
      <c r="R29" s="770" t="s">
        <v>17</v>
      </c>
      <c r="S29" s="771">
        <f>F29</f>
        <v>100</v>
      </c>
      <c r="T29" s="770" t="s">
        <v>17</v>
      </c>
      <c r="U29" s="771">
        <f>H29</f>
        <v>100</v>
      </c>
      <c r="V29" s="770" t="s">
        <v>17</v>
      </c>
      <c r="W29" s="771">
        <f>J29</f>
        <v>100</v>
      </c>
      <c r="X29" s="772"/>
      <c r="Y29" s="3166"/>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66"/>
      <c r="Q30" s="1798"/>
      <c r="R30" s="770"/>
      <c r="S30" s="771"/>
      <c r="T30" s="770"/>
      <c r="U30" s="771"/>
      <c r="V30" s="770"/>
      <c r="W30" s="771"/>
      <c r="X30" s="772"/>
      <c r="Y30" s="3166"/>
      <c r="Z30" s="55"/>
      <c r="AA30" s="1814">
        <v>1</v>
      </c>
      <c r="AB30" s="1814">
        <v>1</v>
      </c>
      <c r="AC30" s="1814">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6"/>
      <c r="Z31" s="1817" t="str">
        <f t="shared" ref="Z31:Z45" si="13">Q31</f>
        <v>临街状况</v>
      </c>
      <c r="AA31" s="1814">
        <f t="shared" si="3"/>
        <v>1</v>
      </c>
      <c r="AB31" s="1814">
        <f t="shared" si="4"/>
        <v>1</v>
      </c>
      <c r="AC31" s="1814">
        <f t="shared" si="5"/>
        <v>1</v>
      </c>
    </row>
    <row r="32" spans="1:29" ht="27">
      <c r="A32" s="428"/>
      <c r="B32" s="1387"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6"/>
      <c r="Q32" s="1813" t="str">
        <f t="shared" si="8"/>
        <v>毗邻道路的类型与等级</v>
      </c>
      <c r="R32" s="774" t="s">
        <v>17</v>
      </c>
      <c r="S32" s="775">
        <f t="shared" si="10"/>
        <v>100</v>
      </c>
      <c r="T32" s="774" t="s">
        <v>17</v>
      </c>
      <c r="U32" s="775">
        <f t="shared" si="11"/>
        <v>100</v>
      </c>
      <c r="V32" s="774" t="s">
        <v>17</v>
      </c>
      <c r="W32" s="775">
        <f t="shared" si="12"/>
        <v>100</v>
      </c>
      <c r="X32" s="1816"/>
      <c r="Y32" s="3166"/>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66"/>
      <c r="Q33" s="1813"/>
      <c r="R33" s="774"/>
      <c r="S33" s="775"/>
      <c r="T33" s="774"/>
      <c r="U33" s="775"/>
      <c r="V33" s="774"/>
      <c r="W33" s="775"/>
      <c r="X33" s="1816"/>
      <c r="Y33" s="3166"/>
      <c r="Z33" s="1817"/>
      <c r="AA33" s="1814">
        <v>1</v>
      </c>
      <c r="AB33" s="1814">
        <v>1</v>
      </c>
      <c r="AC33" s="1814">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6"/>
      <c r="Q34" s="1813" t="str">
        <f t="shared" si="8"/>
        <v>土地级别</v>
      </c>
      <c r="R34" s="774" t="s">
        <v>17</v>
      </c>
      <c r="S34" s="775">
        <f t="shared" si="10"/>
        <v>100</v>
      </c>
      <c r="T34" s="774" t="s">
        <v>17</v>
      </c>
      <c r="U34" s="775">
        <f t="shared" si="11"/>
        <v>100</v>
      </c>
      <c r="V34" s="774" t="s">
        <v>17</v>
      </c>
      <c r="W34" s="775">
        <f t="shared" si="12"/>
        <v>100</v>
      </c>
      <c r="X34" s="1816"/>
      <c r="Y34" s="316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6"/>
      <c r="Q35" s="1813">
        <f t="shared" si="8"/>
        <v>111</v>
      </c>
      <c r="R35" s="774" t="s">
        <v>17</v>
      </c>
      <c r="S35" s="775">
        <f t="shared" si="10"/>
        <v>100</v>
      </c>
      <c r="T35" s="774" t="s">
        <v>17</v>
      </c>
      <c r="U35" s="775">
        <f t="shared" si="11"/>
        <v>100</v>
      </c>
      <c r="V35" s="774" t="s">
        <v>17</v>
      </c>
      <c r="W35" s="775">
        <f t="shared" si="12"/>
        <v>100</v>
      </c>
      <c r="X35" s="1816"/>
      <c r="Y35" s="316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7" t="s">
        <v>2571</v>
      </c>
      <c r="Q36" s="1813">
        <f t="shared" si="8"/>
        <v>111</v>
      </c>
      <c r="R36" s="774" t="s">
        <v>17</v>
      </c>
      <c r="S36" s="775">
        <f t="shared" si="10"/>
        <v>100</v>
      </c>
      <c r="T36" s="774" t="s">
        <v>17</v>
      </c>
      <c r="U36" s="775">
        <f t="shared" si="11"/>
        <v>100</v>
      </c>
      <c r="V36" s="774" t="s">
        <v>17</v>
      </c>
      <c r="W36" s="775">
        <f t="shared" si="12"/>
        <v>100</v>
      </c>
      <c r="X36" s="1816"/>
      <c r="Y36" s="3168" t="s">
        <v>2571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8"/>
      <c r="Q37" s="1813">
        <f t="shared" si="8"/>
        <v>111</v>
      </c>
      <c r="R37" s="777" t="s">
        <v>17</v>
      </c>
      <c r="S37" s="778">
        <f t="shared" si="10"/>
        <v>100</v>
      </c>
      <c r="T37" s="777" t="s">
        <v>17</v>
      </c>
      <c r="U37" s="778">
        <f t="shared" si="11"/>
        <v>100</v>
      </c>
      <c r="V37" s="777" t="s">
        <v>17</v>
      </c>
      <c r="W37" s="778">
        <f t="shared" si="12"/>
        <v>100</v>
      </c>
      <c r="X37" s="779"/>
      <c r="Y37" s="3168"/>
      <c r="Z37" s="780">
        <f t="shared" si="13"/>
        <v>111</v>
      </c>
      <c r="AA37" s="1814">
        <f t="shared" si="3"/>
        <v>1</v>
      </c>
      <c r="AB37" s="1814">
        <f t="shared" si="4"/>
        <v>1</v>
      </c>
      <c r="AC37" s="1814">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8"/>
      <c r="Q38" s="1813" t="str">
        <f>B38</f>
        <v>宗地面积</v>
      </c>
      <c r="R38" s="774" t="s">
        <v>17</v>
      </c>
      <c r="S38" s="775" t="e">
        <f t="shared" si="10"/>
        <v>#N/A</v>
      </c>
      <c r="T38" s="774" t="s">
        <v>17</v>
      </c>
      <c r="U38" s="775" t="e">
        <f t="shared" si="11"/>
        <v>#N/A</v>
      </c>
      <c r="V38" s="774" t="s">
        <v>17</v>
      </c>
      <c r="W38" s="775" t="e">
        <f t="shared" si="12"/>
        <v>#N/A</v>
      </c>
      <c r="X38" s="1816"/>
      <c r="Y38" s="3168"/>
      <c r="Z38" s="1817" t="str">
        <f t="shared" si="13"/>
        <v>宗地面积</v>
      </c>
      <c r="AA38" s="1814" t="e">
        <f t="shared" si="3"/>
        <v>#N/A</v>
      </c>
      <c r="AB38" s="1814" t="e">
        <f t="shared" si="4"/>
        <v>#N/A</v>
      </c>
      <c r="AC38" s="1814" t="e">
        <f t="shared" si="5"/>
        <v>#N/A</v>
      </c>
    </row>
    <row r="39" spans="1:29" ht="15">
      <c r="A39" s="472"/>
      <c r="B39" s="422" t="s">
        <v>2758</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68"/>
      <c r="Q39" s="1813" t="str">
        <f t="shared" ref="Q39:Q45" si="14">B39</f>
        <v>宗地形状</v>
      </c>
      <c r="R39" s="774" t="s">
        <v>17</v>
      </c>
      <c r="S39" s="775">
        <f t="shared" si="10"/>
        <v>100</v>
      </c>
      <c r="T39" s="774" t="s">
        <v>17</v>
      </c>
      <c r="U39" s="775">
        <f t="shared" si="11"/>
        <v>100</v>
      </c>
      <c r="V39" s="774" t="s">
        <v>17</v>
      </c>
      <c r="W39" s="775">
        <f t="shared" si="12"/>
        <v>100</v>
      </c>
      <c r="X39" s="1816"/>
      <c r="Y39" s="3168"/>
      <c r="Z39" s="1817" t="str">
        <f t="shared" si="13"/>
        <v>宗地形状</v>
      </c>
      <c r="AA39" s="1814">
        <f t="shared" si="3"/>
        <v>1</v>
      </c>
      <c r="AB39" s="1814">
        <f t="shared" si="4"/>
        <v>1</v>
      </c>
      <c r="AC39" s="1814">
        <f t="shared" si="5"/>
        <v>1</v>
      </c>
    </row>
    <row r="40" spans="1:29" ht="15">
      <c r="A40" s="472"/>
      <c r="B40" s="422" t="s">
        <v>2759</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68"/>
      <c r="Q40" s="1813" t="str">
        <f t="shared" si="14"/>
        <v>临街宽度及深度</v>
      </c>
      <c r="R40" s="774" t="s">
        <v>17</v>
      </c>
      <c r="S40" s="775">
        <f t="shared" si="10"/>
        <v>100</v>
      </c>
      <c r="T40" s="774" t="s">
        <v>17</v>
      </c>
      <c r="U40" s="775">
        <f t="shared" si="11"/>
        <v>100</v>
      </c>
      <c r="V40" s="774" t="s">
        <v>17</v>
      </c>
      <c r="W40" s="775">
        <f t="shared" si="12"/>
        <v>100</v>
      </c>
      <c r="X40" s="1816"/>
      <c r="Y40" s="3168"/>
      <c r="Z40" s="1817" t="str">
        <f t="shared" si="13"/>
        <v>临街宽度及深度</v>
      </c>
      <c r="AA40" s="1814">
        <f t="shared" si="3"/>
        <v>1</v>
      </c>
      <c r="AB40" s="1814">
        <f t="shared" si="4"/>
        <v>1</v>
      </c>
      <c r="AC40" s="1814">
        <f t="shared" si="5"/>
        <v>1</v>
      </c>
    </row>
    <row r="41" spans="1:29" s="117" customFormat="1" ht="15">
      <c r="A41" s="473"/>
      <c r="B41" s="422" t="s">
        <v>2760</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68"/>
      <c r="Q41" s="1813" t="str">
        <f t="shared" si="14"/>
        <v>宗地开发程度</v>
      </c>
      <c r="R41" s="770" t="s">
        <v>17</v>
      </c>
      <c r="S41" s="771">
        <f t="shared" si="10"/>
        <v>100</v>
      </c>
      <c r="T41" s="770" t="s">
        <v>17</v>
      </c>
      <c r="U41" s="771">
        <f t="shared" si="11"/>
        <v>100</v>
      </c>
      <c r="V41" s="770" t="s">
        <v>17</v>
      </c>
      <c r="W41" s="771">
        <f t="shared" si="12"/>
        <v>100</v>
      </c>
      <c r="X41" s="772"/>
      <c r="Y41" s="3168"/>
      <c r="Z41" s="55" t="str">
        <f t="shared" si="13"/>
        <v>宗地开发程度</v>
      </c>
      <c r="AA41" s="773">
        <f t="shared" si="3"/>
        <v>1</v>
      </c>
      <c r="AB41" s="773">
        <f t="shared" si="4"/>
        <v>1</v>
      </c>
      <c r="AC41" s="773">
        <f t="shared" si="5"/>
        <v>1</v>
      </c>
    </row>
    <row r="42" spans="1:29" ht="15">
      <c r="A42" s="472"/>
      <c r="B42" s="422" t="s">
        <v>2761</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68" t="s">
        <v>2571</v>
      </c>
      <c r="Q42" s="1813" t="str">
        <f t="shared" si="14"/>
        <v>工程地质条件</v>
      </c>
      <c r="R42" s="774" t="s">
        <v>17</v>
      </c>
      <c r="S42" s="775">
        <f t="shared" si="10"/>
        <v>100</v>
      </c>
      <c r="T42" s="774" t="s">
        <v>17</v>
      </c>
      <c r="U42" s="775">
        <f t="shared" si="11"/>
        <v>100</v>
      </c>
      <c r="V42" s="774" t="s">
        <v>17</v>
      </c>
      <c r="W42" s="775">
        <f t="shared" si="12"/>
        <v>100</v>
      </c>
      <c r="X42" s="1816"/>
      <c r="Y42" s="3168" t="s">
        <v>2571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8"/>
      <c r="Q43" s="1813">
        <f t="shared" si="14"/>
        <v>111</v>
      </c>
      <c r="R43" s="774" t="s">
        <v>17</v>
      </c>
      <c r="S43" s="775">
        <f t="shared" si="10"/>
        <v>100</v>
      </c>
      <c r="T43" s="774" t="s">
        <v>17</v>
      </c>
      <c r="U43" s="775">
        <f t="shared" si="11"/>
        <v>100</v>
      </c>
      <c r="V43" s="774" t="s">
        <v>17</v>
      </c>
      <c r="W43" s="775">
        <f t="shared" si="12"/>
        <v>100</v>
      </c>
      <c r="X43" s="1816"/>
      <c r="Y43" s="316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8"/>
      <c r="Q44" s="1813">
        <f t="shared" si="14"/>
        <v>111</v>
      </c>
      <c r="R44" s="774" t="s">
        <v>17</v>
      </c>
      <c r="S44" s="775">
        <f t="shared" si="10"/>
        <v>100</v>
      </c>
      <c r="T44" s="774" t="s">
        <v>17</v>
      </c>
      <c r="U44" s="775">
        <f t="shared" si="11"/>
        <v>100</v>
      </c>
      <c r="V44" s="774" t="s">
        <v>17</v>
      </c>
      <c r="W44" s="775">
        <f t="shared" si="12"/>
        <v>100</v>
      </c>
      <c r="X44" s="1816"/>
      <c r="Y44" s="3168"/>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8"/>
      <c r="Q45" s="1813">
        <f t="shared" si="14"/>
        <v>111</v>
      </c>
      <c r="R45" s="777" t="s">
        <v>17</v>
      </c>
      <c r="S45" s="778">
        <f t="shared" si="10"/>
        <v>100</v>
      </c>
      <c r="T45" s="777" t="s">
        <v>17</v>
      </c>
      <c r="U45" s="778">
        <f t="shared" si="11"/>
        <v>100</v>
      </c>
      <c r="V45" s="777" t="s">
        <v>17</v>
      </c>
      <c r="W45" s="778">
        <f t="shared" si="12"/>
        <v>100</v>
      </c>
      <c r="X45" s="779"/>
      <c r="Y45" s="3168"/>
      <c r="Z45" s="780">
        <f t="shared" si="13"/>
        <v>111</v>
      </c>
      <c r="AA45" s="1814">
        <f t="shared" si="3"/>
        <v>1</v>
      </c>
      <c r="AB45" s="1814">
        <f t="shared" si="4"/>
        <v>1</v>
      </c>
      <c r="AC45" s="1814">
        <f t="shared" si="5"/>
        <v>1</v>
      </c>
    </row>
    <row r="46" spans="1:29" ht="15">
      <c r="A46" s="479" t="s">
        <v>2726</v>
      </c>
      <c r="B46" s="2710" t="s">
        <v>2762</v>
      </c>
      <c r="C46" s="682" t="s">
        <v>1</v>
      </c>
      <c r="D46" s="481"/>
      <c r="E46" s="482"/>
      <c r="F46" s="483"/>
      <c r="G46" s="484"/>
      <c r="H46" s="485"/>
      <c r="I46" s="482"/>
      <c r="J46" s="485"/>
      <c r="K46" s="783"/>
      <c r="L46" s="1146"/>
      <c r="M46" s="1147"/>
      <c r="N46" s="1134"/>
      <c r="O46" s="1147"/>
      <c r="P46" s="3162" t="str">
        <f>A46</f>
        <v>成交单价</v>
      </c>
      <c r="Q46" s="3162"/>
      <c r="R46" s="3164">
        <f>E46</f>
        <v>0</v>
      </c>
      <c r="S46" s="3164"/>
      <c r="T46" s="3164">
        <f>G46</f>
        <v>0</v>
      </c>
      <c r="U46" s="3164"/>
      <c r="V46" s="3164">
        <f>I46</f>
        <v>0</v>
      </c>
      <c r="W46" s="3164"/>
      <c r="X46" s="759"/>
      <c r="Y46" s="781"/>
      <c r="Z46" s="759"/>
      <c r="AA46" s="759"/>
      <c r="AB46" s="759"/>
      <c r="AC46" s="759"/>
    </row>
    <row r="47" spans="1:29" ht="15.75" thickBot="1">
      <c r="A47" s="486" t="s">
        <v>2675</v>
      </c>
      <c r="B47" s="683"/>
      <c r="C47" s="490" t="e">
        <f>R48</f>
        <v>#DIV/0!</v>
      </c>
      <c r="D47" s="489"/>
      <c r="E47" s="490" t="e">
        <f>R47</f>
        <v>#DIV/0!</v>
      </c>
      <c r="F47" s="491"/>
      <c r="G47" s="488" t="e">
        <f>T47</f>
        <v>#DIV/0!</v>
      </c>
      <c r="H47" s="489"/>
      <c r="I47" s="490" t="e">
        <f>V47</f>
        <v>#DIV/0!</v>
      </c>
      <c r="J47" s="489"/>
      <c r="K47" s="784"/>
      <c r="L47" s="1146"/>
      <c r="M47" s="1147"/>
      <c r="N47" s="1147"/>
      <c r="O47" s="1147"/>
      <c r="P47" s="3162" t="str">
        <f>A47</f>
        <v>比较价值（元/平方米）</v>
      </c>
      <c r="Q47" s="3162"/>
      <c r="R47" s="3163" t="e">
        <f>ROUND(PRODUCT(R46,AA7:AA45),0)</f>
        <v>#DIV/0!</v>
      </c>
      <c r="S47" s="3163"/>
      <c r="T47" s="3163" t="e">
        <f>ROUND(PRODUCT(T46,AB7:AB45),0)</f>
        <v>#DIV/0!</v>
      </c>
      <c r="U47" s="3163"/>
      <c r="V47" s="3163" t="e">
        <f>ROUND(PRODUCT(V46,AC7:AC45),0)</f>
        <v>#DIV/0!</v>
      </c>
      <c r="W47" s="3163"/>
      <c r="X47" s="759"/>
      <c r="Y47" s="759"/>
      <c r="Z47" s="759"/>
      <c r="AA47" s="759"/>
      <c r="AB47" s="759"/>
      <c r="AC47" s="759"/>
    </row>
    <row r="48" spans="1:29" ht="15.75" thickBot="1">
      <c r="A48" s="492" t="s">
        <v>2763</v>
      </c>
      <c r="B48" s="493"/>
      <c r="C48" s="494" t="e">
        <f>R48</f>
        <v>#DIV/0!</v>
      </c>
      <c r="D48" s="494"/>
      <c r="E48" s="494"/>
      <c r="F48" s="494"/>
      <c r="G48" s="494"/>
      <c r="H48" s="494"/>
      <c r="I48" s="494"/>
      <c r="J48" s="494"/>
      <c r="K48" s="785"/>
      <c r="L48" s="1146"/>
      <c r="M48" s="1147"/>
      <c r="N48" s="1147"/>
      <c r="O48" s="1147"/>
      <c r="P48" s="3159" t="str">
        <f>A48</f>
        <v>估价对象XX用房的比较价值（楼面单价，元/平方米）</v>
      </c>
      <c r="Q48" s="3160"/>
      <c r="R48" s="3161" t="e">
        <f>ROUND(AVERAGE(R47:V47),0)</f>
        <v>#DIV/0!</v>
      </c>
      <c r="S48" s="3161"/>
      <c r="T48" s="3161"/>
      <c r="U48" s="3161"/>
      <c r="V48" s="3161"/>
      <c r="W48" s="316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2764</v>
      </c>
      <c r="B55" s="685" t="s">
        <v>2765</v>
      </c>
      <c r="C55" s="2711" t="s">
        <v>2766</v>
      </c>
      <c r="D55" s="2712" t="s">
        <v>2767</v>
      </c>
      <c r="E55" s="686" t="s">
        <v>2768</v>
      </c>
      <c r="F55" s="1110" t="s">
        <v>2769</v>
      </c>
      <c r="G55" s="3172" t="s">
        <v>2770</v>
      </c>
      <c r="H55" s="3186"/>
      <c r="I55" s="144" t="s">
        <v>2771</v>
      </c>
      <c r="J55" s="2713">
        <f>项目基本情况!F35</f>
        <v>0</v>
      </c>
      <c r="K55" s="2714" t="s">
        <v>2772</v>
      </c>
      <c r="L55" s="1109"/>
      <c r="M55" s="1147"/>
      <c r="N55" s="1147"/>
      <c r="O55" s="1147"/>
    </row>
    <row r="56" spans="1:15" s="692" customFormat="1">
      <c r="A56" s="688" t="s">
        <v>2773</v>
      </c>
      <c r="B56" s="689" t="e">
        <f>C48</f>
        <v>#DIV/0!</v>
      </c>
      <c r="C56" s="690">
        <v>1</v>
      </c>
      <c r="D56" s="1166">
        <v>1</v>
      </c>
      <c r="E56" s="690">
        <f>'数据-汇总表'!E8+'数据-汇总表'!E9</f>
        <v>6170.06</v>
      </c>
      <c r="F56" s="1106" t="e">
        <f t="shared" ref="F56:F65" si="15">ROUND(B56*E56/10000,0)</f>
        <v>#DIV/0!</v>
      </c>
      <c r="G56" s="3187"/>
      <c r="H56" s="3162"/>
      <c r="I56" s="1111">
        <v>1</v>
      </c>
      <c r="J56" s="1114">
        <v>1</v>
      </c>
      <c r="K56" s="1148"/>
      <c r="L56" s="944"/>
      <c r="M56" s="944"/>
      <c r="N56" s="944"/>
      <c r="O56" s="944"/>
    </row>
    <row r="57" spans="1:15" s="692" customFormat="1">
      <c r="A57" s="693" t="s">
        <v>2774</v>
      </c>
      <c r="B57" s="262" t="e">
        <f>ROUND($C$48*C57*D57,0)</f>
        <v>#DIV/0!</v>
      </c>
      <c r="C57" s="200">
        <f t="shared" ref="C57:C65" si="16">IF($C$55="北京市系数",I57,J57)</f>
        <v>0</v>
      </c>
      <c r="D57" s="1167">
        <v>0.25</v>
      </c>
      <c r="E57" s="694"/>
      <c r="F57" s="1106" t="e">
        <f t="shared" si="15"/>
        <v>#DIV/0!</v>
      </c>
      <c r="G57" s="3188" t="s">
        <v>2775</v>
      </c>
      <c r="H57" s="1107">
        <f>项目基本情况!B37</f>
        <v>0</v>
      </c>
      <c r="I57" s="1111">
        <f>SUMIF(修正!A45:A56,H57,修正!B45:B56)</f>
        <v>0</v>
      </c>
      <c r="J57" s="1115"/>
      <c r="K57" s="1147"/>
      <c r="L57" s="944"/>
      <c r="M57" s="944"/>
      <c r="N57" s="944"/>
      <c r="O57" s="944"/>
    </row>
    <row r="58" spans="1:15" s="692" customFormat="1">
      <c r="A58" s="693" t="s">
        <v>2776</v>
      </c>
      <c r="B58" s="262" t="e">
        <f t="shared" ref="B58:B65" si="17">ROUND($C$48*C58*D58,0)</f>
        <v>#DIV/0!</v>
      </c>
      <c r="C58" s="200">
        <f t="shared" si="16"/>
        <v>0</v>
      </c>
      <c r="D58" s="1167">
        <v>0.25</v>
      </c>
      <c r="E58" s="694"/>
      <c r="F58" s="1106" t="e">
        <f t="shared" si="15"/>
        <v>#DIV/0!</v>
      </c>
      <c r="G58" s="3188"/>
      <c r="H58" s="1107">
        <f>项目基本情况!B37</f>
        <v>0</v>
      </c>
      <c r="I58" s="1111">
        <f>SUMIF(修正!A45:A56,H58,修正!C45:C56)</f>
        <v>0</v>
      </c>
      <c r="J58" s="1115"/>
      <c r="K58" s="1148"/>
      <c r="L58" s="944"/>
      <c r="M58" s="944"/>
      <c r="N58" s="944"/>
      <c r="O58" s="944"/>
    </row>
    <row r="59" spans="1:15" s="692" customFormat="1">
      <c r="A59" s="693" t="s">
        <v>2777</v>
      </c>
      <c r="B59" s="262" t="e">
        <f t="shared" si="17"/>
        <v>#DIV/0!</v>
      </c>
      <c r="C59" s="200">
        <f t="shared" si="16"/>
        <v>0</v>
      </c>
      <c r="D59" s="1167">
        <v>0.25</v>
      </c>
      <c r="E59" s="694"/>
      <c r="F59" s="1106" t="e">
        <f t="shared" si="15"/>
        <v>#DIV/0!</v>
      </c>
      <c r="G59" s="3188"/>
      <c r="H59" s="1107">
        <f>项目基本情况!B37</f>
        <v>0</v>
      </c>
      <c r="I59" s="1111">
        <f>SUMIF(修正!A45:A56,H59,修正!D45:D56)</f>
        <v>0</v>
      </c>
      <c r="J59" s="1115"/>
      <c r="K59" s="1147"/>
      <c r="L59" s="944"/>
      <c r="M59" s="944"/>
      <c r="N59" s="944"/>
      <c r="O59" s="944"/>
    </row>
    <row r="60" spans="1:15" s="692" customFormat="1">
      <c r="A60" s="693" t="s">
        <v>2778</v>
      </c>
      <c r="B60" s="262" t="e">
        <f t="shared" si="17"/>
        <v>#DIV/0!</v>
      </c>
      <c r="C60" s="200">
        <f t="shared" si="16"/>
        <v>0</v>
      </c>
      <c r="D60" s="1167">
        <v>0.25</v>
      </c>
      <c r="E60" s="694"/>
      <c r="F60" s="1106" t="e">
        <f t="shared" si="15"/>
        <v>#DIV/0!</v>
      </c>
      <c r="G60" s="3188"/>
      <c r="H60" s="1107">
        <f>项目基本情况!B37</f>
        <v>0</v>
      </c>
      <c r="I60" s="1111">
        <f>SUMIF(修正!A45:A56,H60,修正!E45:E56)</f>
        <v>0</v>
      </c>
      <c r="J60" s="1115"/>
      <c r="K60" s="1148"/>
      <c r="L60" s="944"/>
      <c r="M60" s="944"/>
      <c r="N60" s="944"/>
      <c r="O60" s="944"/>
    </row>
    <row r="61" spans="1:15" s="692" customFormat="1">
      <c r="A61" s="693" t="s">
        <v>2779</v>
      </c>
      <c r="B61" s="262" t="e">
        <f t="shared" si="17"/>
        <v>#DIV/0!</v>
      </c>
      <c r="C61" s="200">
        <f t="shared" si="16"/>
        <v>0</v>
      </c>
      <c r="D61" s="1167">
        <v>0.25</v>
      </c>
      <c r="E61" s="261">
        <f>'数据-汇总表'!E11</f>
        <v>0</v>
      </c>
      <c r="F61" s="1106" t="e">
        <f t="shared" si="15"/>
        <v>#DIV/0!</v>
      </c>
      <c r="G61" s="2715" t="s">
        <v>2780</v>
      </c>
      <c r="H61" s="1107">
        <f>项目基本情况!C37</f>
        <v>0</v>
      </c>
      <c r="I61" s="1111">
        <f>SUMIF(修正!A45:A56,H61,修正!F45:F56)</f>
        <v>0</v>
      </c>
      <c r="J61" s="1115"/>
      <c r="K61" s="1147"/>
      <c r="L61" s="944"/>
      <c r="M61" s="944"/>
      <c r="N61" s="944"/>
      <c r="O61" s="944"/>
    </row>
    <row r="62" spans="1:15" s="692" customFormat="1">
      <c r="A62" s="693" t="s">
        <v>2781</v>
      </c>
      <c r="B62" s="262" t="e">
        <f t="shared" si="17"/>
        <v>#DIV/0!</v>
      </c>
      <c r="C62" s="200">
        <f t="shared" si="16"/>
        <v>0</v>
      </c>
      <c r="D62" s="1167">
        <v>0.25</v>
      </c>
      <c r="E62" s="261">
        <f>'数据-汇总表'!E12</f>
        <v>0</v>
      </c>
      <c r="F62" s="1106" t="e">
        <f t="shared" si="15"/>
        <v>#DIV/0!</v>
      </c>
      <c r="G62" s="1112" t="s">
        <v>2782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2783</v>
      </c>
      <c r="B63" s="262" t="e">
        <f t="shared" si="17"/>
        <v>#DIV/0!</v>
      </c>
      <c r="C63" s="200">
        <f t="shared" si="16"/>
        <v>0</v>
      </c>
      <c r="D63" s="1167">
        <v>0.25</v>
      </c>
      <c r="E63" s="261">
        <f>'数据-汇总表'!E13</f>
        <v>0</v>
      </c>
      <c r="F63" s="1106" t="e">
        <f t="shared" si="15"/>
        <v>#DIV/0!</v>
      </c>
      <c r="G63" s="1112" t="s">
        <v>2784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2785</v>
      </c>
      <c r="B64" s="262" t="e">
        <f t="shared" si="17"/>
        <v>#DIV/0!</v>
      </c>
      <c r="C64" s="200">
        <f t="shared" si="16"/>
        <v>0</v>
      </c>
      <c r="D64" s="1167">
        <v>0.25</v>
      </c>
      <c r="E64" s="261">
        <f>'数据-汇总表'!E14</f>
        <v>0</v>
      </c>
      <c r="F64" s="1106" t="e">
        <f t="shared" si="15"/>
        <v>#DIV/0!</v>
      </c>
      <c r="G64" s="2715" t="s">
        <v>2775</v>
      </c>
      <c r="H64" s="1107">
        <f>项目基本情况!B37</f>
        <v>0</v>
      </c>
      <c r="I64" s="1111">
        <f>SUMIF(修正!A45:A56,H64,修正!H45:H56)</f>
        <v>0</v>
      </c>
      <c r="J64" s="1115"/>
      <c r="K64" s="1148"/>
      <c r="L64" s="944"/>
      <c r="M64" s="944"/>
      <c r="N64" s="944"/>
      <c r="O64" s="944"/>
    </row>
    <row r="65" spans="1:17" s="692" customFormat="1" ht="15" thickBot="1">
      <c r="A65" s="693" t="s">
        <v>2786</v>
      </c>
      <c r="B65" s="262" t="e">
        <f t="shared" si="17"/>
        <v>#DIV/0!</v>
      </c>
      <c r="C65" s="200">
        <f t="shared" si="16"/>
        <v>0</v>
      </c>
      <c r="D65" s="1167">
        <v>0.25</v>
      </c>
      <c r="E65" s="261">
        <f>'数据-汇总表'!E15</f>
        <v>0</v>
      </c>
      <c r="F65" s="1106" t="e">
        <f t="shared" si="15"/>
        <v>#DIV/0!</v>
      </c>
      <c r="G65" s="2716" t="s">
        <v>2780</v>
      </c>
      <c r="H65" s="1117">
        <f>项目基本情况!C37</f>
        <v>0</v>
      </c>
      <c r="I65" s="1113">
        <f>SUMIF(修正!A45:A56,H65,修正!H45:H56)</f>
        <v>0</v>
      </c>
      <c r="J65" s="1116"/>
      <c r="K65" s="1147"/>
      <c r="L65" s="944"/>
      <c r="M65" s="944"/>
      <c r="N65" s="944"/>
      <c r="O65" s="944"/>
    </row>
    <row r="66" spans="1:17" s="692" customFormat="1" ht="13.5" thickBot="1">
      <c r="A66" s="695" t="s">
        <v>2787</v>
      </c>
      <c r="B66" s="696" t="s">
        <v>28</v>
      </c>
      <c r="C66" s="696" t="s">
        <v>29</v>
      </c>
      <c r="D66" s="696" t="s">
        <v>1029</v>
      </c>
      <c r="E66" s="696">
        <f>IF(B46="楼面地价",SUM(E56:E65),'数据-汇总表'!D3)</f>
        <v>6170.06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2680</v>
      </c>
      <c r="B69" s="759"/>
      <c r="C69" s="764"/>
      <c r="D69" s="764"/>
      <c r="E69" s="764"/>
      <c r="F69" s="765"/>
      <c r="G69" s="765"/>
      <c r="H69" s="764"/>
      <c r="I69" s="764"/>
      <c r="J69" s="1162"/>
      <c r="K69" s="1163"/>
      <c r="L69" s="1164"/>
      <c r="M69" s="1162"/>
      <c r="N69" s="1162"/>
      <c r="O69" s="1162"/>
      <c r="P69" s="503"/>
      <c r="Q69" s="504"/>
    </row>
    <row r="70" spans="1:17" s="508" customFormat="1" ht="15">
      <c r="A70" s="2717" t="s">
        <v>2788</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8" t="s">
        <v>2789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2591</v>
      </c>
      <c r="B72" s="516"/>
      <c r="C72" s="517"/>
      <c r="D72" s="518"/>
      <c r="E72" s="518"/>
      <c r="F72" s="518"/>
      <c r="G72" s="518"/>
      <c r="H72" s="518"/>
      <c r="I72" s="518"/>
      <c r="J72" s="518"/>
      <c r="K72" s="518"/>
      <c r="L72" s="518"/>
      <c r="M72" s="519"/>
      <c r="N72" s="518"/>
      <c r="O72" s="1165"/>
      <c r="P72" s="504"/>
      <c r="Q72" s="504"/>
    </row>
    <row r="73" spans="1:17" s="117" customFormat="1" ht="15">
      <c r="A73" s="521" t="s">
        <v>2556</v>
      </c>
      <c r="B73" s="510"/>
      <c r="C73" s="522" t="s">
        <v>2658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2594</v>
      </c>
      <c r="B75" s="528" t="s">
        <v>2560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2809</v>
      </c>
      <c r="B1" s="241"/>
      <c r="C1" s="245" t="s">
        <v>2810</v>
      </c>
      <c r="D1" s="388">
        <f>SUM(D29:D30,D33:D39)</f>
        <v>0</v>
      </c>
      <c r="E1" s="2723"/>
      <c r="F1" s="2723"/>
      <c r="G1" s="2723"/>
      <c r="H1" s="2723"/>
      <c r="I1" s="2723"/>
      <c r="J1" s="2723"/>
      <c r="K1" s="1373"/>
      <c r="L1" s="2724" t="s">
        <v>2811</v>
      </c>
      <c r="M1" s="1083">
        <f>SUMPRODUCT((区片价!B5:B9=I2)*(区片价!C3:F3=E2)*(区片价!C5:F9))</f>
        <v>0</v>
      </c>
      <c r="N1" s="1086">
        <f>SUMPRODUCT((因素修正幅度!B5:B9=I2)*(因素修正幅度!C3:F3=E2)*(因素修正幅度!C5:F9))</f>
        <v>0</v>
      </c>
      <c r="O1" s="2725"/>
      <c r="P1" s="2725"/>
      <c r="Q1" s="1373"/>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t="e">
        <f>C26</f>
        <v>#DIV/0!</v>
      </c>
      <c r="C2" s="2727" t="s">
        <v>2818</v>
      </c>
      <c r="D2" s="2728" t="s">
        <v>2819</v>
      </c>
      <c r="E2" s="2729"/>
      <c r="F2" s="2728" t="s">
        <v>2820</v>
      </c>
      <c r="G2" s="2730" t="str">
        <f>IF(E2="商业",项目基本情况!B37,IF(E2="办公",项目基本情况!C37,IF(E2="住宅",项目基本情况!D37,项目基本情况!E37)))</f>
        <v>九级</v>
      </c>
      <c r="H2" s="2728" t="s">
        <v>2821</v>
      </c>
      <c r="I2" s="2730" t="str">
        <f>IF(E2="商业",项目基本情况!B38,IF(E2="办公",项目基本情况!C38,IF(E2="住宅",项目基本情况!D38,项目基本情况!E38)))</f>
        <v>Ⅸ-房2</v>
      </c>
      <c r="J2" s="2731"/>
      <c r="K2" s="1373"/>
      <c r="L2" s="2732" t="s">
        <v>2822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3.8077999999999999</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2823</v>
      </c>
      <c r="B3" s="248" t="e">
        <f>ROUND(B2*10000/D1,0)</f>
        <v>#DIV/0!</v>
      </c>
      <c r="C3" s="2727" t="s">
        <v>2824</v>
      </c>
      <c r="D3" s="2728" t="s">
        <v>2825</v>
      </c>
      <c r="E3" s="2733"/>
      <c r="F3" s="2734" t="s">
        <v>2826</v>
      </c>
      <c r="G3" s="916">
        <f>IF(F3="宗地容积率",'数据-汇总表'!I4,IF(F3="估价对象容积率",'数据-汇总表'!I6,'数据-汇总表'!I7))</f>
        <v>0.51</v>
      </c>
      <c r="H3" s="198" t="s">
        <v>2827</v>
      </c>
      <c r="I3" s="947"/>
      <c r="J3" s="2731" t="s">
        <v>2828</v>
      </c>
      <c r="K3" s="1373"/>
      <c r="L3" s="2732"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2.5095999999999998</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0"/>
      <c r="B4" s="3271"/>
      <c r="C4" s="3271"/>
      <c r="D4" s="3272"/>
      <c r="E4" s="3272"/>
      <c r="F4" s="3272"/>
      <c r="G4" s="3272"/>
      <c r="H4" s="3272"/>
      <c r="I4" s="3272"/>
      <c r="J4" s="3273"/>
      <c r="K4" s="1373"/>
      <c r="L4" s="2732"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1.9749000000000001</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2831</v>
      </c>
      <c r="C5" s="917" t="e">
        <f>ROUND(IF(E2="商业",IF(F16="增加",C6*C7+C16,C6*C7-C16),IF(E2="住宅",IF(F16="增加",C6*C12+C16,C6*C12-C16),IF(F16="增加",C6+C16,C6-C16))),0)</f>
        <v>#DIV/0!</v>
      </c>
      <c r="D5" s="1790">
        <f>ROUND(IF(E2="商业",IF(F16="增加",C6+C16,C6-C16)),0)</f>
        <v>0</v>
      </c>
      <c r="E5" s="2737"/>
      <c r="F5" s="2737"/>
      <c r="G5" s="2738"/>
      <c r="H5" s="2738"/>
      <c r="I5" s="2738"/>
      <c r="J5" s="2739"/>
      <c r="K5" s="2740"/>
      <c r="L5" s="2732"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1.4755</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2833</v>
      </c>
      <c r="B6" s="2746" t="s">
        <v>2834</v>
      </c>
      <c r="C6" s="918">
        <f>SUMIF(L1:L12,G2,M1:M12)</f>
        <v>0</v>
      </c>
      <c r="D6" s="2747" t="s">
        <v>2835</v>
      </c>
      <c r="E6" s="2748"/>
      <c r="F6" s="2748"/>
      <c r="G6" s="2749"/>
      <c r="H6" s="2749"/>
      <c r="I6" s="2749"/>
      <c r="J6" s="2750"/>
      <c r="K6" s="1845"/>
      <c r="L6" s="2732"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1.1095999999999999</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56" t="str">
        <f>IF(E2="商业",IF(C8="不临58条商业街","",2),"")</f>
        <v/>
      </c>
      <c r="B7" s="2751" t="s">
        <v>2837</v>
      </c>
      <c r="C7" s="919" t="e">
        <f>IF(C8="不临58条商业街",1,ROUND(1+(1.6*E8+1.2*E9+0.8*E10+0.4*E11)*C9,4))</f>
        <v>#DIV/0!</v>
      </c>
      <c r="D7" s="2752" t="s">
        <v>2838</v>
      </c>
      <c r="E7" s="948"/>
      <c r="F7" s="2753"/>
      <c r="G7" s="2754"/>
      <c r="H7" s="2754"/>
      <c r="I7" s="2754"/>
      <c r="J7" s="2755"/>
      <c r="K7" s="1845"/>
      <c r="L7" s="2732" t="s">
        <v>2839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0.88729999999999998</v>
      </c>
      <c r="T7" s="1605" t="e">
        <f t="shared" si="0"/>
        <v>#DIV/0!</v>
      </c>
      <c r="U7" s="1606"/>
      <c r="V7" s="1605" t="e">
        <f t="shared" si="1"/>
        <v>#DIV/0!</v>
      </c>
      <c r="W7" s="1819" t="s">
        <v>2840</v>
      </c>
      <c r="X7" s="1607" t="str">
        <f>G2</f>
        <v>九级</v>
      </c>
      <c r="Y7" s="1607" t="s">
        <v>2841</v>
      </c>
      <c r="Z7" s="1608">
        <f>G3</f>
        <v>0.51</v>
      </c>
      <c r="AA7" s="1609"/>
      <c r="AB7" s="1609"/>
      <c r="AC7" s="1610"/>
      <c r="AD7" s="1611"/>
      <c r="AE7" s="1611"/>
      <c r="AF7" s="1611"/>
      <c r="AG7" s="1611"/>
      <c r="AH7" s="1611"/>
      <c r="AI7" s="1611"/>
      <c r="AJ7" s="1612"/>
    </row>
    <row r="8" spans="1:36" ht="15">
      <c r="A8" s="3257"/>
      <c r="B8" s="198" t="s">
        <v>2842</v>
      </c>
      <c r="C8" s="2756"/>
      <c r="D8" s="920" t="s">
        <v>139</v>
      </c>
      <c r="E8" s="921" t="e">
        <f>ROUND(C11/E7,4)</f>
        <v>#DIV/0!</v>
      </c>
      <c r="F8" s="2757" t="s">
        <v>2843</v>
      </c>
      <c r="G8" s="2758"/>
      <c r="H8" s="2758"/>
      <c r="I8" s="2758"/>
      <c r="J8" s="2759"/>
      <c r="K8" s="1373"/>
      <c r="L8" s="2732"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7" t="s">
        <v>2845</v>
      </c>
      <c r="X8" s="3268"/>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57"/>
      <c r="B9" s="198" t="s">
        <v>2858</v>
      </c>
      <c r="C9" s="922">
        <f>SUMIF(修正!C59:C119,C8,修正!E59:E119)</f>
        <v>0</v>
      </c>
      <c r="D9" s="200" t="s">
        <v>140</v>
      </c>
      <c r="E9" s="200" t="e">
        <f>ROUND(C11/E7,4)</f>
        <v>#DIV/0!</v>
      </c>
      <c r="F9" s="2757" t="s">
        <v>2859</v>
      </c>
      <c r="G9" s="2758"/>
      <c r="H9" s="2758"/>
      <c r="I9" s="2758"/>
      <c r="J9" s="2759"/>
      <c r="K9" s="1373"/>
      <c r="L9" s="2732"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9"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7"/>
      <c r="B10" s="198" t="s">
        <v>2863</v>
      </c>
      <c r="C10" s="200">
        <f>SUMIF(修正!C59:C119,C8,修正!F59:F119)</f>
        <v>0</v>
      </c>
      <c r="D10" s="200" t="s">
        <v>141</v>
      </c>
      <c r="E10" s="200" t="e">
        <f>ROUND(C11/E7,4)</f>
        <v>#DIV/0!</v>
      </c>
      <c r="F10" s="2757" t="s">
        <v>2864</v>
      </c>
      <c r="G10" s="2758"/>
      <c r="H10" s="2758"/>
      <c r="I10" s="2758"/>
      <c r="J10" s="2759"/>
      <c r="K10" s="1373"/>
      <c r="L10" s="2732"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7"/>
      <c r="B11" s="2760" t="s">
        <v>2866</v>
      </c>
      <c r="C11" s="923">
        <f>C10/4</f>
        <v>0</v>
      </c>
      <c r="D11" s="923" t="s">
        <v>142</v>
      </c>
      <c r="E11" s="923" t="e">
        <f>ROUND(C11/E7,4)</f>
        <v>#DIV/0!</v>
      </c>
      <c r="F11" s="2761" t="s">
        <v>2867</v>
      </c>
      <c r="G11" s="2762"/>
      <c r="H11" s="2762"/>
      <c r="I11" s="2762"/>
      <c r="J11" s="2763"/>
      <c r="K11" s="1373"/>
      <c r="L11" s="2732"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9" t="s">
        <v>2869</v>
      </c>
      <c r="X11" s="1617" t="s">
        <v>2870</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256" t="s">
        <v>2871</v>
      </c>
      <c r="B12" s="2764" t="s">
        <v>2872</v>
      </c>
      <c r="C12" s="919">
        <f>ROUND(C15*D15*E15*F15*G15*H15*I15*J15,4)</f>
        <v>1</v>
      </c>
      <c r="D12" s="2765" t="s">
        <v>2873</v>
      </c>
      <c r="E12" s="2766"/>
      <c r="F12" s="2766"/>
      <c r="G12" s="2767"/>
      <c r="H12" s="2767"/>
      <c r="I12" s="2767"/>
      <c r="J12" s="2768"/>
      <c r="K12" s="1373"/>
      <c r="L12" s="2769"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9"/>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4"/>
      <c r="B13" s="2770" t="s">
        <v>2876</v>
      </c>
      <c r="C13" s="2771" t="s">
        <v>2877</v>
      </c>
      <c r="D13" s="1811" t="s">
        <v>2878</v>
      </c>
      <c r="E13" s="1811" t="s">
        <v>2879</v>
      </c>
      <c r="F13" s="30" t="s">
        <v>2880</v>
      </c>
      <c r="G13" s="2772" t="s">
        <v>2881</v>
      </c>
      <c r="H13" s="2772" t="s">
        <v>2881</v>
      </c>
      <c r="I13" s="2772" t="s">
        <v>2881</v>
      </c>
      <c r="J13" s="2773" t="s">
        <v>2881</v>
      </c>
      <c r="K13" s="1373"/>
      <c r="L13" s="1373"/>
      <c r="M13" s="1373"/>
      <c r="N13" s="1373"/>
      <c r="O13" s="1373"/>
      <c r="P13" s="1373"/>
      <c r="Q13" s="1373"/>
      <c r="R13" s="1605">
        <v>12</v>
      </c>
      <c r="S13" s="1606"/>
      <c r="T13" s="1605" t="e">
        <f t="shared" si="0"/>
        <v>#DIV/0!</v>
      </c>
      <c r="U13" s="1606"/>
      <c r="V13" s="1605" t="e">
        <f t="shared" si="1"/>
        <v>#DIV/0!</v>
      </c>
      <c r="W13" s="3269"/>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274"/>
      <c r="B14" s="2774"/>
      <c r="C14" s="2775"/>
      <c r="D14" s="2776"/>
      <c r="E14" s="2776"/>
      <c r="F14" s="2777"/>
      <c r="G14" s="2778" t="s">
        <v>2882</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5"/>
      <c r="B15" s="2782" t="s">
        <v>2883</v>
      </c>
      <c r="C15" s="229">
        <f>IF(C14="有",1.1,1)</f>
        <v>1</v>
      </c>
      <c r="D15" s="229">
        <f>IF(D14="有",1.1,1)</f>
        <v>1</v>
      </c>
      <c r="E15" s="229">
        <f>IF(E14="有",1.1,1)</f>
        <v>1</v>
      </c>
      <c r="F15" s="229">
        <f>IF(F14="500米范围内",1.2,IF(F14="500-1000米",1.1,1))</f>
        <v>1</v>
      </c>
      <c r="G15" s="949">
        <v>1</v>
      </c>
      <c r="H15" s="949">
        <v>1</v>
      </c>
      <c r="I15" s="949">
        <v>1</v>
      </c>
      <c r="J15" s="950">
        <v>1</v>
      </c>
      <c r="K15" s="1373"/>
      <c r="L15" s="2783" t="s">
        <v>2819</v>
      </c>
      <c r="M15" s="920" t="s">
        <v>2884</v>
      </c>
      <c r="N15" s="920" t="s">
        <v>2885</v>
      </c>
      <c r="O15" s="920" t="s">
        <v>2886</v>
      </c>
      <c r="P15" s="2784" t="s">
        <v>2887</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6" t="s">
        <v>2888</v>
      </c>
      <c r="B16" s="2751" t="s">
        <v>2889</v>
      </c>
      <c r="C16" s="1804" t="e">
        <f>ROUND(SUM(G17:J17)/C17,0)</f>
        <v>#DIV/0!</v>
      </c>
      <c r="D16" s="2785" t="s">
        <v>2890</v>
      </c>
      <c r="E16" s="2786"/>
      <c r="F16" s="2787"/>
      <c r="G16" s="2788"/>
      <c r="H16" s="2788"/>
      <c r="I16" s="2788"/>
      <c r="J16" s="2789"/>
      <c r="K16" s="1373"/>
      <c r="L16" s="2790" t="s">
        <v>2891</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7"/>
      <c r="B17" s="2791" t="s">
        <v>2892</v>
      </c>
      <c r="C17" s="924">
        <f>SUMPRODUCT((修正!A2:A5=E2)*(修正!B1:M1=G2)*(修正!B2:M5))</f>
        <v>0</v>
      </c>
      <c r="D17" s="2792" t="s">
        <v>2893</v>
      </c>
      <c r="E17" s="923" t="str">
        <f>IF(OR(G2="八级",G2="九级",G2="十级",G2="十一级",G2="十二级"),"五通一平","七通一平")</f>
        <v>五通一平</v>
      </c>
      <c r="F17" s="924" t="s">
        <v>2894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2896</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2897</v>
      </c>
      <c r="C19" s="927" t="e">
        <f>ROUND(IF(H19="按公示增长率计算",SUMPRODUCT((地价!A3:A21=YEAR(G19)&amp;"-"&amp;ROUNDUP(MONTH(G19)/3,0))*(地价!X2:AB2=E2)*(地价!X3:AB21)),IF(H19="地价指数",M20/M19,(1+I19)^O19)),4)</f>
        <v>#DIV/0!</v>
      </c>
      <c r="D19" s="2803" t="s">
        <v>2898</v>
      </c>
      <c r="E19" s="928">
        <v>41640</v>
      </c>
      <c r="F19" s="2803" t="s">
        <v>2899</v>
      </c>
      <c r="G19" s="929">
        <f>'数据-取费表'!B2</f>
        <v>43154</v>
      </c>
      <c r="H19" s="2804" t="s">
        <v>2900</v>
      </c>
      <c r="I19" s="930" t="str">
        <f>IF(H19="季度增幅（自定义）",SUMIF(N21:N24,E2,O21:O24),"")</f>
        <v/>
      </c>
      <c r="J19" s="2801"/>
      <c r="K19" s="1380"/>
      <c r="L19" s="2805" t="s">
        <v>2901</v>
      </c>
      <c r="M19" s="1737">
        <f>ROUND(SUMIF(地价!B2:F2,E2,地价!B21:F21),0)</f>
        <v>0</v>
      </c>
      <c r="N19" s="2806" t="s">
        <v>2902</v>
      </c>
      <c r="O19" s="931">
        <f>ROUNDDOWN(DATEDIF(E19,G19,"M")/3,0)</f>
        <v>16</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2903</v>
      </c>
      <c r="C20" s="932" t="e">
        <f>ROUND(POWER(1+G20,J20-I20)*(POWER(1+G20,I20)-1)/(POWER(1+G20,J20)-1),4)</f>
        <v>#DIV/0!</v>
      </c>
      <c r="D20" s="2812" t="s">
        <v>2904</v>
      </c>
      <c r="E20" s="1771">
        <f ca="1">存贷款利率!D4/100</f>
        <v>4.3499999999999997E-2</v>
      </c>
      <c r="F20" s="2812" t="s">
        <v>2895</v>
      </c>
      <c r="G20" s="937">
        <f>SUMIF(M15:P15,E2,M17:P17)</f>
        <v>0</v>
      </c>
      <c r="H20" s="2812" t="s">
        <v>2905</v>
      </c>
      <c r="I20" s="938" t="e">
        <f>SUMIF('数据-取费表'!C6:C15,E2,'数据-取费表'!F6:F15)/COUNTIF('数据-取费表'!C6:C15,E2)</f>
        <v>#DIV/0!</v>
      </c>
      <c r="J20" s="939">
        <f>IF(E2="住宅",70,IF(E2="商业",40,50))</f>
        <v>50</v>
      </c>
      <c r="K20" s="1380"/>
      <c r="L20" s="2813" t="s">
        <v>2906</v>
      </c>
      <c r="M20" s="1738">
        <f>ROUND(SUMPRODUCT((地价!A4:A21=YEAR(G19)&amp;"-"&amp;ROUNDUP(MONTH(G19)/3,0))*(地价!B2:F2=E2)*(地价!B4:F21)),0)</f>
        <v>0</v>
      </c>
      <c r="N20" s="2814" t="s">
        <v>2907</v>
      </c>
      <c r="O20" s="2815" t="s">
        <v>2908</v>
      </c>
      <c r="P20" s="2816" t="s">
        <v>2909</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2910</v>
      </c>
      <c r="C21" s="940">
        <f>IF(B21="容积率修正",IF(G3&lt;=10,D22,J22),C23)</f>
        <v>0</v>
      </c>
      <c r="D21" s="2819"/>
      <c r="E21" s="2819"/>
      <c r="F21" s="2819"/>
      <c r="G21" s="2819"/>
      <c r="H21" s="2819"/>
      <c r="I21" s="2819"/>
      <c r="J21" s="2820"/>
      <c r="K21" s="1380"/>
      <c r="N21" s="2821" t="s">
        <v>2911</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4" customFormat="1" ht="14.25">
      <c r="A22" s="2670" t="s">
        <v>2912</v>
      </c>
      <c r="B22" s="2822" t="s">
        <v>2913</v>
      </c>
      <c r="C22" s="1813" t="s">
        <v>2914</v>
      </c>
      <c r="D22" s="1813">
        <f>IF(E22=G22,F22,IF(G3&lt;=10,ROUND(F22+(H22-F22)*(G3-E22)/(G22-E22),4),"——"))</f>
        <v>0.16669999999999999</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813" t="s">
        <v>155</v>
      </c>
      <c r="J22" s="941" t="str">
        <f>IF(G3&gt;10,D113,"——")</f>
        <v>——</v>
      </c>
      <c r="K22" s="1380"/>
      <c r="N22" s="2821" t="s">
        <v>2915</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0" t="s">
        <v>2916</v>
      </c>
      <c r="B23" s="2823" t="s">
        <v>2917</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2918</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2919</v>
      </c>
      <c r="C24" s="927">
        <f>SUMIF(A45:A88,E2,B45:B88)</f>
        <v>0</v>
      </c>
      <c r="D24" s="2799"/>
      <c r="E24" s="2829"/>
      <c r="F24" s="2829"/>
      <c r="G24" s="2829"/>
      <c r="H24" s="2829"/>
      <c r="I24" s="2829"/>
      <c r="J24" s="2830"/>
      <c r="K24" s="1380"/>
      <c r="N24" s="2831" t="s">
        <v>2920</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2921</v>
      </c>
      <c r="C25" s="933"/>
      <c r="D25" s="2754"/>
      <c r="E25" s="2754"/>
      <c r="F25" s="2833"/>
      <c r="G25" s="2754"/>
      <c r="H25" s="2754"/>
      <c r="I25" s="2754"/>
      <c r="J25" s="2755"/>
      <c r="K25" s="1373"/>
      <c r="N25" s="2834" t="s">
        <v>2922</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5"/>
      <c r="B26" s="2822" t="s">
        <v>2923</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2924</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2925</v>
      </c>
      <c r="C28" s="2846" t="s">
        <v>2926</v>
      </c>
      <c r="D28" s="2846" t="s">
        <v>2927</v>
      </c>
      <c r="E28" s="2847" t="s">
        <v>2928</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2929</v>
      </c>
      <c r="C29" s="206" t="e">
        <f>ROUND(C5*C18*C19*C20*C21*C24,0)</f>
        <v>#DIV/0!</v>
      </c>
      <c r="D29" s="2851"/>
      <c r="E29" s="945" t="e">
        <f>ROUND(C29*D29/10000,0)</f>
        <v>#DIV/0!</v>
      </c>
      <c r="F29" s="2852" t="s">
        <v>2930</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2931</v>
      </c>
      <c r="C30" s="229" t="e">
        <f>ROUND(IF(E2="工业",C29*M39,C29*M38),0)</f>
        <v>#DIV/0!</v>
      </c>
      <c r="D30" s="2857"/>
      <c r="E30" s="945" t="e">
        <f>ROUND(C30*D30/10000,0)</f>
        <v>#DIV/0!</v>
      </c>
      <c r="F30" s="2858" t="s">
        <v>2932</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2933</v>
      </c>
      <c r="C31" s="2863" t="s">
        <v>2934</v>
      </c>
      <c r="D31" s="2767"/>
      <c r="E31" s="2863"/>
      <c r="F31" s="2863"/>
      <c r="G31" s="2765" t="s">
        <v>2935</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2926</v>
      </c>
      <c r="D32" s="498" t="s">
        <v>2927</v>
      </c>
      <c r="E32" s="498" t="s">
        <v>2928</v>
      </c>
      <c r="F32" s="388" t="s">
        <v>2936</v>
      </c>
      <c r="G32" s="2866" t="s">
        <v>2926</v>
      </c>
      <c r="H32" s="2866" t="s">
        <v>2927</v>
      </c>
      <c r="I32" s="2866" t="s">
        <v>2928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64" t="s">
        <v>2937</v>
      </c>
      <c r="B33" s="2867" t="s">
        <v>2938</v>
      </c>
      <c r="C33" s="206" t="e">
        <f>ROUND(D5*C19*C20*C24*F33,0)</f>
        <v>#DIV/0!</v>
      </c>
      <c r="D33" s="2851"/>
      <c r="E33" s="200" t="e">
        <f>ROUND(C33*D33/10000,0)</f>
        <v>#DIV/0!</v>
      </c>
      <c r="F33" s="200">
        <f>SUMIF(修正!A45:A56,G2,修正!B45:B56)</f>
        <v>0.6</v>
      </c>
      <c r="G33" s="200" t="e">
        <f t="shared" ref="G33:G39"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5"/>
      <c r="B34" s="2771" t="s">
        <v>2939</v>
      </c>
      <c r="C34" s="206" t="e">
        <f>ROUND(D5*C19*C20*C24*F34,0)</f>
        <v>#DIV/0!</v>
      </c>
      <c r="D34" s="2851"/>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5"/>
      <c r="B35" s="2771" t="s">
        <v>2940</v>
      </c>
      <c r="C35" s="206" t="e">
        <f>ROUND(D5*C19*C20*C24*F35,0)</f>
        <v>#DIV/0!</v>
      </c>
      <c r="D35" s="2851"/>
      <c r="E35" s="200" t="e">
        <f t="shared" si="7"/>
        <v>#DIV/0!</v>
      </c>
      <c r="F35" s="200">
        <f>SUMIF(修正!A45:A56,G2,修正!D45:D56)</f>
        <v>0.2</v>
      </c>
      <c r="G35" s="200" t="e">
        <f t="shared" si="6"/>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66"/>
      <c r="B36" s="2771" t="s">
        <v>2941</v>
      </c>
      <c r="C36" s="206" t="e">
        <f>ROUND(D5*C19*C20*C24*F36,0)</f>
        <v>#DIV/0!</v>
      </c>
      <c r="D36" s="2851"/>
      <c r="E36" s="200" t="e">
        <f t="shared" si="7"/>
        <v>#DIV/0!</v>
      </c>
      <c r="F36" s="200">
        <f>SUMIF(修正!A45:A56,G2,修正!E45:E56)</f>
        <v>0.2</v>
      </c>
      <c r="G36" s="200" t="e">
        <f t="shared" si="6"/>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2942</v>
      </c>
      <c r="C37" s="200" t="e">
        <f>ROUND(C5*C19*C20*C24*F37,0)</f>
        <v>#DIV/0!</v>
      </c>
      <c r="D37" s="2851"/>
      <c r="E37" s="200" t="e">
        <f t="shared" si="7"/>
        <v>#DIV/0!</v>
      </c>
      <c r="F37" s="206">
        <f>SUMIF(修正!A45:A56,G2,修正!F45:F56)</f>
        <v>0.2</v>
      </c>
      <c r="G37" s="200" t="e">
        <f t="shared" si="6"/>
        <v>#DIV/0!</v>
      </c>
      <c r="H37" s="200">
        <f t="shared" si="8"/>
        <v>0</v>
      </c>
      <c r="I37" s="200" t="e">
        <f t="shared" si="9"/>
        <v>#DIV/0!</v>
      </c>
      <c r="J37" s="2868"/>
      <c r="K37" s="1373"/>
      <c r="L37" s="2870" t="s">
        <v>2943</v>
      </c>
      <c r="M37" s="2871"/>
      <c r="N37" s="1373"/>
      <c r="O37" s="1373"/>
      <c r="P37" s="1373"/>
      <c r="Q37" s="1373"/>
      <c r="R37" s="1373"/>
      <c r="S37" s="1373"/>
      <c r="T37" s="1373"/>
      <c r="U37" s="1373"/>
      <c r="V37" s="1373"/>
      <c r="W37" s="1373"/>
      <c r="X37" s="1373"/>
      <c r="Y37" s="1373"/>
      <c r="Z37" s="1374"/>
    </row>
    <row r="38" spans="1:37">
      <c r="A38" s="2869"/>
      <c r="B38" s="2771" t="s">
        <v>2944</v>
      </c>
      <c r="C38" s="200" t="e">
        <f>ROUND(C5*C19*C20*C24*F38,0)</f>
        <v>#DIV/0!</v>
      </c>
      <c r="D38" s="2851"/>
      <c r="E38" s="200" t="e">
        <f t="shared" si="7"/>
        <v>#DIV/0!</v>
      </c>
      <c r="F38" s="206">
        <f>SUMIF(修正!A45:A56,G2,修正!G45:G56)</f>
        <v>0.2</v>
      </c>
      <c r="G38" s="200" t="e">
        <f t="shared" si="6"/>
        <v>#DIV/0!</v>
      </c>
      <c r="H38" s="200">
        <f t="shared" si="8"/>
        <v>0</v>
      </c>
      <c r="I38" s="200" t="e">
        <f t="shared" si="9"/>
        <v>#DIV/0!</v>
      </c>
      <c r="J38" s="2868"/>
      <c r="K38" s="1373"/>
      <c r="L38" s="1890" t="s">
        <v>2945</v>
      </c>
      <c r="M38" s="2872">
        <v>0.25</v>
      </c>
      <c r="N38" s="1373"/>
      <c r="O38" s="1373"/>
      <c r="P38" s="1373"/>
      <c r="Q38" s="1373"/>
      <c r="R38" s="1373"/>
      <c r="S38" s="1373"/>
      <c r="T38" s="1373"/>
      <c r="U38" s="1373"/>
      <c r="V38" s="1373"/>
      <c r="W38" s="1373"/>
      <c r="X38" s="1373"/>
      <c r="Y38" s="1373"/>
      <c r="Z38" s="1374"/>
    </row>
    <row r="39" spans="1:37" ht="13.5" thickBot="1">
      <c r="A39" s="2855"/>
      <c r="B39" s="2873" t="s">
        <v>2946</v>
      </c>
      <c r="C39" s="229" t="e">
        <f>ROUND(C5*C19*C20*C24*F39,0)</f>
        <v>#DIV/0!</v>
      </c>
      <c r="D39" s="2857"/>
      <c r="E39" s="229" t="e">
        <f t="shared" si="7"/>
        <v>#DIV/0!</v>
      </c>
      <c r="F39" s="935">
        <f>SUMIF(修正!A45:A56,G2,修正!H45:H56)</f>
        <v>0.15</v>
      </c>
      <c r="G39" s="229" t="e">
        <f t="shared" si="6"/>
        <v>#DIV/0!</v>
      </c>
      <c r="H39" s="229">
        <f t="shared" si="8"/>
        <v>0</v>
      </c>
      <c r="I39" s="229" t="e">
        <f t="shared" si="9"/>
        <v>#DIV/0!</v>
      </c>
      <c r="J39" s="2874"/>
      <c r="K39" s="1373"/>
      <c r="L39" s="2875" t="s">
        <v>2887</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2947</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2948</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2949</v>
      </c>
      <c r="B47" s="1812" t="s">
        <v>2950</v>
      </c>
      <c r="C47" s="1812" t="s">
        <v>2951</v>
      </c>
      <c r="D47" s="1812" t="s">
        <v>2952</v>
      </c>
      <c r="E47" s="819" t="s">
        <v>2953</v>
      </c>
      <c r="F47" s="2885" t="s">
        <v>2954</v>
      </c>
      <c r="G47" s="1812" t="s">
        <v>754</v>
      </c>
      <c r="H47" s="2886" t="s">
        <v>2955</v>
      </c>
      <c r="I47" s="1812" t="s">
        <v>2956</v>
      </c>
      <c r="J47" s="603" t="s">
        <v>2603</v>
      </c>
      <c r="K47" s="603" t="s">
        <v>2604</v>
      </c>
      <c r="L47" s="603" t="s">
        <v>2605</v>
      </c>
      <c r="M47" s="603" t="s">
        <v>2606</v>
      </c>
      <c r="N47" s="603" t="s">
        <v>2607</v>
      </c>
      <c r="AA47" s="1374"/>
      <c r="AB47" s="1374"/>
      <c r="AC47" s="1374"/>
      <c r="AD47" s="1374"/>
      <c r="AE47" s="1374"/>
      <c r="AF47" s="1374"/>
      <c r="AG47" s="1374"/>
      <c r="AH47" s="1374"/>
      <c r="AI47" s="1374"/>
      <c r="AJ47" s="1374"/>
      <c r="AK47" s="1374"/>
    </row>
    <row r="48" spans="1:37" s="1373" customFormat="1" ht="38.25">
      <c r="A48" s="2884" t="s">
        <v>2957</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2958</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2959</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2960</v>
      </c>
      <c r="B51" s="2889" t="s">
        <v>2961</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2962</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2963</v>
      </c>
      <c r="B53" s="2890" t="s">
        <v>2964</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2965</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2966</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2967</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2968</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2949</v>
      </c>
      <c r="B58" s="1812"/>
      <c r="C58" s="1812" t="s">
        <v>2951</v>
      </c>
      <c r="D58" s="1812" t="s">
        <v>2952</v>
      </c>
      <c r="E58" s="819" t="s">
        <v>2953</v>
      </c>
      <c r="F58" s="2885" t="s">
        <v>2969</v>
      </c>
      <c r="G58" s="1812" t="s">
        <v>754</v>
      </c>
      <c r="H58" s="2886" t="s">
        <v>2955</v>
      </c>
      <c r="I58" s="1812" t="s">
        <v>2956</v>
      </c>
      <c r="J58" s="603" t="s">
        <v>2603</v>
      </c>
      <c r="K58" s="603" t="s">
        <v>2604</v>
      </c>
      <c r="L58" s="603" t="s">
        <v>2605</v>
      </c>
      <c r="M58" s="603" t="s">
        <v>2606</v>
      </c>
      <c r="N58" s="603" t="s">
        <v>2607</v>
      </c>
      <c r="AA58" s="1374"/>
      <c r="AB58" s="1374"/>
      <c r="AC58" s="1374"/>
      <c r="AD58" s="1374"/>
      <c r="AE58" s="1374"/>
      <c r="AF58" s="1374"/>
      <c r="AG58" s="1374"/>
      <c r="AH58" s="1374"/>
      <c r="AI58" s="1374"/>
      <c r="AJ58" s="1374"/>
      <c r="AK58" s="1374"/>
    </row>
    <row r="59" spans="1:37" s="1373" customFormat="1" ht="38.25">
      <c r="A59" s="2884" t="s">
        <v>2970</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2958</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2959</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2960</v>
      </c>
      <c r="B62" s="2889" t="s">
        <v>2961</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2962</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2963</v>
      </c>
      <c r="B64" s="2890" t="s">
        <v>2964</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2965</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2966</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2967</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2971</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2949</v>
      </c>
      <c r="B69" s="1812"/>
      <c r="C69" s="1812" t="s">
        <v>2951</v>
      </c>
      <c r="D69" s="1812" t="s">
        <v>2952</v>
      </c>
      <c r="E69" s="819" t="s">
        <v>2953</v>
      </c>
      <c r="F69" s="2885" t="s">
        <v>2969</v>
      </c>
      <c r="G69" s="1812" t="s">
        <v>754</v>
      </c>
      <c r="H69" s="2886" t="s">
        <v>2955</v>
      </c>
      <c r="I69" s="1812" t="s">
        <v>2956</v>
      </c>
      <c r="J69" s="603" t="s">
        <v>2603</v>
      </c>
      <c r="K69" s="603" t="s">
        <v>2604</v>
      </c>
      <c r="L69" s="603" t="s">
        <v>2605</v>
      </c>
      <c r="M69" s="603" t="s">
        <v>2606</v>
      </c>
      <c r="N69" s="603" t="s">
        <v>2607</v>
      </c>
      <c r="AA69" s="1374"/>
      <c r="AB69" s="1374"/>
      <c r="AC69" s="1374"/>
      <c r="AD69" s="1374"/>
      <c r="AE69" s="1374"/>
      <c r="AF69" s="1374"/>
      <c r="AG69" s="1374"/>
      <c r="AH69" s="1374"/>
      <c r="AI69" s="1374"/>
      <c r="AJ69" s="1374"/>
      <c r="AK69" s="1374"/>
    </row>
    <row r="70" spans="1:37" s="1373" customFormat="1" ht="51">
      <c r="A70" s="2884" t="s">
        <v>2972</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2958</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2959</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2973</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2965</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2966</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2963</v>
      </c>
      <c r="B76" s="2890" t="s">
        <v>2964</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2967</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2974</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2975</v>
      </c>
      <c r="B79" s="2881">
        <f>1+E81</f>
        <v>1</v>
      </c>
      <c r="C79" s="814"/>
      <c r="D79" s="814"/>
      <c r="E79" s="815"/>
      <c r="F79" s="2883"/>
      <c r="G79" s="6"/>
      <c r="H79" s="6"/>
      <c r="I79" s="6"/>
      <c r="J79" s="7"/>
      <c r="K79" s="7"/>
      <c r="L79" s="7"/>
      <c r="M79" s="7"/>
      <c r="N79" s="7"/>
      <c r="Z79" s="2726"/>
      <c r="AA79" s="2802"/>
      <c r="AG79" s="1375"/>
      <c r="AK79" s="2802"/>
    </row>
    <row r="80" spans="1:37" ht="24.75">
      <c r="A80" s="2884" t="s">
        <v>2949</v>
      </c>
      <c r="B80" s="1812"/>
      <c r="C80" s="1812" t="s">
        <v>2951</v>
      </c>
      <c r="D80" s="1812" t="s">
        <v>2952</v>
      </c>
      <c r="E80" s="819" t="s">
        <v>2953</v>
      </c>
      <c r="F80" s="2885" t="s">
        <v>2969</v>
      </c>
      <c r="G80" s="1812" t="s">
        <v>754</v>
      </c>
      <c r="H80" s="2886" t="s">
        <v>2955</v>
      </c>
      <c r="I80" s="1812" t="s">
        <v>2956</v>
      </c>
      <c r="J80" s="603" t="s">
        <v>2603</v>
      </c>
      <c r="K80" s="603" t="s">
        <v>2604</v>
      </c>
      <c r="L80" s="603" t="s">
        <v>2605</v>
      </c>
      <c r="M80" s="603" t="s">
        <v>2606</v>
      </c>
      <c r="N80" s="603" t="s">
        <v>2607</v>
      </c>
      <c r="Z80" s="2726"/>
      <c r="AA80" s="2802"/>
      <c r="AG80" s="1375"/>
      <c r="AK80" s="2802"/>
    </row>
    <row r="81" spans="1:37" ht="38.25">
      <c r="A81" s="2884" t="s">
        <v>2976</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2958</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2959</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2973</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2965</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2966</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2963</v>
      </c>
      <c r="B87" s="2890" t="s">
        <v>2977</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2978</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58" t="s">
        <v>2979</v>
      </c>
      <c r="B90" s="3258"/>
      <c r="C90" s="3258"/>
      <c r="D90" s="3258"/>
      <c r="E90" s="3258"/>
      <c r="F90" s="3258"/>
      <c r="G90" s="3258"/>
      <c r="H90" s="3258"/>
      <c r="I90" s="3258"/>
      <c r="J90" s="3258"/>
      <c r="K90" s="2898"/>
      <c r="L90" s="2898"/>
      <c r="M90" s="2898"/>
      <c r="N90" s="2898"/>
    </row>
    <row r="91" spans="1:37">
      <c r="A91" s="3260" t="s">
        <v>2980</v>
      </c>
      <c r="B91" s="3260" t="s">
        <v>2981</v>
      </c>
      <c r="C91" s="2852" t="s">
        <v>2982</v>
      </c>
      <c r="D91" s="2853"/>
      <c r="E91" s="2853"/>
      <c r="F91" s="2853"/>
      <c r="G91" s="2853"/>
      <c r="H91" s="2853"/>
      <c r="I91" s="2853"/>
      <c r="J91" s="2899"/>
      <c r="K91" s="2900"/>
      <c r="L91" s="2900"/>
      <c r="M91" s="2900"/>
      <c r="N91" s="2900"/>
    </row>
    <row r="92" spans="1:37">
      <c r="A92" s="3260"/>
      <c r="B92" s="3260"/>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61" t="s">
        <v>2983</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62"/>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62"/>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62"/>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62"/>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62"/>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62"/>
      <c r="B99" s="2901" t="s">
        <v>2862</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63"/>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1" t="s">
        <v>2984</v>
      </c>
      <c r="B101" s="2905" t="s">
        <v>2985</v>
      </c>
      <c r="C101" s="2906">
        <f>$G$3</f>
        <v>0.51</v>
      </c>
      <c r="D101" s="2906">
        <f t="shared" ref="D101:N101" si="31">$G$3</f>
        <v>0.51</v>
      </c>
      <c r="E101" s="2906">
        <f t="shared" si="31"/>
        <v>0.51</v>
      </c>
      <c r="F101" s="2906">
        <f t="shared" si="31"/>
        <v>0.51</v>
      </c>
      <c r="G101" s="2906">
        <f t="shared" si="31"/>
        <v>0.51</v>
      </c>
      <c r="H101" s="2906">
        <f t="shared" si="31"/>
        <v>0.51</v>
      </c>
      <c r="I101" s="2906">
        <f t="shared" si="31"/>
        <v>0.51</v>
      </c>
      <c r="J101" s="2906">
        <f t="shared" si="31"/>
        <v>0.51</v>
      </c>
      <c r="K101" s="2906">
        <f t="shared" si="31"/>
        <v>0.51</v>
      </c>
      <c r="L101" s="2906">
        <f t="shared" si="31"/>
        <v>0.51</v>
      </c>
      <c r="M101" s="2906">
        <f t="shared" si="31"/>
        <v>0.51</v>
      </c>
      <c r="N101" s="2906">
        <f t="shared" si="31"/>
        <v>0.51</v>
      </c>
    </row>
    <row r="102" spans="1:14">
      <c r="A102" s="3262"/>
      <c r="B102" s="2901">
        <v>1</v>
      </c>
      <c r="C102" s="2902">
        <f>1.9362/C101</f>
        <v>3.796470588235294</v>
      </c>
      <c r="D102" s="2902">
        <f>1.9362/D101</f>
        <v>3.796470588235294</v>
      </c>
      <c r="E102" s="2902">
        <f>1.8629/E101</f>
        <v>3.6527450980392158</v>
      </c>
      <c r="F102" s="2902">
        <f>1.8629/F101</f>
        <v>3.6527450980392158</v>
      </c>
      <c r="G102" s="2902">
        <f>1.8629/G101</f>
        <v>3.6527450980392158</v>
      </c>
      <c r="H102" s="2902">
        <f>1.8629/H101</f>
        <v>3.6527450980392158</v>
      </c>
      <c r="I102" s="2902">
        <f>1.8629/I101</f>
        <v>3.6527450980392158</v>
      </c>
      <c r="J102" s="2902">
        <f>1.942/J101</f>
        <v>3.8078431372549018</v>
      </c>
      <c r="K102" s="2902">
        <f>1.942/K101</f>
        <v>3.8078431372549018</v>
      </c>
      <c r="L102" s="2902">
        <f>1.942/L101</f>
        <v>3.8078431372549018</v>
      </c>
      <c r="M102" s="2902">
        <f>1.942/M101</f>
        <v>3.8078431372549018</v>
      </c>
      <c r="N102" s="2902">
        <f>1.942/N101</f>
        <v>3.8078431372549018</v>
      </c>
    </row>
    <row r="103" spans="1:14">
      <c r="A103" s="3262"/>
      <c r="B103" s="2901">
        <v>2</v>
      </c>
      <c r="C103" s="2902">
        <f>1.4198/C101</f>
        <v>2.7839215686274508</v>
      </c>
      <c r="D103" s="2902">
        <f>1.4198/D101</f>
        <v>2.7839215686274508</v>
      </c>
      <c r="E103" s="2902">
        <f>1.3372/E101</f>
        <v>2.6219607843137251</v>
      </c>
      <c r="F103" s="2902">
        <f>1.3372/F101</f>
        <v>2.6219607843137251</v>
      </c>
      <c r="G103" s="2902">
        <f>1.3372/G101</f>
        <v>2.6219607843137251</v>
      </c>
      <c r="H103" s="2902">
        <f>1.3372/H101</f>
        <v>2.6219607843137251</v>
      </c>
      <c r="I103" s="2902">
        <f>1.3372/I101</f>
        <v>2.6219607843137251</v>
      </c>
      <c r="J103" s="2902">
        <f>1.2799/J101</f>
        <v>2.509607843137255</v>
      </c>
      <c r="K103" s="2902">
        <f>1.2799/K101</f>
        <v>2.509607843137255</v>
      </c>
      <c r="L103" s="2902">
        <f>1.2799/L101</f>
        <v>2.509607843137255</v>
      </c>
      <c r="M103" s="2902">
        <f>1.2799/M101</f>
        <v>2.509607843137255</v>
      </c>
      <c r="N103" s="2902">
        <f>1.2799/N101</f>
        <v>2.509607843137255</v>
      </c>
    </row>
    <row r="104" spans="1:14">
      <c r="A104" s="3262"/>
      <c r="B104" s="2901">
        <v>3</v>
      </c>
      <c r="C104" s="2902">
        <f>1.1594/C101</f>
        <v>2.2733333333333334</v>
      </c>
      <c r="D104" s="2902">
        <f>1.1594/D101</f>
        <v>2.2733333333333334</v>
      </c>
      <c r="E104" s="2902">
        <f>1.0788/E101</f>
        <v>2.1152941176470588</v>
      </c>
      <c r="F104" s="2902">
        <f>1.0788/F101</f>
        <v>2.1152941176470588</v>
      </c>
      <c r="G104" s="2902">
        <f>1.0788/G101</f>
        <v>2.1152941176470588</v>
      </c>
      <c r="H104" s="2902">
        <f>1.0788/H101</f>
        <v>2.1152941176470588</v>
      </c>
      <c r="I104" s="2902">
        <f>1.0788/I101</f>
        <v>2.1152941176470588</v>
      </c>
      <c r="J104" s="2902">
        <f>1.0072/J101</f>
        <v>1.9749019607843139</v>
      </c>
      <c r="K104" s="2902">
        <f>1.0072/K101</f>
        <v>1.9749019607843139</v>
      </c>
      <c r="L104" s="2902">
        <f>1.0072/L101</f>
        <v>1.9749019607843139</v>
      </c>
      <c r="M104" s="2902">
        <f>1.0072/M101</f>
        <v>1.9749019607843139</v>
      </c>
      <c r="N104" s="2902">
        <f>1.0072/N101</f>
        <v>1.9749019607843139</v>
      </c>
    </row>
    <row r="105" spans="1:14">
      <c r="A105" s="3262"/>
      <c r="B105" s="2901">
        <v>4</v>
      </c>
      <c r="C105" s="2902">
        <f>0.9622/C101</f>
        <v>1.8866666666666667</v>
      </c>
      <c r="D105" s="2902">
        <f>0.9622/D101</f>
        <v>1.8866666666666667</v>
      </c>
      <c r="E105" s="2902">
        <f>0.8656/E101</f>
        <v>1.6972549019607843</v>
      </c>
      <c r="F105" s="2902">
        <f>0.8656/F101</f>
        <v>1.6972549019607843</v>
      </c>
      <c r="G105" s="2902">
        <f>0.8656/G101</f>
        <v>1.6972549019607843</v>
      </c>
      <c r="H105" s="2902">
        <f>0.8656/H101</f>
        <v>1.6972549019607843</v>
      </c>
      <c r="I105" s="2902">
        <f>0.8656/I101</f>
        <v>1.6972549019607843</v>
      </c>
      <c r="J105" s="2902">
        <f>0.7525/J101</f>
        <v>1.4754901960784312</v>
      </c>
      <c r="K105" s="2902">
        <f>0.7525/K101</f>
        <v>1.4754901960784312</v>
      </c>
      <c r="L105" s="2902">
        <f>0.7525/L101</f>
        <v>1.4754901960784312</v>
      </c>
      <c r="M105" s="2902">
        <f>0.7525/M101</f>
        <v>1.4754901960784312</v>
      </c>
      <c r="N105" s="2902">
        <f>0.7525/N101</f>
        <v>1.4754901960784312</v>
      </c>
    </row>
    <row r="106" spans="1:14">
      <c r="A106" s="3262"/>
      <c r="B106" s="2901">
        <v>5</v>
      </c>
      <c r="C106" s="2902">
        <f>0.8417/C101</f>
        <v>1.6503921568627451</v>
      </c>
      <c r="D106" s="2902">
        <f>0.8417/D101</f>
        <v>1.6503921568627451</v>
      </c>
      <c r="E106" s="2902">
        <f>0.7371/E101</f>
        <v>1.4452941176470588</v>
      </c>
      <c r="F106" s="2902">
        <f>0.7371/F101</f>
        <v>1.4452941176470588</v>
      </c>
      <c r="G106" s="2902">
        <f>0.7371/G101</f>
        <v>1.4452941176470588</v>
      </c>
      <c r="H106" s="2902">
        <f>0.7371/H101</f>
        <v>1.4452941176470588</v>
      </c>
      <c r="I106" s="2902">
        <f>0.7371/I101</f>
        <v>1.4452941176470588</v>
      </c>
      <c r="J106" s="2902">
        <f>0.5659/J101</f>
        <v>1.1096078431372549</v>
      </c>
      <c r="K106" s="2902">
        <f>0.5659/K101</f>
        <v>1.1096078431372549</v>
      </c>
      <c r="L106" s="2902">
        <f>0.5659/L101</f>
        <v>1.1096078431372549</v>
      </c>
      <c r="M106" s="2902">
        <f>0.5659/M101</f>
        <v>1.1096078431372549</v>
      </c>
      <c r="N106" s="2902">
        <f>0.5659/N101</f>
        <v>1.1096078431372549</v>
      </c>
    </row>
    <row r="107" spans="1:14">
      <c r="A107" s="3262"/>
      <c r="B107" s="2901">
        <v>6</v>
      </c>
      <c r="C107" s="2902">
        <f>0.7608/C101</f>
        <v>1.4917647058823529</v>
      </c>
      <c r="D107" s="2902">
        <f>0.7608/D101</f>
        <v>1.4917647058823529</v>
      </c>
      <c r="E107" s="2902">
        <f>0.6482/E101</f>
        <v>1.2709803921568628</v>
      </c>
      <c r="F107" s="2902">
        <f>0.6482/F101</f>
        <v>1.2709803921568628</v>
      </c>
      <c r="G107" s="2902">
        <f>0.6482/G101</f>
        <v>1.2709803921568628</v>
      </c>
      <c r="H107" s="2902">
        <f>0.6482/H101</f>
        <v>1.2709803921568628</v>
      </c>
      <c r="I107" s="2902">
        <f>0.6482/I101</f>
        <v>1.2709803921568628</v>
      </c>
      <c r="J107" s="2902">
        <f>0.4525/J101</f>
        <v>0.88725490196078427</v>
      </c>
      <c r="K107" s="2902">
        <f>0.4525/K101</f>
        <v>0.88725490196078427</v>
      </c>
      <c r="L107" s="2902">
        <f>0.4525/L101</f>
        <v>0.88725490196078427</v>
      </c>
      <c r="M107" s="2902">
        <f>0.4525/M101</f>
        <v>0.88725490196078427</v>
      </c>
      <c r="N107" s="2902">
        <f>0.4525/N101</f>
        <v>0.88725490196078427</v>
      </c>
    </row>
    <row r="108" spans="1:14">
      <c r="A108" s="3262"/>
      <c r="B108" s="3090" t="s">
        <v>2986</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63"/>
      <c r="B109" s="3091"/>
      <c r="C109" s="2904">
        <f>(-0.163*(C108^2)-0.59*C108+7617)*(10^(-4))/C101</f>
        <v>1.493529411764706</v>
      </c>
      <c r="D109" s="2904">
        <f>(-0.163*(D108^2)-0.59*D108+7617)*(10^(-4))/D101</f>
        <v>1.493529411764706</v>
      </c>
      <c r="E109" s="2904">
        <f>(-0.161*(E108^2)-7.509*E108+6533)*(10^(-4))/E101</f>
        <v>1.2809803921568628</v>
      </c>
      <c r="F109" s="2904">
        <f>(-0.161*(F108^2)-7.509*F108+6533)*(10^(-4))/F101</f>
        <v>1.2809803921568628</v>
      </c>
      <c r="G109" s="2904">
        <f>(-0.161*(G108^2)-7.509*G108+6533)*(10^(-4))/G101</f>
        <v>1.2809803921568628</v>
      </c>
      <c r="H109" s="2904">
        <f>(-0.161*(H108^2)-7.509*H108+6533)*(10^(-4))/H101</f>
        <v>1.2809803921568628</v>
      </c>
      <c r="I109" s="2904">
        <f>(-0.161*(I108^2)-7.509*I108+6533)*(10^(-4))/I101</f>
        <v>1.2809803921568628</v>
      </c>
      <c r="J109" s="2904">
        <f>(-0.214*(J108^2)-21.991*J108+4665)*(10^(-4))/J101</f>
        <v>0.91470588235294126</v>
      </c>
      <c r="K109" s="2904">
        <f>(-0.214*(K108^2)-21.991*K108+4665)*(10^(-4))/K101</f>
        <v>0.91470588235294126</v>
      </c>
      <c r="L109" s="2904">
        <f>(-0.214*(L108^2)-21.991*L108+4665)*(10^(-4))/L101</f>
        <v>0.91470588235294126</v>
      </c>
      <c r="M109" s="2904">
        <f>(-0.214*(M108^2)-21.991*M108+4665)*(10^(-4))/M101</f>
        <v>0.91470588235294126</v>
      </c>
      <c r="N109" s="2904">
        <f>(-0.214*(N108^2)-21.991*N108+4665)*(10^(-4))/N101</f>
        <v>0.91470588235294126</v>
      </c>
    </row>
    <row r="110" spans="1:14">
      <c r="A110" s="3259" t="s">
        <v>2987</v>
      </c>
      <c r="B110" s="3259"/>
      <c r="C110" s="3259"/>
      <c r="D110" s="3259"/>
      <c r="E110" s="3259"/>
      <c r="F110" s="3259"/>
      <c r="G110" s="3259"/>
      <c r="H110" s="3259"/>
      <c r="I110" s="3259"/>
      <c r="J110" s="3259"/>
      <c r="K110" s="2907"/>
      <c r="L110" s="2907"/>
      <c r="M110" s="2907"/>
      <c r="N110" s="2907"/>
    </row>
    <row r="112" spans="1:14" ht="13.5" thickBot="1"/>
    <row r="113" spans="1:13" ht="25.5" thickBot="1">
      <c r="A113" s="903" t="s">
        <v>2988</v>
      </c>
      <c r="B113" s="1290">
        <f>G3</f>
        <v>0.51</v>
      </c>
      <c r="C113" s="904" t="s">
        <v>2989</v>
      </c>
      <c r="D113" s="905">
        <f>SUMPRODUCT((A115:A118=F113)*(B114:M114=H113)*B115:M118)</f>
        <v>0</v>
      </c>
      <c r="E113" s="2730" t="s">
        <v>2819</v>
      </c>
      <c r="F113" s="2909">
        <f>E2</f>
        <v>0</v>
      </c>
      <c r="G113" s="2730" t="s">
        <v>2820</v>
      </c>
      <c r="H113" s="2909" t="str">
        <f>G2</f>
        <v>九级</v>
      </c>
      <c r="I113" s="2730"/>
      <c r="J113" s="2910"/>
      <c r="K113" s="2910"/>
      <c r="L113" s="2910"/>
      <c r="M113" s="2910"/>
    </row>
    <row r="114" spans="1:13">
      <c r="A114" s="908"/>
      <c r="B114" s="2911" t="s">
        <v>2990</v>
      </c>
      <c r="C114" s="2911" t="s">
        <v>2991</v>
      </c>
      <c r="D114" s="2911" t="s">
        <v>2992</v>
      </c>
      <c r="E114" s="2912" t="s">
        <v>2993</v>
      </c>
      <c r="F114" s="2912" t="s">
        <v>2994</v>
      </c>
      <c r="G114" s="2912" t="s">
        <v>2995</v>
      </c>
      <c r="H114" s="2913" t="s">
        <v>2996</v>
      </c>
      <c r="I114" s="2913" t="s">
        <v>2997</v>
      </c>
      <c r="J114" s="2914" t="s">
        <v>2998</v>
      </c>
      <c r="K114" s="2914" t="s">
        <v>2999</v>
      </c>
      <c r="L114" s="2914" t="s">
        <v>3000</v>
      </c>
      <c r="M114" s="2915" t="s">
        <v>3001</v>
      </c>
    </row>
    <row r="115" spans="1:13">
      <c r="A115" s="909" t="s">
        <v>2884</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2885</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2886</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2887</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2.4767999999999999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3010</v>
      </c>
    </row>
    <row r="2" spans="1:5" ht="15.75">
      <c r="A2" s="2916" t="s">
        <v>3002</v>
      </c>
      <c r="B2" s="2917" t="e">
        <f ca="1">SUMIF(B6:B13,"&lt;&gt;#ref!",B6:B13)</f>
        <v>#DIV/0!</v>
      </c>
      <c r="C2" s="2916" t="s">
        <v>3003</v>
      </c>
      <c r="D2" s="2916" t="s">
        <v>3004</v>
      </c>
      <c r="E2" s="2917" t="e">
        <f ca="1">SUM(E6:E13)</f>
        <v>#REF!</v>
      </c>
    </row>
    <row r="3" spans="1:5" ht="15.75">
      <c r="A3" s="2916" t="s">
        <v>3005</v>
      </c>
      <c r="B3" s="2917" t="e">
        <f ca="1">ROUND(B2*10000/E2,0)</f>
        <v>#DIV/0!</v>
      </c>
      <c r="C3" s="2916" t="s">
        <v>3011</v>
      </c>
      <c r="D3" s="2918"/>
      <c r="E3" s="2918"/>
    </row>
    <row r="4" spans="1:5" ht="15.75">
      <c r="A4" s="2919"/>
      <c r="B4" s="2918"/>
      <c r="C4" s="2918"/>
      <c r="D4" s="2918"/>
      <c r="E4" s="2918"/>
    </row>
    <row r="5" spans="1:5" ht="28.5">
      <c r="A5" s="2920" t="s">
        <v>3006</v>
      </c>
      <c r="B5" s="2916" t="s">
        <v>3007</v>
      </c>
      <c r="C5" s="2917"/>
      <c r="D5" s="2918"/>
      <c r="E5" s="2916" t="s">
        <v>3008</v>
      </c>
    </row>
    <row r="6" spans="1:5" ht="15.75">
      <c r="A6" s="2921" t="s">
        <v>3009</v>
      </c>
      <c r="B6" s="2917" t="e">
        <f ca="1">SUMIF(INDIRECT("'"&amp;A6&amp;"'"&amp;"!A:A"),"总价",INDIRECT("'"&amp;A6&amp;"'"&amp;"!B:B"))</f>
        <v>#DIV/0!</v>
      </c>
      <c r="C6" s="2916" t="s">
        <v>3003</v>
      </c>
      <c r="D6" s="2918"/>
      <c r="E6" s="2581">
        <f ca="1">SUMIF(INDIRECT("'"&amp;A6&amp;"'"&amp;"!C:C"),"建筑面积",INDIRECT("'"&amp;A6&amp;"'"&amp;"!D:D"))</f>
        <v>0</v>
      </c>
    </row>
    <row r="7" spans="1:5" ht="15.75">
      <c r="A7" s="2921"/>
      <c r="B7" s="2917" t="e">
        <f ca="1">SUMIF(INDIRECT("'"&amp;A7&amp;"'"&amp;"!A:A"),"总价",INDIRECT("'"&amp;A7&amp;"'"&amp;"!B:B"))</f>
        <v>#REF!</v>
      </c>
      <c r="C7" s="2916" t="s">
        <v>3003</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3003</v>
      </c>
      <c r="D8" s="2918"/>
      <c r="E8" s="2581" t="e">
        <f t="shared" ca="1" si="0"/>
        <v>#REF!</v>
      </c>
    </row>
    <row r="9" spans="1:5" ht="15.75">
      <c r="A9" s="2921"/>
      <c r="B9" s="2917" t="e">
        <f t="shared" ca="1" si="1"/>
        <v>#REF!</v>
      </c>
      <c r="C9" s="2916" t="s">
        <v>3003</v>
      </c>
      <c r="D9" s="2918"/>
      <c r="E9" s="2581" t="e">
        <f t="shared" ca="1" si="0"/>
        <v>#REF!</v>
      </c>
    </row>
    <row r="10" spans="1:5" ht="15.75">
      <c r="A10" s="2921"/>
      <c r="B10" s="2917" t="e">
        <f t="shared" ca="1" si="1"/>
        <v>#REF!</v>
      </c>
      <c r="C10" s="2916" t="s">
        <v>3003</v>
      </c>
      <c r="D10" s="2918"/>
      <c r="E10" s="2581" t="e">
        <f t="shared" ca="1" si="0"/>
        <v>#REF!</v>
      </c>
    </row>
    <row r="11" spans="1:5" ht="15.75">
      <c r="A11" s="2921"/>
      <c r="B11" s="2917" t="e">
        <f t="shared" ca="1" si="1"/>
        <v>#REF!</v>
      </c>
      <c r="C11" s="2916" t="s">
        <v>3003</v>
      </c>
      <c r="D11" s="2918"/>
      <c r="E11" s="2581" t="e">
        <f t="shared" ca="1" si="0"/>
        <v>#REF!</v>
      </c>
    </row>
    <row r="12" spans="1:5" ht="15.75">
      <c r="A12" s="2921"/>
      <c r="B12" s="2917" t="e">
        <f t="shared" ca="1" si="1"/>
        <v>#REF!</v>
      </c>
      <c r="C12" s="2916" t="s">
        <v>3003</v>
      </c>
      <c r="D12" s="2918"/>
      <c r="E12" s="2581" t="e">
        <f t="shared" ca="1" si="0"/>
        <v>#REF!</v>
      </c>
    </row>
    <row r="13" spans="1:5" ht="15.75">
      <c r="A13" s="2921"/>
      <c r="B13" s="2917" t="e">
        <f t="shared" ca="1" si="1"/>
        <v>#REF!</v>
      </c>
      <c r="C13" s="2916" t="s">
        <v>3003</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Q6" sqref="Q6:Q1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2" t="s">
        <v>1150</v>
      </c>
      <c r="C1" s="3282"/>
      <c r="D1" s="3282"/>
      <c r="E1" s="3282"/>
      <c r="F1" s="3282"/>
      <c r="G1" s="3278" t="s">
        <v>1151</v>
      </c>
      <c r="H1" s="3278"/>
      <c r="I1" s="3278"/>
      <c r="J1" s="3278"/>
      <c r="K1" s="3278"/>
      <c r="L1" s="3278"/>
      <c r="N1" s="3278" t="s">
        <v>1152</v>
      </c>
      <c r="O1" s="3278"/>
      <c r="P1" s="3278"/>
      <c r="Q1" s="3278"/>
      <c r="R1" s="1449"/>
      <c r="S1" s="3278" t="s">
        <v>1153</v>
      </c>
      <c r="T1" s="3278"/>
      <c r="U1" s="3278"/>
      <c r="V1" s="3278"/>
      <c r="X1" s="3277" t="s">
        <v>1154</v>
      </c>
      <c r="Y1" s="3278"/>
      <c r="Z1" s="3278"/>
      <c r="AA1" s="3278"/>
      <c r="AB1" s="3278"/>
      <c r="AD1" s="3277" t="s">
        <v>1155</v>
      </c>
      <c r="AE1" s="3278"/>
      <c r="AF1" s="3278"/>
      <c r="AG1" s="3278"/>
      <c r="AH1" s="327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44" customFormat="1" ht="14.25">
      <c r="A3" s="2953" t="s">
        <v>3049</v>
      </c>
      <c r="B3" s="2945"/>
      <c r="C3" s="2945"/>
      <c r="D3" s="2946"/>
      <c r="E3" s="2946"/>
      <c r="F3" s="2945"/>
      <c r="G3" s="2947"/>
      <c r="H3" s="2948"/>
      <c r="I3" s="2949">
        <f>ROUND(AVERAGE($I6:$I21),2)</f>
        <v>2.4500000000000002</v>
      </c>
      <c r="J3" s="2949">
        <f>ROUND(AVERAGE($J6:$J21),2)</f>
        <v>1.65</v>
      </c>
      <c r="K3" s="2949">
        <f>ROUND(AVERAGE($K6:$K21),2)</f>
        <v>2.71</v>
      </c>
      <c r="L3" s="2949">
        <f>ROUND(AVERAGE($L6:$L21),2)</f>
        <v>1.39</v>
      </c>
      <c r="N3" s="2947"/>
      <c r="O3" s="2950"/>
      <c r="P3" s="2950"/>
      <c r="Q3" s="2950"/>
      <c r="R3" s="2950"/>
      <c r="S3" s="2947"/>
      <c r="T3" s="2950"/>
      <c r="U3" s="2950"/>
      <c r="V3" s="2950"/>
      <c r="W3" s="2942"/>
      <c r="X3" s="2951">
        <f>ROUND(SUMPRODUCT(PRODUCT(1+N3:N$20)),4)</f>
        <v>1.4274</v>
      </c>
      <c r="Y3" s="2951">
        <f>ROUND(SUMPRODUCT(PRODUCT(1+O3:O$20)),4)</f>
        <v>1.2685</v>
      </c>
      <c r="Z3" s="2951">
        <f t="shared" ref="Z3:Z18" si="0">Y3</f>
        <v>1.2685</v>
      </c>
      <c r="AA3" s="2951">
        <f>ROUND(SUMPRODUCT(PRODUCT(1+P3:P$20)),4)</f>
        <v>1.4825999999999999</v>
      </c>
      <c r="AB3" s="2951">
        <f>ROUND(SUMPRODUCT(PRODUCT(1+Q3:Q$20)),4)</f>
        <v>1.2309000000000001</v>
      </c>
      <c r="AD3" s="2952">
        <f>ROUND(AVERAGE(I3:I$21)/100,4)</f>
        <v>2.3099999999999999E-2</v>
      </c>
      <c r="AE3" s="2952">
        <f>ROUND(AVERAGE(J3:J$21)/100,4)</f>
        <v>1.5599999999999999E-2</v>
      </c>
      <c r="AF3" s="2952">
        <f t="shared" ref="AF3:AF19" si="1">AE3</f>
        <v>1.5599999999999999E-2</v>
      </c>
      <c r="AG3" s="2952">
        <f>ROUND(AVERAGE(K3:K$21)/100,4)</f>
        <v>2.5600000000000001E-2</v>
      </c>
      <c r="AH3" s="2952">
        <f>ROUND(AVERAGE(L3:L$21)/100,4)</f>
        <v>1.32E-2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3048</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2">
        <v>2018</v>
      </c>
      <c r="H5" s="1733">
        <v>1</v>
      </c>
      <c r="I5" s="2930">
        <v>0</v>
      </c>
      <c r="J5" s="2930">
        <v>0</v>
      </c>
      <c r="K5" s="2930">
        <v>0</v>
      </c>
      <c r="L5" s="2930">
        <v>0</v>
      </c>
      <c r="N5" s="1470">
        <f t="shared" ref="N5:N10" si="7">I5/100</f>
        <v>0</v>
      </c>
      <c r="O5" s="1470">
        <f t="shared" ref="O5" si="8">J5/100</f>
        <v>0</v>
      </c>
      <c r="P5" s="1470">
        <f t="shared" ref="P5" si="9">K5/100</f>
        <v>0</v>
      </c>
      <c r="Q5" s="1470">
        <f t="shared" ref="Q5" si="10">L5/100</f>
        <v>0</v>
      </c>
      <c r="R5" s="1735"/>
      <c r="S5" s="1736"/>
      <c r="T5" s="1735"/>
      <c r="U5" s="1735"/>
      <c r="V5" s="1735"/>
      <c r="W5" s="2943" t="s">
        <v>3050</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3045</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2">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3046</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8"/>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7"/>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8"/>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83">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80"/>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80"/>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81"/>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79">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80"/>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80"/>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81"/>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79">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80"/>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80"/>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81"/>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84">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85"/>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85"/>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86"/>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79">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80"/>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80"/>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81"/>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79">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80">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80">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81">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79">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80">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80">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81">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79">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80">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80">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81">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79">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80">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80">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81">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79">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80">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80">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81">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79">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80">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80">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81">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79">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80">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80">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81">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79">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80">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80">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81">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79">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80">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80">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81">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79">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80">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80">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81">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4"/>
      <c r="B4" s="2974" t="s">
        <v>1631</v>
      </c>
      <c r="C4" s="2974"/>
      <c r="D4" s="2974"/>
      <c r="E4" s="1964"/>
    </row>
    <row r="5" spans="1:5" ht="16.5" thickTop="1">
      <c r="A5" s="1962"/>
      <c r="B5" s="2972" t="s">
        <v>1623</v>
      </c>
      <c r="C5" s="1965" t="s">
        <v>1624</v>
      </c>
      <c r="D5" s="1043">
        <f ca="1">结果表!H101</f>
        <v>1984</v>
      </c>
      <c r="E5" s="1962"/>
    </row>
    <row r="6" spans="1:5" ht="15.75">
      <c r="A6" s="1962"/>
      <c r="B6" s="2972"/>
      <c r="C6" s="1965" t="s">
        <v>1625</v>
      </c>
      <c r="D6" s="1043" t="str">
        <f ca="1">NUMBERSTRING(INT(D5*10000),2)&amp;"元整"</f>
        <v>壹仟玖佰捌拾肆万元整</v>
      </c>
      <c r="E6" s="1962"/>
    </row>
    <row r="7" spans="1:5" ht="15.75">
      <c r="A7" s="1962"/>
      <c r="B7" s="2977"/>
      <c r="C7" s="1966" t="s">
        <v>1626</v>
      </c>
      <c r="D7" s="1044">
        <f ca="1">结果表!H102</f>
        <v>3216</v>
      </c>
      <c r="E7" s="1962"/>
    </row>
    <row r="8" spans="1:5" ht="15.75">
      <c r="A8" s="1962"/>
      <c r="B8" s="2978" t="str">
        <f>结果表!E103</f>
        <v>2.估价师知悉的法定优先受偿款</v>
      </c>
      <c r="C8" s="1967" t="s">
        <v>1627</v>
      </c>
      <c r="D8" s="1044">
        <f>结果表!H103</f>
        <v>0</v>
      </c>
      <c r="E8" s="1962"/>
    </row>
    <row r="9" spans="1:5" ht="15.75">
      <c r="A9" s="1962"/>
      <c r="B9" s="2980"/>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71" t="str">
        <f>结果表!E107</f>
        <v>3.房地产抵押价值</v>
      </c>
      <c r="C13" s="1970" t="s">
        <v>1624</v>
      </c>
      <c r="D13" s="1046">
        <f ca="1">结果表!H107</f>
        <v>1984</v>
      </c>
      <c r="E13" s="1962"/>
    </row>
    <row r="14" spans="1:5" ht="15.75">
      <c r="A14" s="1962"/>
      <c r="B14" s="2972"/>
      <c r="C14" s="1965" t="s">
        <v>1625</v>
      </c>
      <c r="D14" s="1043" t="str">
        <f ca="1">NUMBERSTRING(INT(D13*10000),2)&amp;"元整"</f>
        <v>壹仟玖佰捌拾肆万元整</v>
      </c>
      <c r="E14" s="1962"/>
    </row>
    <row r="15" spans="1:5" ht="15">
      <c r="A15" s="1962"/>
      <c r="B15" s="2977"/>
      <c r="C15" s="1966" t="s">
        <v>1635</v>
      </c>
      <c r="D15" s="1055">
        <f ca="1">结果表!H108</f>
        <v>3216</v>
      </c>
      <c r="E15" s="1962"/>
    </row>
    <row r="16" spans="1:5" ht="15">
      <c r="A16" s="1962"/>
      <c r="B16" s="2978" t="str">
        <f>结果表!E109</f>
        <v>——</v>
      </c>
      <c r="C16" s="1970" t="s">
        <v>1636</v>
      </c>
      <c r="D16" s="1971" t="str">
        <f>结果表!H109</f>
        <v>——</v>
      </c>
      <c r="E16" s="1962"/>
    </row>
    <row r="17" spans="1:5" ht="15.75">
      <c r="A17" s="1962"/>
      <c r="B17" s="2979"/>
      <c r="C17" s="1965" t="s">
        <v>1637</v>
      </c>
      <c r="D17" s="1043" t="e">
        <f>NUMBERSTRING(INT(D16*10000),2)&amp;"元整"</f>
        <v>#VALUE!</v>
      </c>
      <c r="E17" s="1962"/>
    </row>
    <row r="18" spans="1:5" ht="15">
      <c r="A18" s="1962"/>
      <c r="B18" s="2980"/>
      <c r="C18" s="1966" t="s">
        <v>1626</v>
      </c>
      <c r="D18" s="1055" t="str">
        <f>结果表!H110</f>
        <v>——</v>
      </c>
      <c r="E18" s="1962"/>
    </row>
    <row r="19" spans="1:5" ht="15.75">
      <c r="A19" s="1962"/>
      <c r="B19" s="2971" t="str">
        <f>结果表!E111</f>
        <v>——</v>
      </c>
      <c r="C19" s="1970" t="s">
        <v>1624</v>
      </c>
      <c r="D19" s="1044" t="str">
        <f>结果表!H111</f>
        <v>——</v>
      </c>
      <c r="E19" s="1962"/>
    </row>
    <row r="20" spans="1:5" ht="15.75">
      <c r="A20" s="1962"/>
      <c r="B20" s="2972"/>
      <c r="C20" s="1965" t="s">
        <v>1637</v>
      </c>
      <c r="D20" s="1043" t="e">
        <f>NUMBERSTRING(INT(D19*10000),2)&amp;"元整"</f>
        <v>#VALUE!</v>
      </c>
      <c r="E20" s="1962"/>
    </row>
    <row r="21" spans="1:5" ht="15.75" thickBot="1">
      <c r="A21" s="1962"/>
      <c r="B21" s="2973"/>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3012</v>
      </c>
      <c r="C1" s="3288" t="s">
        <v>3013</v>
      </c>
      <c r="D1" s="3289"/>
      <c r="E1" s="3289"/>
      <c r="F1" s="3289"/>
      <c r="G1" s="3289"/>
      <c r="H1" s="3289"/>
      <c r="I1" s="3289"/>
      <c r="J1" s="3289"/>
      <c r="K1" s="3289"/>
      <c r="L1" s="3289"/>
      <c r="M1" s="3289"/>
      <c r="N1" s="3289"/>
      <c r="O1" s="3289"/>
      <c r="P1" s="3289"/>
      <c r="Q1" s="3289"/>
      <c r="R1" s="3289"/>
      <c r="S1" s="3290"/>
      <c r="T1" s="1207" t="s">
        <v>3014</v>
      </c>
    </row>
    <row r="2" spans="1:45" s="707" customFormat="1">
      <c r="A2" s="1208"/>
      <c r="B2" s="703" t="s">
        <v>3015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3020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3022</v>
      </c>
      <c r="B17" s="2923" t="s">
        <v>3023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3024</v>
      </c>
      <c r="E19" s="1795"/>
      <c r="F19" s="1795"/>
      <c r="G19" s="1795"/>
      <c r="H19" s="1283"/>
      <c r="I19" s="168"/>
      <c r="J19" s="168"/>
      <c r="K19" s="168"/>
      <c r="L19" s="168"/>
      <c r="M19" s="168"/>
      <c r="N19" s="168"/>
      <c r="O19" s="168"/>
      <c r="P19" s="168"/>
      <c r="Q19" s="168"/>
      <c r="R19" s="788"/>
      <c r="S19" s="138"/>
    </row>
    <row r="20" spans="1:45" ht="16.5" thickBot="1">
      <c r="A20" s="715" t="s">
        <v>3025</v>
      </c>
      <c r="B20" s="338" t="e">
        <f ca="1">IF(D20="——",S22,S22-F20)</f>
        <v>#REF!</v>
      </c>
      <c r="C20" s="168"/>
      <c r="D20" s="2925" t="s">
        <v>3026</v>
      </c>
      <c r="E20" s="1796"/>
      <c r="F20" s="1207" t="e">
        <f ca="1">SUMIF(INDIRECT("'"&amp;H20&amp;"'"&amp;"!A:A"),"承租人权益价值",INDIRECT("'"&amp;H20&amp;"'"&amp;"!c:c"))</f>
        <v>#REF!</v>
      </c>
      <c r="G20" s="1207" t="s">
        <v>3027</v>
      </c>
      <c r="H20" s="2926"/>
      <c r="I20" s="168"/>
      <c r="J20" s="168"/>
      <c r="K20" s="168"/>
      <c r="L20" s="168"/>
      <c r="M20" s="168"/>
      <c r="N20" s="168"/>
      <c r="O20" s="168"/>
      <c r="P20" s="168"/>
      <c r="Q20" s="168"/>
      <c r="R20" s="788"/>
      <c r="S20" s="138"/>
    </row>
    <row r="21" spans="1:45" ht="15.75">
      <c r="A21" s="715" t="s">
        <v>3028</v>
      </c>
      <c r="B21" s="338">
        <f>R22</f>
        <v>10000</v>
      </c>
      <c r="C21" s="168"/>
      <c r="D21" s="168"/>
      <c r="E21" s="168"/>
      <c r="F21" s="168"/>
      <c r="G21" s="168"/>
      <c r="H21" s="168"/>
      <c r="I21" s="168"/>
      <c r="J21" s="168"/>
      <c r="K21" s="168"/>
      <c r="L21" s="168"/>
      <c r="M21" s="168"/>
      <c r="N21" s="168"/>
      <c r="O21" s="168"/>
      <c r="P21" s="168"/>
      <c r="Q21" s="168"/>
      <c r="R21" s="788"/>
      <c r="S21" s="138"/>
    </row>
    <row r="22" spans="1:45">
      <c r="A22" s="361" t="s">
        <v>3029</v>
      </c>
      <c r="B22" s="24">
        <f>SUM(B24:B10000)</f>
        <v>100</v>
      </c>
      <c r="C22" s="3071" t="s">
        <v>33</v>
      </c>
      <c r="D22" s="3072"/>
      <c r="E22" s="3072"/>
      <c r="F22" s="3072"/>
      <c r="G22" s="3072"/>
      <c r="H22" s="3072"/>
      <c r="I22" s="3072"/>
      <c r="J22" s="3072"/>
      <c r="K22" s="3072"/>
      <c r="L22" s="3072"/>
      <c r="M22" s="3072"/>
      <c r="N22" s="3072"/>
      <c r="O22" s="3072"/>
      <c r="P22" s="3072"/>
      <c r="Q22" s="3287"/>
      <c r="R22" s="716">
        <f>ROUND(S22*10000/B22,0)</f>
        <v>10000</v>
      </c>
      <c r="S22" s="24">
        <f>SUM(S24:S10000)</f>
        <v>100</v>
      </c>
    </row>
    <row r="23" spans="1:45" s="12" customFormat="1" ht="24">
      <c r="A23" s="11" t="s">
        <v>3030</v>
      </c>
      <c r="B23" s="11" t="s">
        <v>3031</v>
      </c>
      <c r="C23" s="11" t="s">
        <v>3032</v>
      </c>
      <c r="D23" s="11" t="str">
        <f>B5</f>
        <v>修正项2</v>
      </c>
      <c r="E23" s="11" t="s">
        <v>3032</v>
      </c>
      <c r="F23" s="11" t="str">
        <f>B7</f>
        <v>修正项3</v>
      </c>
      <c r="G23" s="11" t="s">
        <v>3032</v>
      </c>
      <c r="H23" s="11" t="str">
        <f>B9</f>
        <v>修正项4</v>
      </c>
      <c r="I23" s="11" t="s">
        <v>3032</v>
      </c>
      <c r="J23" s="11" t="str">
        <f>B11</f>
        <v>修正项5</v>
      </c>
      <c r="K23" s="11" t="s">
        <v>3032</v>
      </c>
      <c r="L23" s="11" t="str">
        <f>B13</f>
        <v>修正项6</v>
      </c>
      <c r="M23" s="11" t="s">
        <v>3032</v>
      </c>
      <c r="N23" s="11" t="str">
        <f>B15</f>
        <v>修正项7</v>
      </c>
      <c r="O23" s="11" t="s">
        <v>3032</v>
      </c>
      <c r="P23" s="11" t="str">
        <f>B17</f>
        <v>楼层</v>
      </c>
      <c r="Q23" s="11" t="s">
        <v>3032</v>
      </c>
      <c r="R23" s="717" t="s">
        <v>3033</v>
      </c>
      <c r="S23" s="11" t="s">
        <v>3034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27498</v>
      </c>
      <c r="C2" s="2" t="s">
        <v>133</v>
      </c>
      <c r="D2" s="243"/>
      <c r="E2" s="243"/>
      <c r="F2" s="243"/>
      <c r="G2" s="243"/>
    </row>
    <row r="3" spans="1:7" s="244" customFormat="1" ht="18" customHeight="1" thickBot="1">
      <c r="A3" s="247" t="s">
        <v>85</v>
      </c>
      <c r="B3" s="248">
        <f ca="1">ROUND(B2*10000/'数据-汇总表'!E3,0)</f>
        <v>44567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117</v>
      </c>
      <c r="D10" s="1035">
        <f>'数据-汇总表'!E6</f>
        <v>6170.06</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123</v>
      </c>
      <c r="D19" s="1039">
        <f>'数据-汇总表'!E3</f>
        <v>6170.06</v>
      </c>
      <c r="E19" s="255">
        <f>'数据-取费表'!B31</f>
        <v>200</v>
      </c>
      <c r="F19" s="275"/>
      <c r="G19" s="1" t="s">
        <v>1074</v>
      </c>
    </row>
    <row r="20" spans="1:7" s="258" customFormat="1" ht="13.5" customHeight="1">
      <c r="A20" s="951" t="s">
        <v>1057</v>
      </c>
      <c r="B20" s="254" t="s">
        <v>104</v>
      </c>
      <c r="C20" s="276">
        <f>ROUND((C5+C19)*F20,0)</f>
        <v>622</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1517</v>
      </c>
      <c r="D22" s="279">
        <f ca="1">C26</f>
        <v>1.1000000000000001E-3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v>
      </c>
      <c r="D24" s="282"/>
      <c r="E24" s="282"/>
      <c r="F24" s="283"/>
      <c r="G24" s="284" t="s">
        <v>109</v>
      </c>
    </row>
    <row r="25" spans="1:7" s="258" customFormat="1" ht="24">
      <c r="A25" s="954" t="s">
        <v>793</v>
      </c>
      <c r="B25" s="259" t="s">
        <v>1058</v>
      </c>
      <c r="C25" s="1358">
        <f ca="1">ROUND(IF('数据-取费表'!B22&lt;=1,C20*F22*'数据-取费表'!B23/2,C20*(POWER((1+F22),'数据-取费表'!B23/2)-1)),0)</f>
        <v>22</v>
      </c>
      <c r="D25" s="282"/>
      <c r="E25" s="285"/>
      <c r="F25" s="283"/>
      <c r="G25" s="286" t="s">
        <v>110</v>
      </c>
    </row>
    <row r="26" spans="1:7" s="258" customFormat="1">
      <c r="A26" s="954" t="s">
        <v>795</v>
      </c>
      <c r="B26" s="259" t="s">
        <v>1060</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2136</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2136</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27375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480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370</v>
      </c>
      <c r="D34" s="261"/>
      <c r="E34" s="264"/>
      <c r="F34" s="301">
        <f>IF('数据-取费表'!B24=0,1,'数据-取费表'!N16)</f>
        <v>1</v>
      </c>
      <c r="G34" s="263" t="s">
        <v>116</v>
      </c>
    </row>
    <row r="35" spans="1:7" ht="13.5" customHeight="1">
      <c r="A35" s="954" t="s">
        <v>796</v>
      </c>
      <c r="B35" s="259" t="s">
        <v>60</v>
      </c>
      <c r="C35" s="264">
        <f>ROUND(C34*F35,0)</f>
        <v>11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93</v>
      </c>
      <c r="D37" s="261">
        <f>'数据-汇总表'!E3</f>
        <v>6170.06</v>
      </c>
      <c r="E37" s="293">
        <f>'数据-取费表'!B35</f>
        <v>150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14</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17</v>
      </c>
      <c r="D41" s="279">
        <f ca="1">C44</f>
        <v>1.1000000000000001E-3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17</v>
      </c>
      <c r="D42" s="282"/>
      <c r="E42" s="282"/>
      <c r="F42" s="283"/>
      <c r="G42" s="3156" t="s">
        <v>121</v>
      </c>
    </row>
    <row r="43" spans="1:7" ht="13.5" customHeight="1">
      <c r="A43" s="954" t="s">
        <v>792</v>
      </c>
      <c r="B43" s="259" t="s">
        <v>1064</v>
      </c>
      <c r="C43" s="282">
        <f ca="1">ROUND(IF('数据-取费表'!B22&lt;=1,C39*F22*'数据-取费表'!B21/2,C39*(POWER((1+F22),'数据-取费表'!B21/2)-1)),0)</f>
        <v>0</v>
      </c>
      <c r="D43" s="282"/>
      <c r="E43" s="282"/>
      <c r="F43" s="283"/>
      <c r="G43" s="3157"/>
    </row>
    <row r="44" spans="1:7" ht="13.5" customHeight="1">
      <c r="A44" s="954" t="s">
        <v>793</v>
      </c>
      <c r="B44" s="259" t="s">
        <v>1066</v>
      </c>
      <c r="C44" s="282">
        <f ca="1">ROUND(IF('数据-取费表'!B22&lt;=1,C40*F22*'数据-取费表'!B21/2,C40*(POWER((1+F22),'数据-取费表'!B21/2)-1)),4)</f>
        <v>1.1000000000000001E-3</v>
      </c>
      <c r="D44" s="282"/>
      <c r="E44" s="282"/>
      <c r="F44" s="283"/>
      <c r="G44" s="3158"/>
    </row>
    <row r="45" spans="1:7" s="258" customFormat="1" ht="13.5" customHeight="1">
      <c r="A45" s="951" t="s">
        <v>786</v>
      </c>
      <c r="B45" s="288" t="s">
        <v>112</v>
      </c>
      <c r="C45" s="289">
        <f>C46</f>
        <v>49</v>
      </c>
      <c r="D45" s="279">
        <f>C47</f>
        <v>3.0000000000000001E-3</v>
      </c>
      <c r="E45" s="280" t="s">
        <v>129</v>
      </c>
      <c r="F45" s="290"/>
      <c r="G45" s="291" t="s">
        <v>1072</v>
      </c>
    </row>
    <row r="46" spans="1:7" s="258" customFormat="1" ht="13.5" customHeight="1">
      <c r="A46" s="954" t="s">
        <v>794</v>
      </c>
      <c r="B46" s="292" t="s">
        <v>1065</v>
      </c>
      <c r="C46" s="293">
        <f>ROUND((C33+C39)*F27,0)</f>
        <v>49</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613</v>
      </c>
      <c r="D49" s="276"/>
      <c r="E49" s="276"/>
      <c r="F49" s="308"/>
      <c r="G49" s="278" t="s">
        <v>1073</v>
      </c>
    </row>
    <row r="50" spans="1:7" s="302" customFormat="1" ht="24">
      <c r="A50" s="951" t="s">
        <v>789</v>
      </c>
      <c r="B50" s="254" t="s">
        <v>124</v>
      </c>
      <c r="C50" s="276"/>
      <c r="D50" s="276"/>
      <c r="E50" s="276"/>
      <c r="F50" s="308">
        <f>IF('数据-取费表'!B24=0,'数据-取费表'!N16,1)</f>
        <v>0.2</v>
      </c>
      <c r="G50" s="291" t="s">
        <v>125</v>
      </c>
    </row>
    <row r="51" spans="1:7" ht="16.5" customHeight="1">
      <c r="A51" s="951" t="s">
        <v>790</v>
      </c>
      <c r="B51" s="254" t="s">
        <v>132</v>
      </c>
      <c r="C51" s="276">
        <f ca="1">ROUND(C49*F50,0)</f>
        <v>123</v>
      </c>
      <c r="D51" s="276"/>
      <c r="E51" s="276"/>
      <c r="F51" s="308"/>
      <c r="G51" s="278" t="s">
        <v>64</v>
      </c>
    </row>
    <row r="52" spans="1:7" s="252" customFormat="1" ht="16.5" thickBot="1">
      <c r="A52" s="309" t="s">
        <v>65</v>
      </c>
      <c r="B52" s="310"/>
      <c r="C52" s="311">
        <f ca="1">C31+C51</f>
        <v>27498</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871</v>
      </c>
      <c r="B1" s="329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43154</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
  <sheetViews>
    <sheetView topLeftCell="B1" workbookViewId="0">
      <selection activeCell="O7" sqref="O7"/>
    </sheetView>
  </sheetViews>
  <sheetFormatPr defaultRowHeight="13.5"/>
  <cols>
    <col min="1" max="1" width="35.5" customWidth="1"/>
    <col min="14" max="14" width="12.75" bestFit="1" customWidth="1"/>
  </cols>
  <sheetData>
    <row r="1" spans="1:14" s="2958" customFormat="1" ht="39" customHeight="1">
      <c r="A1" s="2958" t="s">
        <v>3066</v>
      </c>
      <c r="B1" s="2958" t="s">
        <v>3067</v>
      </c>
      <c r="C1" s="2958" t="s">
        <v>3068</v>
      </c>
      <c r="D1" s="2958" t="s">
        <v>3069</v>
      </c>
      <c r="E1" s="2958" t="s">
        <v>3070</v>
      </c>
      <c r="F1" s="2958" t="s">
        <v>3071</v>
      </c>
      <c r="G1" s="2958" t="s">
        <v>3072</v>
      </c>
      <c r="H1" s="2958" t="s">
        <v>3073</v>
      </c>
      <c r="I1" s="2958" t="s">
        <v>3074</v>
      </c>
      <c r="J1" s="2958" t="s">
        <v>3075</v>
      </c>
      <c r="K1" s="2958" t="s">
        <v>3076</v>
      </c>
      <c r="L1" s="2958" t="s">
        <v>3077</v>
      </c>
      <c r="M1" s="2958" t="s">
        <v>3078</v>
      </c>
    </row>
    <row r="2" spans="1:14" s="2958" customFormat="1" ht="39" customHeight="1">
      <c r="A2" s="2958" t="s">
        <v>3079</v>
      </c>
      <c r="B2" s="2958" t="s">
        <v>3052</v>
      </c>
      <c r="C2" s="2958" t="s">
        <v>3080</v>
      </c>
      <c r="D2" s="2958">
        <v>55333.599999999999</v>
      </c>
      <c r="E2" s="2958">
        <v>66400</v>
      </c>
      <c r="F2" s="2958" t="s">
        <v>3081</v>
      </c>
      <c r="G2" s="2958" t="s">
        <v>3082</v>
      </c>
      <c r="H2" s="2958" t="s">
        <v>3083</v>
      </c>
      <c r="I2" s="2958">
        <v>9634</v>
      </c>
      <c r="J2" s="2958">
        <v>9634</v>
      </c>
      <c r="K2" s="2958">
        <v>1450.9</v>
      </c>
      <c r="L2" s="2958">
        <v>0</v>
      </c>
      <c r="M2" s="2958" t="s">
        <v>3084</v>
      </c>
    </row>
    <row r="3" spans="1:14" s="2958" customFormat="1" ht="39" customHeight="1">
      <c r="A3" s="2960" t="s">
        <v>3106</v>
      </c>
      <c r="B3" s="2959" t="s">
        <v>3052</v>
      </c>
      <c r="C3" s="2959" t="s">
        <v>3080</v>
      </c>
      <c r="D3" s="2959">
        <v>57769</v>
      </c>
      <c r="E3" s="2959">
        <v>57769</v>
      </c>
      <c r="F3" s="2959" t="s">
        <v>3085</v>
      </c>
      <c r="G3" s="2959" t="s">
        <v>3082</v>
      </c>
      <c r="H3" s="2959" t="s">
        <v>3086</v>
      </c>
      <c r="I3" s="2959">
        <v>7505</v>
      </c>
      <c r="J3" s="2959">
        <v>7505</v>
      </c>
      <c r="K3" s="2959">
        <v>1299.1400000000001</v>
      </c>
      <c r="L3" s="2959">
        <v>0</v>
      </c>
      <c r="M3" s="2959" t="s">
        <v>3087</v>
      </c>
      <c r="N3" s="2958">
        <f>ROUND(J3/D3*10000,0)</f>
        <v>1299</v>
      </c>
    </row>
    <row r="4" spans="1:14" s="2958" customFormat="1" ht="39" customHeight="1">
      <c r="A4" s="2960" t="s">
        <v>3107</v>
      </c>
      <c r="B4" s="2959" t="s">
        <v>3052</v>
      </c>
      <c r="C4" s="2959" t="s">
        <v>3080</v>
      </c>
      <c r="D4" s="2959">
        <v>32779.72</v>
      </c>
      <c r="E4" s="2959">
        <v>39335.660000000003</v>
      </c>
      <c r="F4" s="2959" t="s">
        <v>3081</v>
      </c>
      <c r="G4" s="2959" t="s">
        <v>3082</v>
      </c>
      <c r="H4" s="2959" t="s">
        <v>3086</v>
      </c>
      <c r="I4" s="2959">
        <v>4456</v>
      </c>
      <c r="J4" s="2959">
        <v>4456</v>
      </c>
      <c r="K4" s="2959">
        <v>1132.8</v>
      </c>
      <c r="L4" s="2959">
        <v>0</v>
      </c>
      <c r="M4" s="2959" t="s">
        <v>3088</v>
      </c>
      <c r="N4" s="2958">
        <f>ROUND(J4/D4*10000,0)</f>
        <v>1359</v>
      </c>
    </row>
    <row r="5" spans="1:14" s="2958" customFormat="1" ht="39" customHeight="1">
      <c r="A5" s="2958" t="s">
        <v>3089</v>
      </c>
      <c r="B5" s="2958" t="s">
        <v>3052</v>
      </c>
      <c r="C5" s="2958" t="s">
        <v>3080</v>
      </c>
      <c r="D5" s="2958">
        <v>32326.54</v>
      </c>
      <c r="E5" s="2958">
        <v>38791.85</v>
      </c>
      <c r="F5" s="2958" t="s">
        <v>3081</v>
      </c>
      <c r="G5" s="2958" t="s">
        <v>3082</v>
      </c>
      <c r="H5" s="2958" t="s">
        <v>3090</v>
      </c>
      <c r="I5" s="2958">
        <v>4194</v>
      </c>
      <c r="J5" s="2958">
        <v>4194</v>
      </c>
      <c r="K5" s="2958">
        <v>1081.1500000000001</v>
      </c>
      <c r="L5" s="2958">
        <v>0</v>
      </c>
      <c r="M5" s="2958" t="s">
        <v>3091</v>
      </c>
    </row>
    <row r="6" spans="1:14" s="2958" customFormat="1" ht="39" customHeight="1">
      <c r="A6" s="2958" t="s">
        <v>3092</v>
      </c>
      <c r="B6" s="2958" t="s">
        <v>3052</v>
      </c>
      <c r="C6" s="2958" t="s">
        <v>3080</v>
      </c>
      <c r="D6" s="2958">
        <v>31995.71</v>
      </c>
      <c r="E6" s="2958">
        <v>38394.85</v>
      </c>
      <c r="F6" s="2958" t="s">
        <v>3081</v>
      </c>
      <c r="G6" s="2958" t="s">
        <v>3082</v>
      </c>
      <c r="H6" s="2958" t="s">
        <v>3093</v>
      </c>
      <c r="I6" s="2958">
        <v>4151</v>
      </c>
      <c r="J6" s="2958">
        <v>4151</v>
      </c>
      <c r="K6" s="2958">
        <v>1081.1300000000001</v>
      </c>
      <c r="L6" s="2958">
        <v>0</v>
      </c>
      <c r="M6" s="2958" t="s">
        <v>3094</v>
      </c>
    </row>
    <row r="7" spans="1:14" s="2958" customFormat="1" ht="39" customHeight="1">
      <c r="A7" s="2959" t="s">
        <v>3095</v>
      </c>
      <c r="B7" s="2959" t="s">
        <v>3052</v>
      </c>
      <c r="C7" s="2959" t="s">
        <v>3080</v>
      </c>
      <c r="D7" s="2959">
        <v>49749.07</v>
      </c>
      <c r="E7" s="2959">
        <v>49749.07</v>
      </c>
      <c r="F7" s="2959" t="s">
        <v>3085</v>
      </c>
      <c r="G7" s="2959" t="s">
        <v>3082</v>
      </c>
      <c r="H7" s="2959" t="s">
        <v>3096</v>
      </c>
      <c r="I7" s="2959">
        <v>6156</v>
      </c>
      <c r="J7" s="2959">
        <v>6156</v>
      </c>
      <c r="K7" s="2959">
        <v>1237.4100000000001</v>
      </c>
      <c r="L7" s="2959">
        <v>0</v>
      </c>
      <c r="M7" s="2959" t="s">
        <v>3097</v>
      </c>
      <c r="N7" s="2958">
        <f t="shared" ref="N7" si="0">ROUND(J7/D7*10000,0)</f>
        <v>1237</v>
      </c>
    </row>
    <row r="8" spans="1:14" s="2958" customFormat="1" ht="39" customHeight="1">
      <c r="A8" s="2958" t="s">
        <v>3098</v>
      </c>
      <c r="B8" s="2958" t="s">
        <v>3052</v>
      </c>
      <c r="C8" s="2958" t="s">
        <v>3080</v>
      </c>
      <c r="D8" s="2958">
        <v>10121</v>
      </c>
      <c r="E8" s="2958">
        <v>10121</v>
      </c>
      <c r="F8" s="2958">
        <v>1</v>
      </c>
      <c r="G8" s="2958" t="s">
        <v>3082</v>
      </c>
      <c r="H8" s="2958" t="s">
        <v>3099</v>
      </c>
      <c r="I8" s="2958">
        <v>926</v>
      </c>
      <c r="J8" s="2958">
        <v>926</v>
      </c>
      <c r="K8" s="2958">
        <v>914.92</v>
      </c>
      <c r="L8" s="2958">
        <v>0</v>
      </c>
      <c r="M8" s="2958" t="s">
        <v>3100</v>
      </c>
    </row>
    <row r="9" spans="1:14" s="2958" customFormat="1" ht="39" customHeight="1">
      <c r="A9" s="2958" t="s">
        <v>3101</v>
      </c>
      <c r="B9" s="2958" t="s">
        <v>3052</v>
      </c>
      <c r="C9" s="2958" t="s">
        <v>3080</v>
      </c>
      <c r="D9" s="2958">
        <v>25137.72</v>
      </c>
      <c r="E9" s="2958">
        <v>25137.72</v>
      </c>
      <c r="F9" s="2958" t="s">
        <v>3102</v>
      </c>
      <c r="G9" s="2958" t="s">
        <v>3082</v>
      </c>
      <c r="H9" s="2958" t="s">
        <v>3103</v>
      </c>
      <c r="I9" s="2958">
        <v>2984</v>
      </c>
      <c r="J9" s="2958">
        <v>2984</v>
      </c>
      <c r="K9" s="2958">
        <v>1187.05</v>
      </c>
      <c r="L9" s="2958">
        <v>0</v>
      </c>
      <c r="M9" s="2958" t="s">
        <v>3104</v>
      </c>
    </row>
    <row r="10" spans="1:14" s="2958" customFormat="1" ht="39" customHeight="1">
      <c r="A10" s="2958" t="s">
        <v>3105</v>
      </c>
      <c r="B10" s="2958" t="s">
        <v>3052</v>
      </c>
      <c r="C10" s="2958" t="s">
        <v>3080</v>
      </c>
      <c r="D10" s="2958">
        <v>12530</v>
      </c>
      <c r="E10" s="2958">
        <v>12530</v>
      </c>
      <c r="F10" s="2958" t="s">
        <v>3102</v>
      </c>
      <c r="G10" s="2958" t="s">
        <v>3082</v>
      </c>
      <c r="H10" s="2958" t="s">
        <v>3103</v>
      </c>
      <c r="I10" s="2958">
        <v>1488</v>
      </c>
      <c r="J10" s="2958">
        <v>1488</v>
      </c>
      <c r="K10" s="2958">
        <v>1187.54</v>
      </c>
      <c r="L10" s="2958">
        <v>0</v>
      </c>
      <c r="M10" s="2958" t="s">
        <v>3104</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workbookViewId="0">
      <selection activeCell="B3" sqref="B3"/>
    </sheetView>
  </sheetViews>
  <sheetFormatPr defaultRowHeight="13.5"/>
  <cols>
    <col min="1" max="1" width="23.375" customWidth="1"/>
    <col min="2" max="2" width="22.625" customWidth="1"/>
    <col min="3" max="3" width="21.625" customWidth="1"/>
    <col min="4" max="4" width="15.75" customWidth="1"/>
    <col min="5" max="5" width="17.5" customWidth="1"/>
    <col min="6" max="6" width="15.25" customWidth="1"/>
  </cols>
  <sheetData>
    <row r="1" spans="1:8" ht="19.5" customHeight="1">
      <c r="A1" s="2963" t="s">
        <v>3121</v>
      </c>
      <c r="B1" s="2964" t="s">
        <v>3122</v>
      </c>
      <c r="C1" s="2964" t="s">
        <v>3123</v>
      </c>
      <c r="D1" s="2963" t="s">
        <v>3124</v>
      </c>
      <c r="E1" s="2963" t="s">
        <v>3131</v>
      </c>
      <c r="F1" s="2969" t="s">
        <v>3125</v>
      </c>
      <c r="H1" s="2962" t="s">
        <v>3126</v>
      </c>
    </row>
    <row r="2" spans="1:8">
      <c r="A2" s="2963" t="s">
        <v>3127</v>
      </c>
      <c r="B2" s="2965">
        <f>系统读取表!B14</f>
        <v>6170.06</v>
      </c>
      <c r="C2" s="2965">
        <f>系统读取表!C14</f>
        <v>11400.66</v>
      </c>
      <c r="D2" s="2965">
        <v>11055</v>
      </c>
      <c r="E2" s="2965">
        <f>ROUND(D2/B2*10000,0)</f>
        <v>17917</v>
      </c>
      <c r="F2">
        <v>12939</v>
      </c>
      <c r="H2">
        <f>D2-F2</f>
        <v>-1884</v>
      </c>
    </row>
    <row r="3" spans="1:8">
      <c r="A3" s="2963" t="s">
        <v>3129</v>
      </c>
      <c r="B3" s="2965">
        <f>系统读取表!B15</f>
        <v>24815.77</v>
      </c>
      <c r="C3" s="2965">
        <f>系统读取表!C15</f>
        <v>45853.06</v>
      </c>
      <c r="D3" s="2965">
        <f ca="1">系统读取表!D15</f>
        <v>12976</v>
      </c>
      <c r="E3" s="2965">
        <f t="shared" ref="E3:E5" ca="1" si="0">ROUND(D3/B3*10000,0)</f>
        <v>5229</v>
      </c>
      <c r="F3">
        <v>12520</v>
      </c>
      <c r="H3">
        <f t="shared" ref="H3:H4" ca="1" si="1">D3-F3</f>
        <v>456</v>
      </c>
    </row>
    <row r="4" spans="1:8">
      <c r="A4" s="2963" t="s">
        <v>3128</v>
      </c>
      <c r="B4" s="2965">
        <f>系统读取表!B16</f>
        <v>0</v>
      </c>
      <c r="C4" s="2965">
        <f>系统读取表!C16</f>
        <v>0</v>
      </c>
      <c r="D4" s="2965">
        <f>系统读取表!D16</f>
        <v>0</v>
      </c>
      <c r="E4" s="2965" t="e">
        <f t="shared" si="0"/>
        <v>#DIV/0!</v>
      </c>
      <c r="F4">
        <v>12235</v>
      </c>
      <c r="H4">
        <f t="shared" si="1"/>
        <v>-12235</v>
      </c>
    </row>
    <row r="5" spans="1:8">
      <c r="A5" s="2966" t="s">
        <v>3130</v>
      </c>
      <c r="B5" s="2967">
        <f>SUM(B2:B4)</f>
        <v>30985.83</v>
      </c>
      <c r="C5" s="2968">
        <f>SUM(C2:C4)</f>
        <v>57253.72</v>
      </c>
      <c r="D5" s="2965">
        <f ca="1">SUM(D2:D4)</f>
        <v>24031</v>
      </c>
      <c r="E5" s="2965">
        <f t="shared" ca="1" si="0"/>
        <v>7755</v>
      </c>
      <c r="F5">
        <f>SUM(F2:F4)</f>
        <v>37694</v>
      </c>
      <c r="H5">
        <f ca="1">SUM(H2:H4)</f>
        <v>-13663</v>
      </c>
    </row>
    <row r="8" spans="1:8">
      <c r="D8">
        <f ca="1">结果表!G19</f>
        <v>1984</v>
      </c>
      <c r="E8">
        <f ca="1">D8-D2</f>
        <v>-9071</v>
      </c>
    </row>
    <row r="9" spans="1:8">
      <c r="D9">
        <f ca="1">[1]结果表!$G$19</f>
        <v>12976</v>
      </c>
    </row>
    <row r="10" spans="1:8">
      <c r="D10">
        <f ca="1">SUM(D8:D9)</f>
        <v>14960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1642</v>
      </c>
      <c r="B2" s="2982" t="s">
        <v>1643</v>
      </c>
      <c r="C2" s="2982" t="s">
        <v>1644</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7" t="s">
        <v>1639</v>
      </c>
      <c r="E3" s="1047" t="s">
        <v>1645</v>
      </c>
      <c r="F3" s="1047" t="s">
        <v>1639</v>
      </c>
      <c r="G3" s="1047" t="s">
        <v>1640</v>
      </c>
      <c r="H3" s="1047" t="s">
        <v>1639</v>
      </c>
      <c r="I3" s="1047" t="s">
        <v>1640</v>
      </c>
    </row>
    <row r="4" spans="1:9" ht="15">
      <c r="A4" s="1976" t="str">
        <f>项目基本情况!S2</f>
        <v>北京市阎村镇燕东路北房地产</v>
      </c>
      <c r="B4" s="1047">
        <f>项目基本情况!C17</f>
        <v>6170.06</v>
      </c>
      <c r="C4" s="1047">
        <f>项目基本情况!C18</f>
        <v>11400.66</v>
      </c>
      <c r="D4" s="1047">
        <f ca="1">结果表!D118</f>
        <v>1875</v>
      </c>
      <c r="E4" s="1047">
        <f ca="1">结果表!E118</f>
        <v>3039</v>
      </c>
      <c r="F4" s="1047">
        <f ca="1">结果表!F118</f>
        <v>109</v>
      </c>
      <c r="G4" s="1047">
        <f ca="1">结果表!G118</f>
        <v>177</v>
      </c>
      <c r="H4" s="1047">
        <f ca="1">结果表!H118</f>
        <v>1984</v>
      </c>
      <c r="I4" s="1047">
        <f ca="1">结果表!I118</f>
        <v>3216</v>
      </c>
    </row>
    <row r="5" spans="1:9" ht="30" customHeight="1">
      <c r="A5" s="2983" t="s">
        <v>1641</v>
      </c>
      <c r="B5" s="2983"/>
      <c r="C5" s="2983"/>
      <c r="D5" s="2984" t="str">
        <f ca="1">结果表!D119</f>
        <v>壹仟捌佰柒拾伍万元整</v>
      </c>
      <c r="E5" s="2984"/>
      <c r="F5" s="2984" t="str">
        <f ca="1">结果表!F119</f>
        <v>壹佰零玖万元整</v>
      </c>
      <c r="G5" s="2984"/>
      <c r="H5" s="2984" t="str">
        <f ca="1">结果表!H119</f>
        <v>壹仟玖佰捌拾肆万元整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1641</v>
      </c>
      <c r="B7" s="2983"/>
      <c r="C7" s="2983"/>
      <c r="D7" s="2986" t="str">
        <f>结果表!D121</f>
        <v>零元整</v>
      </c>
      <c r="E7" s="2987"/>
      <c r="F7" s="2987"/>
      <c r="G7" s="2987"/>
      <c r="H7" s="2987"/>
      <c r="I7" s="2988"/>
    </row>
    <row r="8" spans="1:9" ht="15.75">
      <c r="A8" s="2985" t="str">
        <f>结果表!A122</f>
        <v>房地产抵押价值</v>
      </c>
      <c r="B8" s="2985"/>
      <c r="C8" s="2985"/>
      <c r="D8" s="2985">
        <f ca="1">结果表!D122</f>
        <v>1984</v>
      </c>
      <c r="E8" s="2985"/>
      <c r="F8" s="2985"/>
      <c r="G8" s="2985"/>
      <c r="H8" s="2985"/>
      <c r="I8" s="2985"/>
    </row>
    <row r="9" spans="1:9" ht="15">
      <c r="A9" s="2983" t="s">
        <v>1641</v>
      </c>
      <c r="B9" s="2983"/>
      <c r="C9" s="2983"/>
      <c r="D9" s="2984" t="str">
        <f ca="1">结果表!D123</f>
        <v>壹仟玖佰捌拾肆万元整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1641</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1641</v>
      </c>
      <c r="B13" s="2989"/>
      <c r="C13" s="2989"/>
      <c r="D13" s="2990" t="e">
        <f>结果表!D127</f>
        <v>#VALUE!</v>
      </c>
      <c r="E13" s="2990"/>
      <c r="F13" s="2990"/>
      <c r="G13" s="2990"/>
      <c r="H13" s="2990"/>
      <c r="I13" s="2990"/>
    </row>
    <row r="14" spans="1:9" ht="15" thickTop="1">
      <c r="A14" s="2991" t="s">
        <v>1646</v>
      </c>
      <c r="B14" s="2991"/>
      <c r="C14" s="2991"/>
      <c r="D14" s="2991"/>
      <c r="E14" s="2991"/>
      <c r="F14" s="2991"/>
      <c r="G14" s="2991"/>
      <c r="H14" s="2991"/>
      <c r="I14" s="2991"/>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2" t="s">
        <v>1663</v>
      </c>
      <c r="B1" s="2992"/>
      <c r="C1" s="2992"/>
      <c r="D1" s="2992"/>
    </row>
    <row r="2" spans="1:4" ht="18">
      <c r="A2" s="2993" t="s">
        <v>1647</v>
      </c>
      <c r="B2" s="2993"/>
      <c r="C2" s="2993"/>
      <c r="D2" s="2993"/>
    </row>
    <row r="3" spans="1:4" ht="18.75">
      <c r="A3" s="1980" t="s">
        <v>1648</v>
      </c>
      <c r="B3" s="1980" t="s">
        <v>1649</v>
      </c>
      <c r="C3" s="1980" t="s">
        <v>1650</v>
      </c>
      <c r="D3" s="1980" t="s">
        <v>1651</v>
      </c>
    </row>
    <row r="4" spans="1:4" ht="56.25" customHeight="1">
      <c r="A4" s="1981" t="str">
        <f>项目基本情况!B4</f>
        <v>郑燚</v>
      </c>
      <c r="B4" s="1982">
        <f ca="1">项目基本情况!C4</f>
        <v>1120070131</v>
      </c>
      <c r="C4" s="1983"/>
      <c r="D4" s="1984" t="s">
        <v>1652</v>
      </c>
    </row>
    <row r="5" spans="1:4" ht="56.25" customHeight="1">
      <c r="A5" s="1981" t="str">
        <f>项目基本情况!D4</f>
        <v>吴薇</v>
      </c>
      <c r="B5" s="1982">
        <f ca="1">项目基本情况!E4</f>
        <v>1419970001</v>
      </c>
      <c r="C5" s="1985"/>
      <c r="D5" s="1984" t="s">
        <v>1652</v>
      </c>
    </row>
    <row r="6" spans="1:4" ht="18">
      <c r="A6" s="2993" t="s">
        <v>1653</v>
      </c>
      <c r="B6" s="2993"/>
      <c r="C6" s="2993"/>
      <c r="D6" s="2993"/>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2994" t="s">
        <v>1656</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6"/>
      <c r="C12" s="2996"/>
      <c r="D12" s="2996"/>
    </row>
    <row r="13" spans="1:4" ht="30" customHeight="1">
      <c r="A13" s="2995" t="str">
        <f>IF(项目基本情况!B8="抵押","3.抵押双方在办理抵押登记手续时，应使用本公司出具的正式《房地产评估报告》，特提醒报告使用者注意。","——")</f>
        <v>——</v>
      </c>
      <c r="B13" s="2996"/>
      <c r="C13" s="2996"/>
      <c r="D13" s="2996"/>
    </row>
    <row r="14" spans="1:4" ht="15.75" customHeight="1">
      <c r="A14" s="2995" t="str">
        <f>IF(项目基本情况!B8="抵押","4.本次评估估价师所知悉的法定优先受偿款情况说明如下：","——")</f>
        <v>——</v>
      </c>
      <c r="B14" s="2996"/>
      <c r="C14" s="2996"/>
      <c r="D14" s="2996"/>
    </row>
    <row r="15" spans="1:4" ht="42" customHeight="1">
      <c r="A15" s="2995" t="str">
        <f>IF(项目基本情况!B8="抵押","（1）"&amp;CONCATENATE(项目基本情况!L20,项目基本情况!L21,项目基本情况!L22),"——")</f>
        <v>——</v>
      </c>
      <c r="B15" s="2995"/>
      <c r="C15" s="2995"/>
      <c r="D15" s="2995"/>
    </row>
    <row r="16" spans="1:4" ht="30" customHeight="1">
      <c r="A16" s="2998" t="s">
        <v>1657</v>
      </c>
      <c r="B16" s="2998"/>
      <c r="C16" s="2998"/>
      <c r="D16" s="2998"/>
    </row>
    <row r="17" spans="1:4" ht="144" customHeight="1">
      <c r="A17" s="2998" t="s">
        <v>1658</v>
      </c>
      <c r="B17" s="2998"/>
      <c r="C17" s="2998"/>
      <c r="D17" s="2998"/>
    </row>
    <row r="18" spans="1:4" ht="15.75" customHeight="1">
      <c r="A18" s="2995" t="str">
        <f>IF(项目基本情况!B8="抵押",结果表!K120,"——")</f>
        <v>——</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1659</v>
      </c>
      <c r="B22" s="3000"/>
      <c r="C22" s="3000"/>
      <c r="D22" s="3000"/>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06" t="s">
        <v>1670</v>
      </c>
      <c r="B15" s="3001" t="s">
        <v>136</v>
      </c>
      <c r="C15" s="3002"/>
    </row>
    <row r="16" spans="1:7" ht="13.5">
      <c r="A16" s="3007"/>
      <c r="B16" s="3001" t="s">
        <v>69</v>
      </c>
      <c r="C16" s="3002"/>
    </row>
    <row r="17" spans="1:3" ht="13.5">
      <c r="A17" s="3007"/>
      <c r="B17" s="3004" t="s">
        <v>1671</v>
      </c>
      <c r="C17" s="2003" t="s">
        <v>1670</v>
      </c>
    </row>
    <row r="18" spans="1:3" ht="13.5">
      <c r="A18" s="3007"/>
      <c r="B18" s="3004"/>
      <c r="C18" s="2003" t="s">
        <v>1672</v>
      </c>
    </row>
    <row r="19" spans="1:3" ht="13.5">
      <c r="A19" s="3007"/>
      <c r="B19" s="3004"/>
      <c r="C19" s="2003" t="s">
        <v>1673</v>
      </c>
    </row>
    <row r="20" spans="1:3" ht="13.5">
      <c r="A20" s="3008"/>
      <c r="B20" s="3003" t="s">
        <v>1674</v>
      </c>
      <c r="C20" s="3002"/>
    </row>
    <row r="21" spans="1:3" ht="13.5">
      <c r="A21" s="2004" t="s">
        <v>1675</v>
      </c>
      <c r="B21" s="2005"/>
      <c r="C21" s="2006"/>
    </row>
    <row r="22" spans="1:3" ht="13.5">
      <c r="A22" s="3005" t="s">
        <v>1676</v>
      </c>
      <c r="B22" s="3003" t="s">
        <v>1677</v>
      </c>
      <c r="C22" s="3002"/>
    </row>
    <row r="23" spans="1:3" ht="13.5">
      <c r="A23" s="3005"/>
      <c r="B23" s="3003" t="s">
        <v>1678</v>
      </c>
      <c r="C23" s="3002"/>
    </row>
    <row r="24" spans="1:3" ht="13.5">
      <c r="A24" s="3005"/>
      <c r="B24" s="3003" t="s">
        <v>1679</v>
      </c>
      <c r="C24" s="3002"/>
    </row>
    <row r="25" spans="1:3" ht="13.5">
      <c r="A25" s="3005"/>
      <c r="B25" s="3004" t="s">
        <v>1680</v>
      </c>
      <c r="C25" s="2003" t="s">
        <v>1681</v>
      </c>
    </row>
    <row r="26" spans="1:3" ht="13.5">
      <c r="A26" s="3005"/>
      <c r="B26" s="3004"/>
      <c r="C26" s="2003" t="s">
        <v>1682</v>
      </c>
    </row>
    <row r="27" spans="1:3" ht="13.5">
      <c r="A27" s="3005"/>
      <c r="B27" s="3004"/>
      <c r="C27" s="2003" t="s">
        <v>1683</v>
      </c>
    </row>
    <row r="28" spans="1:3" ht="13.5">
      <c r="A28" s="3005"/>
      <c r="B28" s="3004"/>
      <c r="C28" s="2003" t="s">
        <v>1684</v>
      </c>
    </row>
    <row r="29" spans="1:3" ht="13.5">
      <c r="A29" s="3005"/>
      <c r="B29" s="3004"/>
      <c r="C29" s="2003" t="s">
        <v>1685</v>
      </c>
    </row>
    <row r="30" spans="1:3" ht="13.5">
      <c r="A30" s="3005"/>
      <c r="B30" s="3004"/>
      <c r="C30" s="2003" t="s">
        <v>1686</v>
      </c>
    </row>
    <row r="31" spans="1:3" ht="13.5">
      <c r="A31" s="3005"/>
      <c r="B31" s="3004"/>
      <c r="C31" s="2003" t="s">
        <v>1687</v>
      </c>
    </row>
    <row r="32" spans="1:3" ht="13.5">
      <c r="A32" s="3005"/>
      <c r="B32" s="3004"/>
      <c r="C32" s="2003" t="s">
        <v>1688</v>
      </c>
    </row>
    <row r="33" spans="1:3" ht="13.5">
      <c r="A33" s="3005"/>
      <c r="B33" s="3004"/>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43413</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t="str">
        <f ca="1">IF(C7&lt;B2,"已过期",1120050019)</f>
        <v>已过期</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351"/>
      <c r="D12" s="2354"/>
      <c r="E12" s="1025"/>
      <c r="F12" s="1025"/>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t="str">
        <f ca="1">IF(C22&lt;B2,"已过期",1120020033)</f>
        <v>已过期</v>
      </c>
      <c r="C22" s="2351">
        <v>43304</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09" t="s">
        <v>846</v>
      </c>
      <c r="B25" s="3009"/>
      <c r="C25" s="3009"/>
      <c r="D25" s="3009"/>
      <c r="E25" s="3009"/>
      <c r="F25" s="3009"/>
      <c r="G25" s="3009"/>
    </row>
    <row r="26" spans="1:7" s="1028" customFormat="1" ht="24" customHeight="1">
      <c r="A26" s="3010" t="s">
        <v>847</v>
      </c>
      <c r="B26" s="3010"/>
      <c r="C26" s="3011"/>
      <c r="D26" s="3012" t="s">
        <v>848</v>
      </c>
      <c r="E26" s="3010"/>
      <c r="F26" s="3010"/>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收益法-工业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估价师及机构信息!Print_Area</vt:lpstr>
      <vt:lpstr>'收益法 (元)'!Print_Area</vt:lpstr>
      <vt:lpstr>'收益法-车库'!Print_Area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2018-11-09T05:16:14Z</dcterms:modified>
</cp:coreProperties>
</file>