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审核\张泽\"/>
    </mc:Choice>
  </mc:AlternateContent>
  <xr:revisionPtr revIDLastSave="0" documentId="13_ncr:1_{65191269-6CD7-4644-A5EF-4D4DDCAD3AF7}" xr6:coauthVersionLast="47" xr6:coauthVersionMax="47" xr10:uidLastSave="{00000000-0000-0000-0000-000000000000}"/>
  <bookViews>
    <workbookView xWindow="552" yWindow="372" windowWidth="14112" windowHeight="11520" tabRatio="899" firstSheet="18"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sheet1 (2)" sheetId="81" r:id="rId8"/>
    <sheet name="Sheet1" sheetId="80" r:id="rId9"/>
    <sheet name="使用说明" sheetId="41" state="hidden" r:id="rId10"/>
    <sheet name="估价师及机构信息" sheetId="49" state="hidden" r:id="rId11"/>
    <sheet name="定义" sheetId="10" state="hidden" r:id="rId12"/>
    <sheet name="常用公式" sheetId="78" state="hidden"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案例" sheetId="83" r:id="rId34"/>
    <sheet name="土地比较法-住宅、综合" sheetId="39" r:id="rId35"/>
    <sheet name="土地比较法-工业" sheetId="40" state="hidden" r:id="rId36"/>
    <sheet name="典型户型修正" sheetId="31"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'数据-基础表'!$A$12:$AT$587</definedName>
    <definedName name="_xlnm._FilterDatabase" localSheetId="33" hidden="1">土地案例!$A$1:$AI$56</definedName>
    <definedName name="_xlnm._FilterDatabase" localSheetId="35" hidden="1">'土地比较法-工业'!$A$1:$L$43</definedName>
    <definedName name="_xlnm._FilterDatabase" localSheetId="34" hidden="1">'土地比较法-住宅、综合'!$A$1:$L$48</definedName>
    <definedName name="_xlnm._FilterDatabase" localSheetId="13"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10">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8">#REF!</definedName>
    <definedName name="办公层高" localSheetId="33">#REF!</definedName>
    <definedName name="办公层高">'比较法-办公'!$B$119:$M$119</definedName>
    <definedName name="办公朝向" localSheetId="8">#REF!</definedName>
    <definedName name="办公朝向" localSheetId="33">#REF!</definedName>
    <definedName name="办公朝向">'比较法-办公'!$B$91:$M$91</definedName>
    <definedName name="办公道路级别" localSheetId="8">#REF!</definedName>
    <definedName name="办公道路级别" localSheetId="33">#REF!</definedName>
    <definedName name="办公道路级别">'比较法-办公'!$B$87:$M$87</definedName>
    <definedName name="办公公共部分装修" localSheetId="8">#REF!</definedName>
    <definedName name="办公公共部分装修" localSheetId="33">#REF!</definedName>
    <definedName name="办公公共部分装修">'比较法-办公'!$B$108:$M$108</definedName>
    <definedName name="办公基础设施水平" localSheetId="8">#REF!</definedName>
    <definedName name="办公基础设施水平" localSheetId="33">#REF!</definedName>
    <definedName name="办公基础设施水平">'比较法-办公'!$B$117:$M$117</definedName>
    <definedName name="办公集聚程度" localSheetId="8">#REF!</definedName>
    <definedName name="办公集聚程度" localSheetId="33">#REF!</definedName>
    <definedName name="办公集聚程度">定义!$M$1:$M$6</definedName>
    <definedName name="办公建筑结构" localSheetId="8">#REF!</definedName>
    <definedName name="办公建筑结构" localSheetId="33">#REF!</definedName>
    <definedName name="办公建筑结构">'比较法-办公'!$B$106:$M$106</definedName>
    <definedName name="办公建筑类型" localSheetId="8">#REF!</definedName>
    <definedName name="办公建筑类型" localSheetId="33">#REF!</definedName>
    <definedName name="办公建筑类型">'比较法-办公'!$B$101:$M$101</definedName>
    <definedName name="办公交易情况" localSheetId="8">#REF!</definedName>
    <definedName name="办公交易情况" localSheetId="33">#REF!</definedName>
    <definedName name="办公交易情况">'比较法-办公'!$A$62:$M$62</definedName>
    <definedName name="办公楼层" localSheetId="8">#REF!</definedName>
    <definedName name="办公楼层" localSheetId="33">#REF!</definedName>
    <definedName name="办公楼层">'比较法-办公'!$B$89:$M$89</definedName>
    <definedName name="办公内部装修" localSheetId="8">#REF!</definedName>
    <definedName name="办公内部装修" localSheetId="33">#REF!</definedName>
    <definedName name="办公内部装修">'比较法-办公'!$B$123:$M$123</definedName>
    <definedName name="办公物业管理" localSheetId="8">#REF!</definedName>
    <definedName name="办公物业管理" localSheetId="33">#REF!</definedName>
    <definedName name="办公物业管理">'比较法-办公'!$B$115:$M$115</definedName>
    <definedName name="办公用途" localSheetId="8">#REF!</definedName>
    <definedName name="办公用途" localSheetId="33">#REF!</definedName>
    <definedName name="办公用途">'比较法-办公'!$B$64:$M$64</definedName>
    <definedName name="仓储公共部分装修" localSheetId="8">#REF!</definedName>
    <definedName name="仓储公共部分装修" localSheetId="33">#REF!</definedName>
    <definedName name="仓储公共部分装修">'比较法-仓储'!$B$77:$M$77</definedName>
    <definedName name="仓储交易情况" localSheetId="8">#REF!</definedName>
    <definedName name="仓储交易情况" localSheetId="33">#REF!</definedName>
    <definedName name="仓储交易情况">'比较法-仓储'!$A$49:$M$49</definedName>
    <definedName name="仓储楼层" localSheetId="8">#REF!</definedName>
    <definedName name="仓储楼层" localSheetId="33">#REF!</definedName>
    <definedName name="仓储楼层">'比较法-仓储'!$B$69:$M$69</definedName>
    <definedName name="仓储物业等级" localSheetId="8">#REF!</definedName>
    <definedName name="仓储物业等级" localSheetId="33">#REF!</definedName>
    <definedName name="仓储物业等级">'比较法-仓储'!$B$82:$M$82</definedName>
    <definedName name="仓储用途" localSheetId="8">#REF!</definedName>
    <definedName name="仓储用途" localSheetId="33">#REF!</definedName>
    <definedName name="仓储用途">'比较法-仓储'!$B$51:$M$51</definedName>
    <definedName name="产业集聚程度" localSheetId="8">#REF!</definedName>
    <definedName name="产业集聚程度" localSheetId="33">#REF!</definedName>
    <definedName name="产业集聚程度">定义!$N$1:$N$6</definedName>
    <definedName name="车位公共部分装修" localSheetId="8">#REF!</definedName>
    <definedName name="车位公共部分装修" localSheetId="33">#REF!</definedName>
    <definedName name="车位公共部分装修">'比较法-车位'!$B$83:$M$83</definedName>
    <definedName name="车位交易情况" localSheetId="8">#REF!</definedName>
    <definedName name="车位交易情况" localSheetId="33">#REF!</definedName>
    <definedName name="车位交易情况">'比较法-车位'!$A$51:$M$51</definedName>
    <definedName name="车位类型" localSheetId="8">#REF!</definedName>
    <definedName name="车位类型" localSheetId="33">#REF!</definedName>
    <definedName name="车位类型">'比较法-车位'!$B$93:$M$93</definedName>
    <definedName name="车位楼层" localSheetId="8">#REF!</definedName>
    <definedName name="车位楼层" localSheetId="33">#REF!</definedName>
    <definedName name="车位楼层">'比较法-车位'!$B$71:$M$71</definedName>
    <definedName name="车位配套类型" localSheetId="8">#REF!</definedName>
    <definedName name="车位配套类型" localSheetId="33">#REF!</definedName>
    <definedName name="车位配套类型">'比较法-车位'!$B$79:$M$79</definedName>
    <definedName name="车位物业等级" localSheetId="8">#REF!</definedName>
    <definedName name="车位物业等级" localSheetId="33">#REF!</definedName>
    <definedName name="车位物业等级">'比较法-车位'!$B$88:$M$88</definedName>
    <definedName name="车位用途" localSheetId="8">#REF!</definedName>
    <definedName name="车位用途" localSheetId="33">#REF!</definedName>
    <definedName name="车位用途">'比较法-车位'!$B$53:$M$53</definedName>
    <definedName name="城镇土地纳税等级分级范围" localSheetId="8">#REF!</definedName>
    <definedName name="城镇土地纳税等级分级范围" localSheetId="33">#REF!</definedName>
    <definedName name="城镇土地纳税等级分级范围">'数据-取费表'!$A$53:$A$63</definedName>
    <definedName name="单价内涵" localSheetId="8">#REF!</definedName>
    <definedName name="单价内涵" localSheetId="33">#REF!</definedName>
    <definedName name="单价内涵">定义!$V$1:$V$3</definedName>
    <definedName name="地类判定" localSheetId="8">#REF!</definedName>
    <definedName name="地类判定" localSheetId="33">#REF!</definedName>
    <definedName name="地类判定">定义!$H$1:$H$9</definedName>
    <definedName name="二级">区片价!$J$1:$J$21</definedName>
    <definedName name="二级分类" localSheetId="8">#REF!</definedName>
    <definedName name="二级分类" localSheetId="33">#REF!</definedName>
    <definedName name="二级分类">修正!$C$19:$C$51</definedName>
    <definedName name="法定最高年限" localSheetId="8">#REF!</definedName>
    <definedName name="法定最高年限" localSheetId="33">#REF!</definedName>
    <definedName name="法定最高年限">定义!$G$1:$G$6</definedName>
    <definedName name="工业公共部分装修" localSheetId="8">#REF!</definedName>
    <definedName name="工业公共部分装修" localSheetId="33">#REF!</definedName>
    <definedName name="工业公共部分装修">'比较法-工业'!$B$95:$M$95</definedName>
    <definedName name="工业基础设施水平" localSheetId="8">#REF!</definedName>
    <definedName name="工业基础设施水平" localSheetId="33">#REF!</definedName>
    <definedName name="工业基础设施水平">'比较法-工业'!$B$102:$M$102</definedName>
    <definedName name="工业建筑结构" localSheetId="8">#REF!</definedName>
    <definedName name="工业建筑结构" localSheetId="33">#REF!</definedName>
    <definedName name="工业建筑结构">'比较法-工业'!$B$93:$M$93</definedName>
    <definedName name="工业建筑类型" localSheetId="8">#REF!</definedName>
    <definedName name="工业建筑类型" localSheetId="33">#REF!</definedName>
    <definedName name="工业建筑类型">'比较法-工业'!$B$88:$M$88</definedName>
    <definedName name="工业交易情况" localSheetId="8">#REF!</definedName>
    <definedName name="工业交易情况" localSheetId="33">#REF!</definedName>
    <definedName name="工业交易情况">'比较法-工业'!$A$55:$M$55</definedName>
    <definedName name="工业内部装修" localSheetId="8">#REF!</definedName>
    <definedName name="工业内部装修" localSheetId="33">#REF!</definedName>
    <definedName name="工业内部装修">'比较法-工业'!$B$104:$M$104</definedName>
    <definedName name="工业物业管理" localSheetId="8">#REF!</definedName>
    <definedName name="工业物业管理" localSheetId="33">#REF!</definedName>
    <definedName name="工业物业管理">'比较法-工业'!$B$100:$M$100</definedName>
    <definedName name="工业用途" localSheetId="8">#REF!</definedName>
    <definedName name="工业用途" localSheetId="33">#REF!</definedName>
    <definedName name="工业用途">'比较法-工业'!$B$57:$M$57</definedName>
    <definedName name="公共配套设施" localSheetId="8">#REF!</definedName>
    <definedName name="公共配套设施" localSheetId="33">#REF!</definedName>
    <definedName name="公共配套设施">定义!$Q$1:$Q$6</definedName>
    <definedName name="估价范围判定" localSheetId="8">#REF!</definedName>
    <definedName name="估价范围判定" localSheetId="33">#REF!</definedName>
    <definedName name="估价范围判定">定义!$D$1:$D$4</definedName>
    <definedName name="估价方法" localSheetId="8">#REF!</definedName>
    <definedName name="估价方法" localSheetId="33">#REF!</definedName>
    <definedName name="估价方法">定义!$B$1:$B$50</definedName>
    <definedName name="环境" localSheetId="8">#REF!</definedName>
    <definedName name="环境" localSheetId="33">#REF!</definedName>
    <definedName name="环境">定义!$S$1:$S$6</definedName>
    <definedName name="基础设施水平" localSheetId="8">#REF!</definedName>
    <definedName name="基础设施水平" localSheetId="33">#REF!</definedName>
    <definedName name="基础设施水平">定义!$R$1:$R$6</definedName>
    <definedName name="季度">基准地价修正!$Q$19:$AD$19</definedName>
    <definedName name="价值类型2" localSheetId="8">#REF!</definedName>
    <definedName name="价值类型2" localSheetId="33">#REF!</definedName>
    <definedName name="价值类型2">定义!$B$54:$B$56</definedName>
    <definedName name="交通便捷度" localSheetId="8">#REF!</definedName>
    <definedName name="交通便捷度" localSheetId="33">#REF!</definedName>
    <definedName name="交通便捷度">定义!$O$1:$O$6</definedName>
    <definedName name="九级">区片价!$Q$1:$Q$51</definedName>
    <definedName name="居住社区成熟度" localSheetId="8">#REF!</definedName>
    <definedName name="居住社区成熟度" localSheetId="33">#REF!</definedName>
    <definedName name="居住社区成熟度">定义!$K$1:$K$6</definedName>
    <definedName name="类别" localSheetId="8">#REF!</definedName>
    <definedName name="类别" localSheetId="33">#REF!</definedName>
    <definedName name="类别">定义!$J$1:$J$3</definedName>
    <definedName name="临街状况" localSheetId="8">#REF!</definedName>
    <definedName name="临街状况" localSheetId="33">#REF!</definedName>
    <definedName name="临街状况">定义!$T$1:$T$5</definedName>
    <definedName name="六级">区片价!$N$1:$N$64</definedName>
    <definedName name="内部装修维护情况" localSheetId="8">#REF!</definedName>
    <definedName name="内部装修维护情况" localSheetId="33">#REF!</definedName>
    <definedName name="内部装修维护情况">定义!$U$1:$U$6</definedName>
    <definedName name="七级">区片价!$O$1:$O$45</definedName>
    <definedName name="七通一平" localSheetId="8">#REF!</definedName>
    <definedName name="七通一平" localSheetId="33">#REF!</definedName>
    <definedName name="七通一平">修正!$A$8:$A$16</definedName>
    <definedName name="区域土地利用方向" localSheetId="8">#REF!</definedName>
    <definedName name="区域土地利用方向" localSheetId="33">#REF!</definedName>
    <definedName name="区域土地利用方向">定义!$P$1:$P$6</definedName>
    <definedName name="三级">区片价!$K$1:$K$26</definedName>
    <definedName name="商业层高" localSheetId="8">#REF!</definedName>
    <definedName name="商业层高" localSheetId="33">#REF!</definedName>
    <definedName name="商业层高">'比较法-商业'!$B$116:$M$116</definedName>
    <definedName name="商业成新度">'比较法-商业'!$B$109:$M$109</definedName>
    <definedName name="商业繁华度" localSheetId="8">#REF!</definedName>
    <definedName name="商业繁华度" localSheetId="33">#REF!</definedName>
    <definedName name="商业繁华度">定义!$L$1:$L$6</definedName>
    <definedName name="商业公共部分装修" localSheetId="8">#REF!</definedName>
    <definedName name="商业公共部分装修" localSheetId="33">#REF!</definedName>
    <definedName name="商业公共部分装修">'比较法-商业'!$B$107:$M$107</definedName>
    <definedName name="商业基础设施水平" localSheetId="8">#REF!</definedName>
    <definedName name="商业基础设施水平" localSheetId="33">#REF!</definedName>
    <definedName name="商业基础设施水平">'比较法-商业'!$B$112:$M$112</definedName>
    <definedName name="商业建筑结构" localSheetId="8">#REF!</definedName>
    <definedName name="商业建筑结构" localSheetId="33">#REF!</definedName>
    <definedName name="商业建筑结构">'比较法-商业'!$B$105:$M$105</definedName>
    <definedName name="商业交易情况" localSheetId="8">#REF!</definedName>
    <definedName name="商业交易情况" localSheetId="33">#REF!</definedName>
    <definedName name="商业交易情况">'比较法-商业'!$A$61:$M$61</definedName>
    <definedName name="商业街名称" localSheetId="8">#REF!</definedName>
    <definedName name="商业街名称" localSheetId="33">#REF!</definedName>
    <definedName name="商业街名称">修正!$C$71:$C$138</definedName>
    <definedName name="商业进深比" localSheetId="8">#REF!</definedName>
    <definedName name="商业进深比" localSheetId="33">#REF!</definedName>
    <definedName name="商业进深比">'比较法-商业'!$B$120:$M$120</definedName>
    <definedName name="商业类型" localSheetId="8">#REF!</definedName>
    <definedName name="商业类型" localSheetId="33">#REF!</definedName>
    <definedName name="商业类型">'比较法-商业'!$B$100:$M$100</definedName>
    <definedName name="商业临街状况" localSheetId="8">#REF!</definedName>
    <definedName name="商业临街状况" localSheetId="33">#REF!</definedName>
    <definedName name="商业临街状况">'比较法-商业'!$B$86:$M$86</definedName>
    <definedName name="商业楼层" localSheetId="8">#REF!</definedName>
    <definedName name="商业楼层" localSheetId="33">#REF!</definedName>
    <definedName name="商业楼层">'比较法-商业'!$B$92:$M$92</definedName>
    <definedName name="商业内部装修" localSheetId="8">#REF!</definedName>
    <definedName name="商业内部装修" localSheetId="33">#REF!</definedName>
    <definedName name="商业内部装修">'比较法-商业'!$B$122:$M$122</definedName>
    <definedName name="商业人流量" localSheetId="8">#REF!</definedName>
    <definedName name="商业人流量" localSheetId="33">#REF!</definedName>
    <definedName name="商业人流量">'比较法-商业'!$B$90:$M$90</definedName>
    <definedName name="商业业态" localSheetId="8">#REF!</definedName>
    <definedName name="商业业态" localSheetId="33">#REF!</definedName>
    <definedName name="商业业态">'比较法-商业'!$B$114:$M$114</definedName>
    <definedName name="商业用途" localSheetId="8">#REF!</definedName>
    <definedName name="商业用途" localSheetId="33">#REF!</definedName>
    <definedName name="商业用途">'比较法-商业'!$B$63:$M$63</definedName>
    <definedName name="十二级">区片价!$T$1:$T$8</definedName>
    <definedName name="十级">区片价!$R$1:$R$32</definedName>
    <definedName name="十一级">区片价!$S$1:$S$21</definedName>
    <definedName name="是否封闭" localSheetId="8">#REF!</definedName>
    <definedName name="是否封闭" localSheetId="33">#REF!</definedName>
    <definedName name="是否封闭">'比较法-仓储'!$B$89:$M$89</definedName>
    <definedName name="是否直接入户" localSheetId="8">#REF!</definedName>
    <definedName name="是否直接入户" localSheetId="33">#REF!</definedName>
    <definedName name="是否直接入户">'比较法-车位'!$B$95:$M$95</definedName>
    <definedName name="四级">区片价!$L$1:$L$33</definedName>
    <definedName name="套工道路等级" localSheetId="8">#REF!</definedName>
    <definedName name="套工道路等级" localSheetId="33">#REF!</definedName>
    <definedName name="套工道路等级">'土地比较法-工业'!$B$97:$M$97</definedName>
    <definedName name="套工地质条件" localSheetId="8">#REF!</definedName>
    <definedName name="套工地质条件" localSheetId="33">#REF!</definedName>
    <definedName name="套工地质条件">'土地比较法-工业'!$B$114:$M$114</definedName>
    <definedName name="套工交易情况" localSheetId="8">#REF!</definedName>
    <definedName name="套工交易情况" localSheetId="33">#REF!</definedName>
    <definedName name="套工交易情况">'土地比较法-住宅、综合'!$A$72:$M$72</definedName>
    <definedName name="套工土地级别" localSheetId="8">#REF!</definedName>
    <definedName name="套工土地级别" localSheetId="33">#REF!</definedName>
    <definedName name="套工土地级别">'土地比较法-工业'!$B$99:$M$99</definedName>
    <definedName name="套工用途" localSheetId="8">#REF!</definedName>
    <definedName name="套工用途" localSheetId="33">#REF!</definedName>
    <definedName name="套工用途">'土地比较法-工业'!$B$70:$M$70</definedName>
    <definedName name="套工宗地开发程度" localSheetId="8">#REF!</definedName>
    <definedName name="套工宗地开发程度" localSheetId="33">#REF!</definedName>
    <definedName name="套工宗地开发程度">'土地比较法-工业'!$B$112:$M$112</definedName>
    <definedName name="套工宗地形状" localSheetId="8">#REF!</definedName>
    <definedName name="套工宗地形状" localSheetId="33">#REF!</definedName>
    <definedName name="套工宗地形状">'土地比较法-工业'!$B$110:$M$110</definedName>
    <definedName name="套综道路等级" localSheetId="8">#REF!</definedName>
    <definedName name="套综道路等级" localSheetId="33">#REF!</definedName>
    <definedName name="套综道路等级">'土地比较法-住宅、综合'!$B$105:$M$105</definedName>
    <definedName name="套综工程地质条件" localSheetId="8">#REF!</definedName>
    <definedName name="套综工程地质条件" localSheetId="33">#REF!</definedName>
    <definedName name="套综工程地质条件">'土地比较法-住宅、综合'!$B$124:$M$124</definedName>
    <definedName name="套综交易情况" localSheetId="8">#REF!</definedName>
    <definedName name="套综交易情况" localSheetId="33">#REF!</definedName>
    <definedName name="套综交易情况">'土地比较法-住宅、综合'!$A$72:$M$72</definedName>
    <definedName name="套综临街宽度及深度" localSheetId="8">#REF!</definedName>
    <definedName name="套综临街宽度及深度" localSheetId="33">#REF!</definedName>
    <definedName name="套综临街宽度及深度">'土地比较法-住宅、综合'!$B$120:$M$120</definedName>
    <definedName name="套综土地级别" localSheetId="8">#REF!</definedName>
    <definedName name="套综土地级别" localSheetId="33">#REF!</definedName>
    <definedName name="套综土地级别">'土地比较法-住宅、综合'!$B$107:$M$107</definedName>
    <definedName name="套综用途" localSheetId="8">#REF!</definedName>
    <definedName name="套综用途" localSheetId="33">#REF!</definedName>
    <definedName name="套综用途">'土地比较法-住宅、综合'!$B$74:$M$74</definedName>
    <definedName name="套综宗地内开发程度" localSheetId="8">#REF!</definedName>
    <definedName name="套综宗地内开发程度" localSheetId="33">#REF!</definedName>
    <definedName name="套综宗地内开发程度">'土地比较法-住宅、综合'!$B$122:$M$122</definedName>
    <definedName name="套综宗地形状" localSheetId="8">#REF!</definedName>
    <definedName name="套综宗地形状" localSheetId="33">#REF!</definedName>
    <definedName name="套综宗地形状">'土地比较法-住宅、综合'!$B$118:$M$118</definedName>
    <definedName name="土地估价师">估价师及机构信息!$D$3:$D$24</definedName>
    <definedName name="土地级别" localSheetId="8">#REF!</definedName>
    <definedName name="土地级别" localSheetId="33">#REF!</definedName>
    <definedName name="土地级别">定义!$C$1:$C$14</definedName>
    <definedName name="土地利用方向">定义!$P$1:$P$6</definedName>
    <definedName name="土地年限区间">定义!$I$1:$I$16</definedName>
    <definedName name="位置" localSheetId="8">#REF!</definedName>
    <definedName name="位置" localSheetId="33">#REF!</definedName>
    <definedName name="位置">定义!$E$2:$E$4</definedName>
    <definedName name="五等判定" localSheetId="8">#REF!</definedName>
    <definedName name="五等判定" localSheetId="33">#REF!</definedName>
    <definedName name="五等判定">定义!$W$1:$W$6</definedName>
    <definedName name="五级">区片价!$M$1:$M$41</definedName>
    <definedName name="项目类型" localSheetId="8">#REF!</definedName>
    <definedName name="项目类型" localSheetId="25">'[1]数据-汇总表'!$C$17:$C$26</definedName>
    <definedName name="项目类型" localSheetId="33">#REF!</definedName>
    <definedName name="项目类型">'数据-汇总表'!$C$17:$C$26</definedName>
    <definedName name="写字楼等级" localSheetId="8">#REF!</definedName>
    <definedName name="写字楼等级" localSheetId="33">#REF!</definedName>
    <definedName name="写字楼等级">'比较法-办公'!$B$113:$M$113</definedName>
    <definedName name="一级">区片价!$I$1:$I$6</definedName>
    <definedName name="一修多修正项2" localSheetId="8">#REF!</definedName>
    <definedName name="一修多修正项2" localSheetId="33">#REF!</definedName>
    <definedName name="一修多修正项2">典型户型修正!$5:$5</definedName>
    <definedName name="一修多修正项3" localSheetId="8">#REF!</definedName>
    <definedName name="一修多修正项3" localSheetId="33">#REF!</definedName>
    <definedName name="一修多修正项3">典型户型修正!$7:$7</definedName>
    <definedName name="一修多修正项4" localSheetId="8">#REF!</definedName>
    <definedName name="一修多修正项4" localSheetId="33">#REF!</definedName>
    <definedName name="一修多修正项4">典型户型修正!$9:$9</definedName>
    <definedName name="一修多修正项5" localSheetId="8">#REF!</definedName>
    <definedName name="一修多修正项5" localSheetId="33">#REF!</definedName>
    <definedName name="一修多修正项5">典型户型修正!$11:$11</definedName>
    <definedName name="一修多修正项6" localSheetId="8">#REF!</definedName>
    <definedName name="一修多修正项6" localSheetId="33">#REF!</definedName>
    <definedName name="一修多修正项6">典型户型修正!$13:$13</definedName>
    <definedName name="一修多修正项7" localSheetId="8">#REF!</definedName>
    <definedName name="一修多修正项7" localSheetId="33">#REF!</definedName>
    <definedName name="一修多修正项7">典型户型修正!$15:$15</definedName>
    <definedName name="一修多修正项8" localSheetId="8">#REF!</definedName>
    <definedName name="一修多修正项8" localSheetId="33">#REF!</definedName>
    <definedName name="一修多修正项8">典型户型修正!$17:$17</definedName>
    <definedName name="用途明细" localSheetId="8">#REF!</definedName>
    <definedName name="用途明细" localSheetId="33">#REF!</definedName>
    <definedName name="用途明细">定义!$A$1:$A$50</definedName>
    <definedName name="有无电梯" localSheetId="8">#REF!</definedName>
    <definedName name="有无电梯" localSheetId="33">#REF!</definedName>
    <definedName name="有无电梯">'比较法-仓储'!$B$84:$M$84</definedName>
    <definedName name="主用途" localSheetId="8">#REF!</definedName>
    <definedName name="主用途" localSheetId="33">#REF!</definedName>
    <definedName name="主用途">定义!$F$1:$F$12</definedName>
    <definedName name="住宅朝向" localSheetId="8">#REF!</definedName>
    <definedName name="住宅朝向" localSheetId="33">#REF!</definedName>
    <definedName name="住宅朝向">'比较法-住宅'!$B$88:$M$88</definedName>
    <definedName name="住宅房型" localSheetId="8">#REF!</definedName>
    <definedName name="住宅房型" localSheetId="33">#REF!</definedName>
    <definedName name="住宅房型">'比较法-住宅'!$B$118:$M$118</definedName>
    <definedName name="住宅公共部分装修" localSheetId="8">#REF!</definedName>
    <definedName name="住宅公共部分装修" localSheetId="33">#REF!</definedName>
    <definedName name="住宅公共部分装修">'比较法-住宅'!$B$109:$M$109</definedName>
    <definedName name="住宅基础设施水平" localSheetId="8">#REF!</definedName>
    <definedName name="住宅基础设施水平" localSheetId="33">#REF!</definedName>
    <definedName name="住宅基础设施水平">'比较法-住宅'!$B$116:$M$116</definedName>
    <definedName name="住宅建筑结构" localSheetId="8">#REF!</definedName>
    <definedName name="住宅建筑结构" localSheetId="33">#REF!</definedName>
    <definedName name="住宅建筑结构">'比较法-住宅'!$B$105:$M$105</definedName>
    <definedName name="住宅建筑类型" localSheetId="8">#REF!</definedName>
    <definedName name="住宅建筑类型" localSheetId="33">#REF!</definedName>
    <definedName name="住宅建筑类型">'比较法-住宅'!$B$100:$M$100</definedName>
    <definedName name="住宅建筑品质" localSheetId="8">#REF!</definedName>
    <definedName name="住宅建筑品质" localSheetId="33">#REF!</definedName>
    <definedName name="住宅建筑品质">'比较法-住宅'!$B$107:$M$107</definedName>
    <definedName name="住宅交易情况" localSheetId="8">#REF!</definedName>
    <definedName name="住宅交易情况" localSheetId="33">#REF!</definedName>
    <definedName name="住宅交易情况">'比较法-住宅'!$A$61:$M$61</definedName>
    <definedName name="住宅楼层" localSheetId="8">#REF!</definedName>
    <definedName name="住宅楼层" localSheetId="33">#REF!</definedName>
    <definedName name="住宅楼层">'比较法-住宅'!$B$86:$M$86</definedName>
    <definedName name="住宅内部装修" localSheetId="8">#REF!</definedName>
    <definedName name="住宅内部装修" localSheetId="33">#REF!</definedName>
    <definedName name="住宅内部装修">'比较法-住宅'!$B$122:$M$122</definedName>
    <definedName name="住宅物业管理" localSheetId="8">#REF!</definedName>
    <definedName name="住宅物业管理" localSheetId="33">#REF!</definedName>
    <definedName name="住宅物业管理">'比较法-住宅'!$B$114:$M$114</definedName>
    <definedName name="住宅用途" localSheetId="8">#REF!</definedName>
    <definedName name="住宅用途" localSheetId="33">#REF!</definedName>
    <definedName name="住宅用途">'比较法-住宅'!$B$63:$M$63</definedName>
    <definedName name="住宅主力户型面积">'比较法-住宅'!$B$120:$M$120</definedName>
    <definedName name="注册房地产估价师" localSheetId="8">#REF!</definedName>
    <definedName name="注册房地产估价师" localSheetId="33">#REF!</definedName>
    <definedName name="注册房地产估价师">估价师及机构信息!$A$3:$A$16</definedName>
  </definedNames>
  <calcPr calcId="181029"/>
</workbook>
</file>

<file path=xl/calcChain.xml><?xml version="1.0" encoding="utf-8"?>
<calcChain xmlns="http://schemas.openxmlformats.org/spreadsheetml/2006/main">
  <c r="B14" i="74" l="1"/>
  <c r="C10" i="39"/>
  <c r="I5" i="39"/>
  <c r="B25" i="31"/>
  <c r="B24" i="31"/>
  <c r="A25" i="31"/>
  <c r="A24" i="31"/>
  <c r="N6" i="1"/>
  <c r="D70" i="39" l="1"/>
  <c r="E70" i="39" s="1"/>
  <c r="F70" i="39" s="1"/>
  <c r="G70" i="39" s="1"/>
  <c r="H70" i="39" s="1"/>
  <c r="I70" i="39" s="1"/>
  <c r="J70" i="39" s="1"/>
  <c r="K70" i="39" s="1"/>
  <c r="L70" i="39" s="1"/>
  <c r="M70" i="39" s="1"/>
  <c r="N70" i="39" s="1"/>
  <c r="O70" i="39" s="1"/>
  <c r="I38" i="39"/>
  <c r="G38" i="39"/>
  <c r="C38" i="39"/>
  <c r="I46" i="39"/>
  <c r="G46" i="39"/>
  <c r="I7" i="39"/>
  <c r="G7" i="39"/>
  <c r="G5" i="39"/>
  <c r="E46" i="39"/>
  <c r="E38" i="39"/>
  <c r="E11" i="39"/>
  <c r="E7" i="39"/>
  <c r="E5" i="39"/>
  <c r="U6" i="83"/>
  <c r="X2" i="83"/>
  <c r="Y2" i="83" s="1"/>
  <c r="X3" i="83"/>
  <c r="Y3" i="83" s="1"/>
  <c r="X4" i="83"/>
  <c r="Y4" i="83" s="1"/>
  <c r="X5" i="83"/>
  <c r="Y5" i="83" s="1"/>
  <c r="X6" i="83"/>
  <c r="Y6" i="83" s="1"/>
  <c r="X7" i="83"/>
  <c r="Y7" i="83" s="1"/>
  <c r="X8" i="83"/>
  <c r="Y8" i="83" s="1"/>
  <c r="X9" i="83"/>
  <c r="Y9" i="83" s="1"/>
  <c r="X10" i="83"/>
  <c r="Y10" i="83" s="1"/>
  <c r="X11" i="83"/>
  <c r="Y11" i="83" s="1"/>
  <c r="X12" i="83"/>
  <c r="Y12" i="83" s="1"/>
  <c r="X13" i="83"/>
  <c r="Y13" i="83" s="1"/>
  <c r="X14" i="83"/>
  <c r="Y14" i="83" s="1"/>
  <c r="X15" i="83"/>
  <c r="Y15" i="83" s="1"/>
  <c r="X16" i="83"/>
  <c r="Y16" i="83" s="1"/>
  <c r="X17" i="83"/>
  <c r="Y17" i="83" s="1"/>
  <c r="X56" i="83"/>
  <c r="Y56" i="83" s="1"/>
  <c r="X55" i="83"/>
  <c r="Y55" i="83" s="1"/>
  <c r="X54" i="83"/>
  <c r="Y54" i="83" s="1"/>
  <c r="U54" i="83"/>
  <c r="Y53" i="83"/>
  <c r="X53" i="83"/>
  <c r="Y52" i="83"/>
  <c r="X52" i="83"/>
  <c r="Y51" i="83"/>
  <c r="X51" i="83"/>
  <c r="Y50" i="83"/>
  <c r="X50" i="83"/>
  <c r="Y49" i="83"/>
  <c r="X49" i="83"/>
  <c r="Y48" i="83"/>
  <c r="X48" i="83"/>
  <c r="U47" i="83"/>
  <c r="X47" i="83" s="1"/>
  <c r="Y47" i="83" s="1"/>
  <c r="X46" i="83"/>
  <c r="Y46" i="83" s="1"/>
  <c r="X45" i="83"/>
  <c r="Y45" i="83" s="1"/>
  <c r="X44" i="83"/>
  <c r="Y44" i="83" s="1"/>
  <c r="X43" i="83"/>
  <c r="Y43" i="83" s="1"/>
  <c r="X42" i="83"/>
  <c r="Y42" i="83" s="1"/>
  <c r="X41" i="83"/>
  <c r="Y41" i="83" s="1"/>
  <c r="X40" i="83"/>
  <c r="Y40" i="83" s="1"/>
  <c r="X39" i="83"/>
  <c r="Y39" i="83" s="1"/>
  <c r="X38" i="83"/>
  <c r="Y38" i="83" s="1"/>
  <c r="U38" i="83"/>
  <c r="Y37" i="83"/>
  <c r="X37" i="83"/>
  <c r="Y36" i="83"/>
  <c r="X36" i="83"/>
  <c r="Y35" i="83"/>
  <c r="X35" i="83"/>
  <c r="Y34" i="83"/>
  <c r="X34" i="83"/>
  <c r="Y33" i="83"/>
  <c r="X33" i="83"/>
  <c r="U32" i="83"/>
  <c r="X32" i="83" s="1"/>
  <c r="Y32" i="83" s="1"/>
  <c r="X31" i="83"/>
  <c r="Y31" i="83" s="1"/>
  <c r="X30" i="83"/>
  <c r="Y30" i="83" s="1"/>
  <c r="X29" i="83"/>
  <c r="Y29" i="83" s="1"/>
  <c r="X28" i="83"/>
  <c r="Y28" i="83" s="1"/>
  <c r="X27" i="83"/>
  <c r="Y27" i="83" s="1"/>
  <c r="X26" i="83"/>
  <c r="Y26" i="83" s="1"/>
  <c r="U26" i="83"/>
  <c r="Y25" i="83"/>
  <c r="X25" i="83"/>
  <c r="U24" i="83"/>
  <c r="X24" i="83" s="1"/>
  <c r="Y24" i="83" s="1"/>
  <c r="X23" i="83"/>
  <c r="Y23" i="83" s="1"/>
  <c r="X22" i="83"/>
  <c r="Y22" i="83" s="1"/>
  <c r="X21" i="83"/>
  <c r="Y21" i="83" s="1"/>
  <c r="X20" i="83"/>
  <c r="Y20" i="83" s="1"/>
  <c r="U20" i="83"/>
  <c r="U19" i="83"/>
  <c r="X19" i="83" s="1"/>
  <c r="Y19" i="83" s="1"/>
  <c r="X18" i="83"/>
  <c r="Y18" i="83" s="1"/>
  <c r="G62" i="43"/>
  <c r="G63" i="43"/>
  <c r="G64" i="43"/>
  <c r="G65" i="43"/>
  <c r="G66" i="43"/>
  <c r="G67" i="43"/>
  <c r="G68" i="43"/>
  <c r="G69" i="43"/>
  <c r="G61" i="43"/>
  <c r="D33" i="43"/>
  <c r="Y6" i="1"/>
  <c r="G19" i="6"/>
  <c r="F19" i="6"/>
  <c r="K14" i="3"/>
  <c r="K15" i="3"/>
  <c r="K16" i="3"/>
  <c r="K17" i="3"/>
  <c r="K18" i="3"/>
  <c r="K19" i="3"/>
  <c r="K20" i="3"/>
  <c r="K21" i="3"/>
  <c r="K22" i="3"/>
  <c r="K23" i="3"/>
  <c r="K24" i="3"/>
  <c r="K25" i="3"/>
  <c r="K26" i="3"/>
  <c r="K27" i="3"/>
  <c r="K28" i="3"/>
  <c r="K29" i="3"/>
  <c r="K30" i="3"/>
  <c r="K31" i="3"/>
  <c r="K32" i="3"/>
  <c r="K13" i="3"/>
  <c r="I14" i="3"/>
  <c r="I15" i="3"/>
  <c r="I16" i="3"/>
  <c r="I17" i="3"/>
  <c r="I18" i="3"/>
  <c r="I19" i="3"/>
  <c r="I20" i="3"/>
  <c r="I21" i="3"/>
  <c r="I22" i="3"/>
  <c r="I23" i="3"/>
  <c r="I24" i="3"/>
  <c r="I25" i="3"/>
  <c r="I26" i="3"/>
  <c r="I27" i="3"/>
  <c r="I28" i="3"/>
  <c r="I29" i="3"/>
  <c r="I30" i="3"/>
  <c r="I31" i="3"/>
  <c r="I32" i="3"/>
  <c r="I13" i="3"/>
  <c r="C14" i="3"/>
  <c r="C15" i="3"/>
  <c r="C16" i="3"/>
  <c r="C17" i="3"/>
  <c r="C18" i="3"/>
  <c r="C19" i="3"/>
  <c r="C20" i="3"/>
  <c r="C21" i="3"/>
  <c r="C22" i="3"/>
  <c r="C23" i="3"/>
  <c r="C24" i="3"/>
  <c r="C25" i="3"/>
  <c r="C26" i="3"/>
  <c r="C27" i="3"/>
  <c r="C28" i="3"/>
  <c r="C29" i="3"/>
  <c r="C30" i="3"/>
  <c r="C31" i="3"/>
  <c r="C32" i="3"/>
  <c r="C13" i="3"/>
  <c r="E48" i="80"/>
  <c r="E40" i="80"/>
  <c r="E39" i="80"/>
  <c r="E51" i="80" s="1"/>
  <c r="E37" i="80"/>
  <c r="C28" i="80"/>
  <c r="C27" i="80" s="1"/>
  <c r="L25" i="80"/>
  <c r="E24" i="80"/>
  <c r="E38" i="80" s="1"/>
  <c r="D24" i="80"/>
  <c r="L23" i="80"/>
  <c r="C23" i="80"/>
  <c r="G22" i="80"/>
  <c r="C22" i="80"/>
  <c r="I22" i="80" s="1"/>
  <c r="C21" i="80"/>
  <c r="H21" i="80" s="1"/>
  <c r="C20" i="80"/>
  <c r="C19" i="80"/>
  <c r="C18" i="80"/>
  <c r="C17" i="80"/>
  <c r="C16" i="80"/>
  <c r="C15" i="80"/>
  <c r="C14" i="80"/>
  <c r="C13" i="80"/>
  <c r="C12" i="80"/>
  <c r="C11" i="80"/>
  <c r="C10" i="80"/>
  <c r="C9" i="80"/>
  <c r="C8" i="80"/>
  <c r="C7" i="80"/>
  <c r="C6" i="80"/>
  <c r="C5" i="80"/>
  <c r="G4" i="80"/>
  <c r="C4" i="80"/>
  <c r="C60" i="78"/>
  <c r="D60" i="78" s="1"/>
  <c r="D53" i="78"/>
  <c r="D52" i="78"/>
  <c r="D51" i="78" s="1"/>
  <c r="B51" i="78"/>
  <c r="B56" i="78" s="1"/>
  <c r="J10" i="80" l="1"/>
  <c r="J7" i="80"/>
  <c r="J11" i="80"/>
  <c r="E36" i="80"/>
  <c r="G5" i="80"/>
  <c r="G23" i="80"/>
  <c r="H23" i="80" s="1"/>
  <c r="I23" i="80" s="1"/>
  <c r="C24" i="80"/>
  <c r="H7" i="80"/>
  <c r="G8" i="80"/>
  <c r="H4" i="80"/>
  <c r="J15" i="80"/>
  <c r="M23" i="80"/>
  <c r="J19" i="80"/>
  <c r="H22" i="80"/>
  <c r="E49" i="80"/>
  <c r="C31" i="80"/>
  <c r="E50" i="80"/>
  <c r="B55" i="78"/>
  <c r="D55" i="78" s="1"/>
  <c r="C51" i="78"/>
  <c r="C56" i="78" s="1"/>
  <c r="C58" i="78" s="1"/>
  <c r="B62" i="78"/>
  <c r="B54" i="78"/>
  <c r="D54" i="78" s="1"/>
  <c r="D56" i="78" s="1"/>
  <c r="G9" i="80" l="1"/>
  <c r="H8" i="80"/>
  <c r="G6" i="80"/>
  <c r="H5" i="80"/>
  <c r="J20" i="80"/>
  <c r="J16" i="80"/>
  <c r="J12" i="80"/>
  <c r="J8" i="80"/>
  <c r="J4" i="80"/>
  <c r="J17" i="80"/>
  <c r="J13" i="80"/>
  <c r="F29" i="80"/>
  <c r="J9" i="80"/>
  <c r="J5" i="80"/>
  <c r="J21" i="80"/>
  <c r="J14" i="80"/>
  <c r="J22" i="80"/>
  <c r="J6" i="80"/>
  <c r="D58" i="78"/>
  <c r="D62" i="78" s="1"/>
  <c r="C62" i="78" s="1"/>
  <c r="H6" i="80" l="1"/>
  <c r="I7" i="80"/>
  <c r="J24" i="80"/>
  <c r="G10" i="80"/>
  <c r="H9" i="80"/>
  <c r="G14" i="73"/>
  <c r="F14" i="73"/>
  <c r="E14" i="73"/>
  <c r="H10" i="80" l="1"/>
  <c r="G1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H11" i="80" l="1"/>
  <c r="G12" i="80"/>
  <c r="G15" i="73"/>
  <c r="F15" i="73"/>
  <c r="E15" i="73"/>
  <c r="G16" i="73"/>
  <c r="F16" i="73"/>
  <c r="E16" i="73"/>
  <c r="G13" i="80" l="1"/>
  <c r="H12" i="80"/>
  <c r="AB32" i="79"/>
  <c r="AA32" i="79"/>
  <c r="Z32" i="79"/>
  <c r="N32" i="79"/>
  <c r="M32" i="79"/>
  <c r="P32" i="79" s="1"/>
  <c r="L32" i="79"/>
  <c r="I32" i="79"/>
  <c r="AC7" i="79"/>
  <c r="AB7" i="79"/>
  <c r="AA7" i="79"/>
  <c r="AD7" i="79" s="1"/>
  <c r="Z7" i="79"/>
  <c r="Y7" i="79"/>
  <c r="O7" i="79"/>
  <c r="N7" i="79"/>
  <c r="M7" i="79"/>
  <c r="P7" i="79" s="1"/>
  <c r="L7" i="79"/>
  <c r="K7" i="79"/>
  <c r="I7" i="79"/>
  <c r="G14" i="80" l="1"/>
  <c r="H13" i="80"/>
  <c r="I10" i="79"/>
  <c r="H14" i="80" l="1"/>
  <c r="G15" i="80"/>
  <c r="I35" i="79"/>
  <c r="I34" i="79"/>
  <c r="N34" i="79"/>
  <c r="M34" i="79"/>
  <c r="P34" i="79" s="1"/>
  <c r="L34" i="79"/>
  <c r="N35" i="79"/>
  <c r="M35" i="79"/>
  <c r="L35" i="79"/>
  <c r="O9" i="79"/>
  <c r="N9" i="79"/>
  <c r="M9" i="79"/>
  <c r="P9" i="79" s="1"/>
  <c r="L9" i="79"/>
  <c r="K9" i="79"/>
  <c r="O10" i="79"/>
  <c r="N10" i="79"/>
  <c r="M10" i="79"/>
  <c r="P10" i="79" s="1"/>
  <c r="L10" i="79"/>
  <c r="K10" i="79"/>
  <c r="H15" i="80" l="1"/>
  <c r="G16" i="80"/>
  <c r="P35" i="79"/>
  <c r="G17" i="80" l="1"/>
  <c r="H16" i="80"/>
  <c r="G17" i="73"/>
  <c r="F17" i="73"/>
  <c r="E17" i="73"/>
  <c r="G18" i="80" l="1"/>
  <c r="H17" i="80"/>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H18" i="80" l="1"/>
  <c r="G19" i="80"/>
  <c r="P38" i="79"/>
  <c r="B10" i="74"/>
  <c r="H19" i="80" l="1"/>
  <c r="G20" i="80"/>
  <c r="H20" i="80"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24" i="80" l="1"/>
  <c r="K19" i="80" s="1"/>
  <c r="L19" i="80" s="1"/>
  <c r="M19" i="80" s="1"/>
  <c r="C7" i="78"/>
  <c r="C6" i="78"/>
  <c r="C5" i="78"/>
  <c r="F13" i="1"/>
  <c r="D13" i="1"/>
  <c r="D12" i="1"/>
  <c r="D11" i="1"/>
  <c r="D10" i="1"/>
  <c r="D9" i="1"/>
  <c r="D8" i="1"/>
  <c r="D7" i="1"/>
  <c r="D6" i="1"/>
  <c r="G24" i="80" l="1"/>
  <c r="K21" i="80"/>
  <c r="L21" i="80" s="1"/>
  <c r="M21" i="80" s="1"/>
  <c r="K22" i="80"/>
  <c r="L22" i="80" s="1"/>
  <c r="M22" i="80" s="1"/>
  <c r="K4" i="80"/>
  <c r="K7" i="80"/>
  <c r="L7" i="80" s="1"/>
  <c r="M7" i="80" s="1"/>
  <c r="K8" i="80"/>
  <c r="L8" i="80" s="1"/>
  <c r="M8" i="80" s="1"/>
  <c r="K5" i="80"/>
  <c r="L5" i="80" s="1"/>
  <c r="M5" i="80" s="1"/>
  <c r="K9" i="80"/>
  <c r="L9" i="80" s="1"/>
  <c r="M9" i="80" s="1"/>
  <c r="K6" i="80"/>
  <c r="L6" i="80" s="1"/>
  <c r="M6" i="80" s="1"/>
  <c r="K10" i="80"/>
  <c r="L10" i="80" s="1"/>
  <c r="M10" i="80" s="1"/>
  <c r="K11" i="80"/>
  <c r="L11" i="80" s="1"/>
  <c r="M11" i="80" s="1"/>
  <c r="K12" i="80"/>
  <c r="L12" i="80" s="1"/>
  <c r="M12" i="80" s="1"/>
  <c r="K13" i="80"/>
  <c r="L13" i="80" s="1"/>
  <c r="M13" i="80" s="1"/>
  <c r="K14" i="80"/>
  <c r="L14" i="80" s="1"/>
  <c r="M14" i="80" s="1"/>
  <c r="K15" i="80"/>
  <c r="L15" i="80" s="1"/>
  <c r="M15" i="80" s="1"/>
  <c r="K16" i="80"/>
  <c r="L16" i="80" s="1"/>
  <c r="M16" i="80" s="1"/>
  <c r="K17" i="80"/>
  <c r="L17" i="80" s="1"/>
  <c r="M17" i="80" s="1"/>
  <c r="K20" i="80"/>
  <c r="L20" i="80" s="1"/>
  <c r="M20" i="80" s="1"/>
  <c r="I2" i="43"/>
  <c r="M1" i="43" s="1"/>
  <c r="K24" i="80" l="1"/>
  <c r="L4"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L24" i="80" l="1"/>
  <c r="M4" i="80"/>
  <c r="AA28" i="79"/>
  <c r="AD28" i="79" s="1"/>
  <c r="T34" i="79"/>
  <c r="W34" i="79" s="1"/>
  <c r="U40" i="79"/>
  <c r="AD41" i="79"/>
  <c r="S42" i="79"/>
  <c r="U44" i="79"/>
  <c r="AD45" i="79"/>
  <c r="AD32" i="79"/>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O24" i="71"/>
  <c r="C24" i="71"/>
  <c r="Q25" i="71"/>
  <c r="F24" i="71"/>
  <c r="F23" i="71" s="1"/>
  <c r="F22" i="71" s="1"/>
  <c r="P25" i="71"/>
  <c r="E24" i="71"/>
  <c r="V24" i="71" s="1"/>
  <c r="E23"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G44" i="43"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G5" i="3" s="1"/>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I5" i="3" s="1"/>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S28" i="31" s="1"/>
  <c r="R29" i="31"/>
  <c r="R30" i="31"/>
  <c r="R31" i="31"/>
  <c r="S31" i="31" s="1"/>
  <c r="R32" i="31"/>
  <c r="S32" i="31" s="1"/>
  <c r="R33" i="31"/>
  <c r="R34" i="31"/>
  <c r="R35" i="31"/>
  <c r="R36" i="31"/>
  <c r="S36" i="31" s="1"/>
  <c r="R37" i="31"/>
  <c r="R38" i="31"/>
  <c r="R39" i="31"/>
  <c r="S39" i="31" s="1"/>
  <c r="R40" i="31"/>
  <c r="S40" i="31" s="1"/>
  <c r="R41" i="31"/>
  <c r="R42" i="31"/>
  <c r="R43" i="31"/>
  <c r="S43" i="31" s="1"/>
  <c r="R44" i="31"/>
  <c r="S44" i="31" s="1"/>
  <c r="R45" i="31"/>
  <c r="R46" i="31"/>
  <c r="R47" i="31"/>
  <c r="R48" i="31"/>
  <c r="S48" i="31" s="1"/>
  <c r="R49" i="31"/>
  <c r="R50" i="31"/>
  <c r="R51" i="31"/>
  <c r="S51" i="31" s="1"/>
  <c r="R52" i="31"/>
  <c r="S52" i="31" s="1"/>
  <c r="R53" i="31"/>
  <c r="R54" i="31"/>
  <c r="R55" i="31"/>
  <c r="R56" i="31"/>
  <c r="S56" i="31" s="1"/>
  <c r="R57" i="31"/>
  <c r="R58" i="31"/>
  <c r="R59" i="31"/>
  <c r="S59" i="31" s="1"/>
  <c r="R60" i="31"/>
  <c r="S60" i="31" s="1"/>
  <c r="R61" i="31"/>
  <c r="R62" i="31"/>
  <c r="R63" i="31"/>
  <c r="S63" i="31" s="1"/>
  <c r="R64" i="31"/>
  <c r="S64" i="31" s="1"/>
  <c r="R65" i="31"/>
  <c r="R66" i="31"/>
  <c r="R67" i="31"/>
  <c r="S67" i="31" s="1"/>
  <c r="R68" i="31"/>
  <c r="S68" i="31" s="1"/>
  <c r="R69" i="31"/>
  <c r="R70" i="31"/>
  <c r="R71" i="31"/>
  <c r="S71" i="31" s="1"/>
  <c r="R72" i="31"/>
  <c r="S72" i="31" s="1"/>
  <c r="R73" i="31"/>
  <c r="R74" i="31"/>
  <c r="R75" i="3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R104" i="31"/>
  <c r="S104" i="31" s="1"/>
  <c r="R105" i="31"/>
  <c r="R106" i="31"/>
  <c r="R107" i="31"/>
  <c r="S107" i="31" s="1"/>
  <c r="R108" i="31"/>
  <c r="S108" i="31" s="1"/>
  <c r="R109" i="31"/>
  <c r="R110" i="31"/>
  <c r="R111" i="31"/>
  <c r="S111" i="31" s="1"/>
  <c r="R112" i="31"/>
  <c r="S112" i="31" s="1"/>
  <c r="R113" i="31"/>
  <c r="R114" i="31"/>
  <c r="R115" i="31"/>
  <c r="S115" i="31" s="1"/>
  <c r="R116" i="31"/>
  <c r="S116" i="31" s="1"/>
  <c r="R117" i="31"/>
  <c r="R118" i="31"/>
  <c r="R119" i="31"/>
  <c r="R120" i="31"/>
  <c r="S120" i="31" s="1"/>
  <c r="R121" i="31"/>
  <c r="R122" i="31"/>
  <c r="R123" i="31"/>
  <c r="S123" i="31" s="1"/>
  <c r="R124" i="31"/>
  <c r="S124" i="31" s="1"/>
  <c r="R125" i="31"/>
  <c r="R126" i="31"/>
  <c r="R127" i="31"/>
  <c r="S127" i="31" s="1"/>
  <c r="R128" i="31"/>
  <c r="S128" i="31" s="1"/>
  <c r="R129" i="31"/>
  <c r="R130" i="31"/>
  <c r="R131" i="31"/>
  <c r="R132" i="31"/>
  <c r="S132" i="31" s="1"/>
  <c r="R133" i="31"/>
  <c r="R134" i="31"/>
  <c r="R135" i="31"/>
  <c r="S135" i="31" s="1"/>
  <c r="R136" i="31"/>
  <c r="S136" i="31" s="1"/>
  <c r="R137" i="31"/>
  <c r="R138" i="31"/>
  <c r="R139" i="31"/>
  <c r="S139" i="31" s="1"/>
  <c r="R140" i="31"/>
  <c r="S140" i="31" s="1"/>
  <c r="R141" i="31"/>
  <c r="R142" i="31"/>
  <c r="R143" i="3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R164" i="31"/>
  <c r="S164" i="31" s="1"/>
  <c r="R165" i="31"/>
  <c r="R166" i="31"/>
  <c r="R167" i="31"/>
  <c r="S167" i="31" s="1"/>
  <c r="R168" i="31"/>
  <c r="S168" i="31" s="1"/>
  <c r="R169" i="31"/>
  <c r="R170" i="31"/>
  <c r="R171" i="31"/>
  <c r="S171" i="31" s="1"/>
  <c r="R172" i="31"/>
  <c r="S172" i="31" s="1"/>
  <c r="R173" i="31"/>
  <c r="R174" i="31"/>
  <c r="R175" i="3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R196" i="31"/>
  <c r="S196" i="31" s="1"/>
  <c r="R197" i="31"/>
  <c r="R198" i="31"/>
  <c r="R199" i="31"/>
  <c r="S199" i="31" s="1"/>
  <c r="R200" i="31"/>
  <c r="S200" i="31" s="1"/>
  <c r="R201" i="31"/>
  <c r="R202" i="31"/>
  <c r="R203" i="31"/>
  <c r="S203" i="31" s="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R504" i="31"/>
  <c r="S504" i="31" s="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M14" i="3"/>
  <c r="BM15" i="3"/>
  <c r="BM16" i="3"/>
  <c r="BM17" i="3"/>
  <c r="BO13" i="3"/>
  <c r="BO14" i="3"/>
  <c r="BO15" i="3"/>
  <c r="BO16" i="3"/>
  <c r="BO5" i="3" s="1"/>
  <c r="BO17" i="3"/>
  <c r="BN13" i="3"/>
  <c r="BN14" i="3"/>
  <c r="BN15" i="3"/>
  <c r="BN16" i="3"/>
  <c r="BN17" i="3"/>
  <c r="BP13" i="3"/>
  <c r="BP14" i="3"/>
  <c r="BP5" i="3" s="1"/>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H5" i="3" s="1"/>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3" i="31"/>
  <c r="S251" i="31"/>
  <c r="S250" i="31"/>
  <c r="S249" i="31"/>
  <c r="S246" i="31"/>
  <c r="S245" i="31"/>
  <c r="S242" i="31"/>
  <c r="S241" i="31"/>
  <c r="S238" i="31"/>
  <c r="S237" i="31"/>
  <c r="S234" i="31"/>
  <c r="S233" i="31"/>
  <c r="S230" i="31"/>
  <c r="S229" i="31"/>
  <c r="S226" i="31"/>
  <c r="S225" i="31"/>
  <c r="S223" i="31"/>
  <c r="S429" i="31"/>
  <c r="S425" i="31"/>
  <c r="S222" i="31"/>
  <c r="S221" i="31"/>
  <c r="S218" i="31"/>
  <c r="S217" i="31"/>
  <c r="S214" i="31"/>
  <c r="S213" i="31"/>
  <c r="S210" i="31"/>
  <c r="S209" i="31"/>
  <c r="S207" i="31"/>
  <c r="S206" i="31"/>
  <c r="S205" i="31"/>
  <c r="S202" i="31"/>
  <c r="S201" i="31"/>
  <c r="S198" i="31"/>
  <c r="S197" i="31"/>
  <c r="S195" i="31"/>
  <c r="S194" i="31"/>
  <c r="S193" i="31"/>
  <c r="S190" i="31"/>
  <c r="S189" i="31"/>
  <c r="S186" i="31"/>
  <c r="S185" i="31"/>
  <c r="S182" i="31"/>
  <c r="S181" i="31"/>
  <c r="S178" i="31"/>
  <c r="S177" i="31"/>
  <c r="S175" i="31"/>
  <c r="S174" i="31"/>
  <c r="S173" i="31"/>
  <c r="S170" i="31"/>
  <c r="S169" i="31"/>
  <c r="S166" i="31"/>
  <c r="S165" i="31"/>
  <c r="S163" i="31"/>
  <c r="S162" i="31"/>
  <c r="S161" i="31"/>
  <c r="S158" i="31"/>
  <c r="S157" i="31"/>
  <c r="S154" i="31"/>
  <c r="S153" i="31"/>
  <c r="S150" i="31"/>
  <c r="S149" i="31"/>
  <c r="S146" i="31"/>
  <c r="S145" i="31"/>
  <c r="S143" i="31"/>
  <c r="S142" i="31"/>
  <c r="S141" i="31"/>
  <c r="S138" i="31"/>
  <c r="S137" i="31"/>
  <c r="S134" i="31"/>
  <c r="S133" i="31"/>
  <c r="S131" i="31"/>
  <c r="S130" i="31"/>
  <c r="S129" i="31"/>
  <c r="S126" i="31"/>
  <c r="S125" i="31"/>
  <c r="S497" i="31"/>
  <c r="S493" i="31"/>
  <c r="S489" i="31"/>
  <c r="S485" i="31"/>
  <c r="S481" i="31"/>
  <c r="S479" i="31"/>
  <c r="S477" i="31"/>
  <c r="S473" i="31"/>
  <c r="S471" i="31"/>
  <c r="S469" i="31"/>
  <c r="S441" i="31"/>
  <c r="S437" i="31"/>
  <c r="S433" i="31"/>
  <c r="S122" i="31"/>
  <c r="S121" i="31"/>
  <c r="S119" i="31"/>
  <c r="S118" i="31"/>
  <c r="S117" i="31"/>
  <c r="S114" i="31"/>
  <c r="S113" i="31"/>
  <c r="S465" i="31"/>
  <c r="S461" i="31"/>
  <c r="S457" i="31"/>
  <c r="S453" i="31"/>
  <c r="S54" i="31"/>
  <c r="S53" i="31"/>
  <c r="S50" i="31"/>
  <c r="S49" i="31"/>
  <c r="S47" i="31"/>
  <c r="S46" i="31"/>
  <c r="S45" i="31"/>
  <c r="S42" i="31"/>
  <c r="S41" i="31"/>
  <c r="S38" i="31"/>
  <c r="S37" i="31"/>
  <c r="S35" i="31"/>
  <c r="S34" i="31"/>
  <c r="S33" i="31"/>
  <c r="S77" i="31"/>
  <c r="S75" i="31"/>
  <c r="S74" i="31"/>
  <c r="S73" i="31"/>
  <c r="S70" i="31"/>
  <c r="S69" i="31"/>
  <c r="S66" i="31"/>
  <c r="S65" i="31"/>
  <c r="S62" i="31"/>
  <c r="S61" i="31"/>
  <c r="S58" i="31"/>
  <c r="S57" i="31"/>
  <c r="S55" i="31"/>
  <c r="S97" i="31"/>
  <c r="S94" i="31"/>
  <c r="S93" i="31"/>
  <c r="S90" i="31"/>
  <c r="S89" i="31"/>
  <c r="S86" i="31"/>
  <c r="S85" i="31"/>
  <c r="S82" i="31"/>
  <c r="S81" i="31"/>
  <c r="S78" i="31"/>
  <c r="S30" i="31"/>
  <c r="S29" i="31"/>
  <c r="S98" i="31"/>
  <c r="S101" i="31"/>
  <c r="S102" i="31"/>
  <c r="S103" i="31"/>
  <c r="S105" i="31"/>
  <c r="S106" i="31"/>
  <c r="S109" i="31"/>
  <c r="S110" i="31"/>
  <c r="S445" i="31"/>
  <c r="S449" i="31"/>
  <c r="S509"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7" i="31"/>
  <c r="S519" i="31"/>
  <c r="S521"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H34" i="35" s="1"/>
  <c r="B77" i="35"/>
  <c r="B75" i="35"/>
  <c r="J24" i="35" s="1"/>
  <c r="AC24" i="35"/>
  <c r="B73" i="35"/>
  <c r="J23" i="35" s="1"/>
  <c r="AC23" i="35" s="1"/>
  <c r="B57" i="35"/>
  <c r="B61" i="35"/>
  <c r="B59" i="35"/>
  <c r="F12" i="35" s="1"/>
  <c r="B131" i="34"/>
  <c r="B129" i="34"/>
  <c r="B127" i="34"/>
  <c r="B99" i="34"/>
  <c r="F32" i="34" s="1"/>
  <c r="B97" i="34"/>
  <c r="B95" i="34"/>
  <c r="B93" i="34"/>
  <c r="B75" i="34"/>
  <c r="F14" i="34" s="1"/>
  <c r="B73" i="34"/>
  <c r="B71" i="34"/>
  <c r="J12" i="34" s="1"/>
  <c r="W12" i="34" s="1"/>
  <c r="B130" i="33"/>
  <c r="B128" i="33"/>
  <c r="J45" i="33" s="1"/>
  <c r="B126" i="33"/>
  <c r="B98" i="33"/>
  <c r="B96" i="33"/>
  <c r="B94" i="33"/>
  <c r="B74" i="33"/>
  <c r="B72" i="33"/>
  <c r="B70" i="33"/>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F46" i="21" s="1"/>
  <c r="B128" i="21"/>
  <c r="J45" i="21"/>
  <c r="W45" i="21" s="1"/>
  <c r="B126" i="21"/>
  <c r="B98" i="21"/>
  <c r="B96" i="21"/>
  <c r="H30" i="21" s="1"/>
  <c r="AB30" i="21" s="1"/>
  <c r="B94" i="21"/>
  <c r="J29" i="21"/>
  <c r="AC29" i="21" s="1"/>
  <c r="B92" i="21"/>
  <c r="H28" i="21" s="1"/>
  <c r="AB28" i="21" s="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5" i="39"/>
  <c r="W45" i="39" s="1"/>
  <c r="J44" i="39"/>
  <c r="J35" i="39"/>
  <c r="AC35" i="39" s="1"/>
  <c r="F35" i="39"/>
  <c r="AA35" i="39" s="1"/>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U31" i="35"/>
  <c r="W22" i="35"/>
  <c r="S31" i="35"/>
  <c r="F36" i="34"/>
  <c r="J35" i="34"/>
  <c r="U34" i="34"/>
  <c r="H39" i="33"/>
  <c r="AB39" i="33" s="1"/>
  <c r="F26" i="33"/>
  <c r="AA26" i="33" s="1"/>
  <c r="U33" i="33"/>
  <c r="S40" i="33"/>
  <c r="W39" i="33"/>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W31" i="39" s="1"/>
  <c r="H27" i="39"/>
  <c r="U27" i="39" s="1"/>
  <c r="J19" i="39"/>
  <c r="AC19" i="39" s="1"/>
  <c r="J17" i="39"/>
  <c r="AC17" i="39" s="1"/>
  <c r="J27" i="39"/>
  <c r="W27" i="39" s="1"/>
  <c r="F27" i="39"/>
  <c r="AA27" i="39" s="1"/>
  <c r="F11" i="21"/>
  <c r="S11" i="21" s="1"/>
  <c r="S40" i="21"/>
  <c r="U34" i="21"/>
  <c r="C25" i="39"/>
  <c r="C15" i="39"/>
  <c r="H32" i="33"/>
  <c r="AB32" i="33"/>
  <c r="H11" i="21"/>
  <c r="U11" i="21" s="1"/>
  <c r="J11" i="21"/>
  <c r="W11" i="21" s="1"/>
  <c r="H37" i="40"/>
  <c r="U37" i="40"/>
  <c r="H36" i="40"/>
  <c r="AB36" i="40" s="1"/>
  <c r="F35" i="40"/>
  <c r="AA35" i="40" s="1"/>
  <c r="H23" i="40"/>
  <c r="AB23" i="40" s="1"/>
  <c r="H17" i="40"/>
  <c r="U17" i="40"/>
  <c r="J15" i="40"/>
  <c r="W15" i="40" s="1"/>
  <c r="J11" i="40"/>
  <c r="AB8" i="39"/>
  <c r="AC12" i="34"/>
  <c r="AB12" i="35"/>
  <c r="AB12" i="36"/>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41" i="33"/>
  <c r="S41" i="33" s="1"/>
  <c r="AA41"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F28" i="21"/>
  <c r="AA28" i="21" s="1"/>
  <c r="J28" i="21"/>
  <c r="U30" i="21"/>
  <c r="J30" i="21"/>
  <c r="AC30" i="21" s="1"/>
  <c r="J44" i="21"/>
  <c r="AC44" i="21" s="1"/>
  <c r="H44" i="21"/>
  <c r="U44" i="21"/>
  <c r="F44" i="21"/>
  <c r="AA44" i="21" s="1"/>
  <c r="H46" i="21"/>
  <c r="U46" i="21" s="1"/>
  <c r="J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J29" i="33"/>
  <c r="H29" i="33"/>
  <c r="U29" i="33" s="1"/>
  <c r="F29" i="33"/>
  <c r="S29" i="33" s="1"/>
  <c r="J31" i="33"/>
  <c r="W31" i="33"/>
  <c r="H31" i="33"/>
  <c r="F31" i="33"/>
  <c r="H45" i="33"/>
  <c r="U45" i="33"/>
  <c r="F45" i="33"/>
  <c r="AA45" i="33" s="1"/>
  <c r="J14" i="34"/>
  <c r="W14" i="34" s="1"/>
  <c r="S14" i="34"/>
  <c r="H14" i="34"/>
  <c r="H30" i="34"/>
  <c r="F30" i="34"/>
  <c r="S30" i="34"/>
  <c r="J30" i="34"/>
  <c r="H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J13" i="40"/>
  <c r="W13" i="40"/>
  <c r="F14" i="37"/>
  <c r="S14" i="37" s="1"/>
  <c r="F27" i="37"/>
  <c r="AA27" i="37"/>
  <c r="F13" i="39"/>
  <c r="J13" i="39"/>
  <c r="W13" i="39" s="1"/>
  <c r="H13" i="39"/>
  <c r="H14" i="40"/>
  <c r="U14" i="40" s="1"/>
  <c r="AB14" i="40"/>
  <c r="J14" i="40"/>
  <c r="W14" i="40" s="1"/>
  <c r="F14" i="40"/>
  <c r="AA14" i="40"/>
  <c r="J14" i="37"/>
  <c r="J27" i="37"/>
  <c r="AC27" i="37" s="1"/>
  <c r="AA44" i="33"/>
  <c r="U46" i="33"/>
  <c r="AA14" i="33"/>
  <c r="J36" i="37"/>
  <c r="AC36" i="37"/>
  <c r="J10" i="36"/>
  <c r="AC10" i="36" s="1"/>
  <c r="AB26" i="33"/>
  <c r="W31" i="34"/>
  <c r="AA14" i="34"/>
  <c r="S45" i="33"/>
  <c r="AB45" i="33"/>
  <c r="S44" i="34"/>
  <c r="BA586" i="3"/>
  <c r="BA585" i="3"/>
  <c r="F17" i="21"/>
  <c r="AA17" i="21" s="1"/>
  <c r="H17" i="21"/>
  <c r="AB17" i="21" s="1"/>
  <c r="F15" i="21"/>
  <c r="S15" i="21" s="1"/>
  <c r="J41" i="39"/>
  <c r="W41" i="39" s="1"/>
  <c r="S35" i="39"/>
  <c r="G544" i="3"/>
  <c r="G536" i="3"/>
  <c r="G535" i="3"/>
  <c r="G532" i="3"/>
  <c r="G528" i="3"/>
  <c r="G527" i="3"/>
  <c r="G523" i="3"/>
  <c r="G514" i="3"/>
  <c r="G510" i="3"/>
  <c r="G508" i="3"/>
  <c r="G500" i="3"/>
  <c r="G496" i="3"/>
  <c r="G584" i="3"/>
  <c r="G576" i="3"/>
  <c r="G572" i="3"/>
  <c r="G568" i="3"/>
  <c r="G564" i="3"/>
  <c r="G560" i="3"/>
  <c r="G554" i="3"/>
  <c r="G550" i="3"/>
  <c r="BL584" i="3"/>
  <c r="BL580" i="3"/>
  <c r="BL576" i="3"/>
  <c r="BL572" i="3"/>
  <c r="BL564" i="3"/>
  <c r="BL560" i="3"/>
  <c r="BL554" i="3"/>
  <c r="BL542" i="3"/>
  <c r="BL538" i="3"/>
  <c r="BL534" i="3"/>
  <c r="BL526" i="3"/>
  <c r="BL522" i="3"/>
  <c r="BL516" i="3"/>
  <c r="BL506" i="3"/>
  <c r="BL502" i="3"/>
  <c r="BL498" i="3"/>
  <c r="BL582" i="3"/>
  <c r="BL578" i="3"/>
  <c r="BL574" i="3"/>
  <c r="BL566" i="3"/>
  <c r="BL562" i="3"/>
  <c r="BL556" i="3"/>
  <c r="BL552" i="3"/>
  <c r="BL544" i="3"/>
  <c r="BL540" i="3"/>
  <c r="BL536" i="3"/>
  <c r="BL532" i="3"/>
  <c r="G529" i="3"/>
  <c r="BL528" i="3"/>
  <c r="BL524" i="3"/>
  <c r="BL518" i="3"/>
  <c r="BL514" i="3"/>
  <c r="BL504" i="3"/>
  <c r="BL500" i="3"/>
  <c r="BL496" i="3"/>
  <c r="G493" i="3"/>
  <c r="BA584" i="3"/>
  <c r="AZ584" i="3" s="1"/>
  <c r="BA582" i="3"/>
  <c r="BA580" i="3"/>
  <c r="AZ580" i="3" s="1"/>
  <c r="BA576" i="3"/>
  <c r="AZ576" i="3" s="1"/>
  <c r="BA574" i="3"/>
  <c r="AZ574" i="3" s="1"/>
  <c r="BA572" i="3"/>
  <c r="BA568" i="3"/>
  <c r="BA566" i="3"/>
  <c r="AZ566" i="3" s="1"/>
  <c r="BA564" i="3"/>
  <c r="AZ564" i="3" s="1"/>
  <c r="BA562" i="3"/>
  <c r="BA560" i="3"/>
  <c r="AZ560" i="3" s="1"/>
  <c r="BA558" i="3"/>
  <c r="AZ558" i="3"/>
  <c r="BA556" i="3"/>
  <c r="AZ556" i="3"/>
  <c r="BA554" i="3"/>
  <c r="AZ554" i="3"/>
  <c r="BA552" i="3"/>
  <c r="AZ552" i="3"/>
  <c r="BA548" i="3"/>
  <c r="BA546" i="3"/>
  <c r="BA542" i="3"/>
  <c r="AZ542" i="3"/>
  <c r="BA538" i="3"/>
  <c r="AZ538" i="3" s="1"/>
  <c r="BA536" i="3"/>
  <c r="AZ536" i="3" s="1"/>
  <c r="BA534" i="3"/>
  <c r="AZ534" i="3"/>
  <c r="BA532" i="3"/>
  <c r="BA530" i="3"/>
  <c r="BA528" i="3"/>
  <c r="BA526" i="3"/>
  <c r="AZ526" i="3" s="1"/>
  <c r="BA522" i="3"/>
  <c r="BA520" i="3"/>
  <c r="BA518" i="3"/>
  <c r="AZ518" i="3" s="1"/>
  <c r="BA514" i="3"/>
  <c r="BA512" i="3"/>
  <c r="BA508" i="3"/>
  <c r="BA506" i="3"/>
  <c r="BA502" i="3"/>
  <c r="BA500" i="3"/>
  <c r="BA496" i="3"/>
  <c r="BA494" i="3"/>
  <c r="BA583" i="3"/>
  <c r="BA581" i="3"/>
  <c r="BA577" i="3"/>
  <c r="BA575" i="3"/>
  <c r="BA573" i="3"/>
  <c r="BA569" i="3"/>
  <c r="BA567" i="3"/>
  <c r="BA565" i="3"/>
  <c r="BA563" i="3"/>
  <c r="BA561" i="3"/>
  <c r="BA559" i="3"/>
  <c r="AZ559" i="3" s="1"/>
  <c r="BA555" i="3"/>
  <c r="BA553" i="3"/>
  <c r="BA549" i="3"/>
  <c r="BA547" i="3"/>
  <c r="BA545" i="3"/>
  <c r="BA541" i="3"/>
  <c r="BA539" i="3"/>
  <c r="BA537" i="3"/>
  <c r="AZ537" i="3" s="1"/>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c r="BQ569" i="3"/>
  <c r="BQ567" i="3"/>
  <c r="BL567" i="3"/>
  <c r="BQ565" i="3"/>
  <c r="BL565" i="3" s="1"/>
  <c r="BQ563" i="3"/>
  <c r="BL563" i="3"/>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Q545" i="3"/>
  <c r="BL545" i="3"/>
  <c r="BQ543" i="3"/>
  <c r="BL543" i="3" s="1"/>
  <c r="BQ541" i="3"/>
  <c r="BL541" i="3"/>
  <c r="AZ541" i="3" s="1"/>
  <c r="BQ539" i="3"/>
  <c r="BL539" i="3" s="1"/>
  <c r="AZ539" i="3" s="1"/>
  <c r="BQ537" i="3"/>
  <c r="BL537" i="3"/>
  <c r="BQ535" i="3"/>
  <c r="BL535" i="3" s="1"/>
  <c r="BQ533" i="3"/>
  <c r="BQ531" i="3"/>
  <c r="BL531" i="3" s="1"/>
  <c r="AZ531" i="3" s="1"/>
  <c r="BQ529" i="3"/>
  <c r="BL529" i="3"/>
  <c r="BQ527" i="3"/>
  <c r="BQ525" i="3"/>
  <c r="BL525" i="3"/>
  <c r="AZ525" i="3" s="1"/>
  <c r="BQ523" i="3"/>
  <c r="BA521" i="3"/>
  <c r="AC521" i="3"/>
  <c r="G521" i="3"/>
  <c r="BQ521" i="3"/>
  <c r="BL521" i="3"/>
  <c r="AZ521" i="3" s="1"/>
  <c r="BL520" i="3"/>
  <c r="AZ520" i="3"/>
  <c r="G517" i="3"/>
  <c r="G515" i="3"/>
  <c r="G513" i="3"/>
  <c r="BQ519" i="3"/>
  <c r="BL519" i="3" s="1"/>
  <c r="AZ519" i="3" s="1"/>
  <c r="BQ517" i="3"/>
  <c r="BL517" i="3" s="1"/>
  <c r="BQ515" i="3"/>
  <c r="BQ513" i="3"/>
  <c r="BL513" i="3"/>
  <c r="BQ511" i="3"/>
  <c r="BL511" i="3" s="1"/>
  <c r="AC509" i="3"/>
  <c r="BQ509" i="3"/>
  <c r="BL509" i="3"/>
  <c r="G507" i="3"/>
  <c r="G505" i="3"/>
  <c r="G501" i="3"/>
  <c r="G499" i="3"/>
  <c r="G497" i="3"/>
  <c r="BQ507" i="3"/>
  <c r="BQ505" i="3"/>
  <c r="BL505" i="3" s="1"/>
  <c r="AZ505" i="3" s="1"/>
  <c r="BQ503" i="3"/>
  <c r="BQ501" i="3"/>
  <c r="BL501" i="3" s="1"/>
  <c r="AZ501" i="3" s="1"/>
  <c r="BQ499" i="3"/>
  <c r="BL499" i="3"/>
  <c r="BQ497" i="3"/>
  <c r="BL497" i="3" s="1"/>
  <c r="AZ497" i="3" s="1"/>
  <c r="BQ495" i="3"/>
  <c r="BL495" i="3"/>
  <c r="BQ493" i="3"/>
  <c r="S505" i="31"/>
  <c r="S503"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J36" i="40"/>
  <c r="W36" i="40"/>
  <c r="H19" i="37"/>
  <c r="AB19" i="37" s="1"/>
  <c r="H42" i="33"/>
  <c r="AB42" i="33" s="1"/>
  <c r="J43" i="33"/>
  <c r="AC43" i="33" s="1"/>
  <c r="S27" i="31"/>
  <c r="S26" i="31"/>
  <c r="W23" i="35"/>
  <c r="U26" i="37"/>
  <c r="AC36" i="34"/>
  <c r="AA13" i="33"/>
  <c r="AC31"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AA25" i="21"/>
  <c r="H19" i="40"/>
  <c r="U19" i="40" s="1"/>
  <c r="F88" i="40"/>
  <c r="G88" i="40" s="1"/>
  <c r="F19" i="40"/>
  <c r="S19" i="40" s="1"/>
  <c r="S14" i="40"/>
  <c r="AC13" i="40"/>
  <c r="AB33" i="40"/>
  <c r="AC43" i="39"/>
  <c r="W43" i="39"/>
  <c r="U45" i="39"/>
  <c r="AB45" i="39"/>
  <c r="AB44" i="39"/>
  <c r="U44" i="39"/>
  <c r="G100" i="39"/>
  <c r="W37" i="39"/>
  <c r="H25" i="39"/>
  <c r="AB25" i="39" s="1"/>
  <c r="J25" i="39"/>
  <c r="W25" i="39" s="1"/>
  <c r="F25" i="39"/>
  <c r="AA25" i="39" s="1"/>
  <c r="F15" i="39"/>
  <c r="AA15" i="39" s="1"/>
  <c r="H15" i="39"/>
  <c r="U15" i="39" s="1"/>
  <c r="J15" i="39"/>
  <c r="W15" i="39" s="1"/>
  <c r="H41" i="39"/>
  <c r="AB41" i="39" s="1"/>
  <c r="AB34" i="39"/>
  <c r="J19" i="40"/>
  <c r="AC19" i="40" s="1"/>
  <c r="J50" i="40"/>
  <c r="H103" i="9"/>
  <c r="D8" i="53" s="1"/>
  <c r="B16" i="53"/>
  <c r="B33" i="72" s="1"/>
  <c r="W35" i="40"/>
  <c r="A118" i="9"/>
  <c r="A4" i="52"/>
  <c r="B41" i="72" s="1"/>
  <c r="G4" i="4"/>
  <c r="I4" i="4"/>
  <c r="A2" i="9"/>
  <c r="F61" i="43"/>
  <c r="H64" i="43" s="1"/>
  <c r="BL549" i="3"/>
  <c r="AZ549" i="3" s="1"/>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97"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86" i="3"/>
  <c r="AZ500"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BL358" i="3"/>
  <c r="AZ358" i="3"/>
  <c r="G359" i="3"/>
  <c r="BA361" i="3"/>
  <c r="BL362" i="3"/>
  <c r="AZ362" i="3" s="1"/>
  <c r="G363" i="3"/>
  <c r="BA365" i="3"/>
  <c r="AZ365" i="3"/>
  <c r="BL366" i="3"/>
  <c r="G367" i="3"/>
  <c r="BA369" i="3"/>
  <c r="AZ369" i="3"/>
  <c r="BL370" i="3"/>
  <c r="G371" i="3"/>
  <c r="BA373" i="3"/>
  <c r="AZ373" i="3"/>
  <c r="BL374" i="3"/>
  <c r="AZ374" i="3" s="1"/>
  <c r="G375" i="3"/>
  <c r="BA377" i="3"/>
  <c r="AZ269" i="3"/>
  <c r="BA379" i="3"/>
  <c r="AZ379" i="3" s="1"/>
  <c r="BL380" i="3"/>
  <c r="G381" i="3"/>
  <c r="BA383" i="3"/>
  <c r="AZ383" i="3" s="1"/>
  <c r="BL384" i="3"/>
  <c r="G385" i="3"/>
  <c r="BA387" i="3"/>
  <c r="BL388" i="3"/>
  <c r="AZ388" i="3" s="1"/>
  <c r="G389" i="3"/>
  <c r="BA391" i="3"/>
  <c r="BL392" i="3"/>
  <c r="AZ392" i="3" s="1"/>
  <c r="G393" i="3"/>
  <c r="BM5" i="3"/>
  <c r="BD5" i="3"/>
  <c r="AZ325" i="3"/>
  <c r="AZ341" i="3"/>
  <c r="AC5" i="3"/>
  <c r="AZ506" i="3"/>
  <c r="AZ496" i="3"/>
  <c r="G548" i="3"/>
  <c r="G538" i="3"/>
  <c r="G520" i="3"/>
  <c r="G502" i="3"/>
  <c r="BN5" i="3"/>
  <c r="BE5" i="3"/>
  <c r="G17" i="3"/>
  <c r="BT5" i="3"/>
  <c r="AZ356" i="3"/>
  <c r="AZ368" i="3"/>
  <c r="BB5" i="3"/>
  <c r="G509" i="3"/>
  <c r="BL493" i="3"/>
  <c r="AZ493" i="3"/>
  <c r="U36" i="40"/>
  <c r="F83" i="43"/>
  <c r="H85" i="43" s="1"/>
  <c r="F50" i="43"/>
  <c r="H54" i="43" s="1"/>
  <c r="F72" i="43"/>
  <c r="H75" i="43" s="1"/>
  <c r="S14" i="35"/>
  <c r="U43" i="21"/>
  <c r="U35" i="21"/>
  <c r="AC35" i="2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248" i="3"/>
  <c r="AZ259" i="3"/>
  <c r="AZ271" i="3"/>
  <c r="AZ133" i="3"/>
  <c r="AZ110" i="3"/>
  <c r="F23" i="39"/>
  <c r="S23" i="39" s="1"/>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B33" i="36"/>
  <c r="U33" i="36"/>
  <c r="AC39" i="40"/>
  <c r="W39" i="40"/>
  <c r="AZ465" i="3"/>
  <c r="W12" i="33"/>
  <c r="AC12" i="33"/>
  <c r="AA32" i="36"/>
  <c r="S32" i="36"/>
  <c r="U30" i="33"/>
  <c r="AC13" i="34"/>
  <c r="AA47" i="34"/>
  <c r="W28" i="37"/>
  <c r="F12" i="33"/>
  <c r="H12" i="39"/>
  <c r="AB12" i="39" s="1"/>
  <c r="F39" i="40"/>
  <c r="BA14" i="3"/>
  <c r="AZ250" i="3"/>
  <c r="AZ286"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S43" i="39"/>
  <c r="U35" i="39"/>
  <c r="F32" i="39"/>
  <c r="S32" i="39" s="1"/>
  <c r="F106" i="39"/>
  <c r="G106" i="39" s="1"/>
  <c r="H106" i="39" s="1"/>
  <c r="I106" i="39" s="1"/>
  <c r="J106" i="39" s="1"/>
  <c r="K106" i="39" s="1"/>
  <c r="L106" i="39" s="1"/>
  <c r="M106" i="39" s="1"/>
  <c r="U31" i="39"/>
  <c r="J21" i="39"/>
  <c r="W21" i="39" s="1"/>
  <c r="F21" i="39"/>
  <c r="S21" i="39" s="1"/>
  <c r="G94" i="39"/>
  <c r="H21" i="39"/>
  <c r="AB21" i="39" s="1"/>
  <c r="AA12" i="39"/>
  <c r="AC13" i="39"/>
  <c r="U13" i="36"/>
  <c r="U26" i="36"/>
  <c r="S33" i="36"/>
  <c r="AA26" i="36"/>
  <c r="AA34" i="36"/>
  <c r="AC26" i="36"/>
  <c r="AA22" i="36"/>
  <c r="W14" i="36"/>
  <c r="AB14" i="36"/>
  <c r="U22" i="36"/>
  <c r="S16" i="36"/>
  <c r="AA25" i="36"/>
  <c r="S24" i="36"/>
  <c r="AB20" i="36"/>
  <c r="U16" i="36"/>
  <c r="S14" i="36"/>
  <c r="AA25"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AA14" i="21"/>
  <c r="D120" i="9"/>
  <c r="D121" i="9" s="1"/>
  <c r="D7" i="52" s="1"/>
  <c r="C18" i="9"/>
  <c r="D18" i="9" s="1"/>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U13" i="39"/>
  <c r="AB13" i="39"/>
  <c r="AA13" i="39"/>
  <c r="S13" i="39"/>
  <c r="S14" i="39"/>
  <c r="AA14" i="39"/>
  <c r="U43" i="39"/>
  <c r="AB43" i="39"/>
  <c r="S27" i="39"/>
  <c r="AA45" i="39"/>
  <c r="W34"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S28" i="21"/>
  <c r="AC34" i="21"/>
  <c r="AB36" i="21"/>
  <c r="W30" i="40"/>
  <c r="C19" i="39"/>
  <c r="C15" i="40"/>
  <c r="C17"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H19" i="33"/>
  <c r="AB19" i="33" s="1"/>
  <c r="G81" i="33"/>
  <c r="H17" i="33"/>
  <c r="U17" i="33" s="1"/>
  <c r="F17" i="33"/>
  <c r="S17" i="33" s="1"/>
  <c r="W17" i="33"/>
  <c r="AC17" i="33"/>
  <c r="S37" i="21"/>
  <c r="AB15" i="21"/>
  <c r="J23" i="2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J15" i="67"/>
  <c r="B11" i="76"/>
  <c r="M23" i="15"/>
  <c r="M26" i="15"/>
  <c r="F36" i="67"/>
  <c r="F6" i="15"/>
  <c r="F20" i="31"/>
  <c r="F9" i="15"/>
  <c r="M24" i="67"/>
  <c r="F16" i="15"/>
  <c r="M6" i="67"/>
  <c r="J15" i="15"/>
  <c r="M24" i="15"/>
  <c r="M22" i="67"/>
  <c r="L47" i="67"/>
  <c r="F38" i="67"/>
  <c r="F7" i="15"/>
  <c r="F40" i="67"/>
  <c r="E10" i="76"/>
  <c r="E9" i="76"/>
  <c r="F6" i="73"/>
  <c r="E2" i="69"/>
  <c r="F26" i="15"/>
  <c r="E2" i="68"/>
  <c r="B13" i="76"/>
  <c r="F8" i="67"/>
  <c r="B7" i="76"/>
  <c r="M29" i="15"/>
  <c r="AO13" i="1"/>
  <c r="F16" i="67"/>
  <c r="E7" i="76"/>
  <c r="F3" i="73"/>
  <c r="M6" i="15"/>
  <c r="F38" i="15"/>
  <c r="E13" i="76"/>
  <c r="D34" i="9"/>
  <c r="E11" i="76"/>
  <c r="F36" i="15"/>
  <c r="L48" i="15"/>
  <c r="F4" i="73"/>
  <c r="F7" i="73"/>
  <c r="E12" i="76"/>
  <c r="F37" i="15"/>
  <c r="M9" i="67"/>
  <c r="F43" i="67"/>
  <c r="F43" i="15"/>
  <c r="F26" i="67"/>
  <c r="M8" i="15"/>
  <c r="M23" i="67"/>
  <c r="M8" i="67"/>
  <c r="F42" i="15"/>
  <c r="L47" i="15"/>
  <c r="F5" i="73"/>
  <c r="M26" i="67"/>
  <c r="M28" i="67"/>
  <c r="B8" i="76"/>
  <c r="L48" i="67"/>
  <c r="B10" i="76"/>
  <c r="F40" i="15"/>
  <c r="F13" i="15"/>
  <c r="C76" i="15"/>
  <c r="M28" i="15"/>
  <c r="D35" i="9"/>
  <c r="B12" i="76"/>
  <c r="F7" i="67"/>
  <c r="F8" i="15"/>
  <c r="C76" i="67"/>
  <c r="M22" i="15"/>
  <c r="M9" i="15"/>
  <c r="D6" i="73"/>
  <c r="B9" i="76"/>
  <c r="C7" i="36" l="1"/>
  <c r="C46" i="36" s="1"/>
  <c r="D46" i="36" s="1"/>
  <c r="E46" i="36" s="1"/>
  <c r="F46" i="36" s="1"/>
  <c r="G46" i="36" s="1"/>
  <c r="H46" i="36" s="1"/>
  <c r="I46" i="36" s="1"/>
  <c r="M47" i="9"/>
  <c r="C7" i="35"/>
  <c r="C48" i="35" s="1"/>
  <c r="D48" i="35" s="1"/>
  <c r="E48" i="35" s="1"/>
  <c r="C7" i="40"/>
  <c r="C63" i="40" s="1"/>
  <c r="D63" i="40" s="1"/>
  <c r="C7" i="39"/>
  <c r="C67" i="39" s="1"/>
  <c r="C7" i="34"/>
  <c r="C7" i="21"/>
  <c r="C42" i="1"/>
  <c r="C24" i="12" s="1"/>
  <c r="J51" i="15"/>
  <c r="C40" i="11"/>
  <c r="F11" i="39"/>
  <c r="S11" i="39" s="1"/>
  <c r="J11" i="39"/>
  <c r="H11" i="39"/>
  <c r="AC12" i="39"/>
  <c r="W12" i="39"/>
  <c r="U14" i="39"/>
  <c r="U12" i="39"/>
  <c r="U42" i="39"/>
  <c r="AB39" i="39"/>
  <c r="W29" i="39"/>
  <c r="U25" i="39"/>
  <c r="W23" i="39"/>
  <c r="AA23" i="39"/>
  <c r="W19" i="39"/>
  <c r="U9" i="39"/>
  <c r="U38" i="39"/>
  <c r="AC32" i="39"/>
  <c r="AC31" i="39"/>
  <c r="S42" i="39"/>
  <c r="U40" i="39"/>
  <c r="W40" i="39"/>
  <c r="S36" i="39"/>
  <c r="AA36" i="39"/>
  <c r="F37" i="39"/>
  <c r="J36" i="39"/>
  <c r="AC36" i="39" s="1"/>
  <c r="H36" i="39"/>
  <c r="H37" i="39"/>
  <c r="U29" i="39"/>
  <c r="AC27" i="39"/>
  <c r="AB27" i="39"/>
  <c r="AC25" i="39"/>
  <c r="AA21" i="39"/>
  <c r="U21" i="39"/>
  <c r="U19" i="39"/>
  <c r="S19" i="39"/>
  <c r="W17" i="39"/>
  <c r="U17" i="39"/>
  <c r="S17" i="39"/>
  <c r="S15" i="39"/>
  <c r="W8" i="39"/>
  <c r="U41" i="39"/>
  <c r="AA41" i="39"/>
  <c r="AC41" i="39"/>
  <c r="S40" i="39"/>
  <c r="AA39" i="39"/>
  <c r="S9" i="39"/>
  <c r="W9" i="39"/>
  <c r="M20" i="67"/>
  <c r="F34" i="67"/>
  <c r="F62" i="67" s="1"/>
  <c r="C40" i="68"/>
  <c r="C21" i="68"/>
  <c r="BA16" i="3"/>
  <c r="BC5" i="3"/>
  <c r="G33" i="3"/>
  <c r="BA22" i="3"/>
  <c r="BA17" i="3"/>
  <c r="AZ17" i="3" s="1"/>
  <c r="BA15" i="3"/>
  <c r="G18" i="3"/>
  <c r="G26" i="3"/>
  <c r="BK5" i="3"/>
  <c r="G23" i="3"/>
  <c r="G29" i="6"/>
  <c r="BL14" i="3"/>
  <c r="AZ14" i="3" s="1"/>
  <c r="F29" i="6"/>
  <c r="BA18" i="3"/>
  <c r="BL21" i="3"/>
  <c r="C23" i="40"/>
  <c r="B57" i="43"/>
  <c r="B77" i="43"/>
  <c r="B79" i="43"/>
  <c r="C29" i="39"/>
  <c r="U19" i="33"/>
  <c r="S23" i="21"/>
  <c r="W15" i="21"/>
  <c r="AZ565" i="3"/>
  <c r="AZ575" i="3"/>
  <c r="AC47" i="34"/>
  <c r="W47" i="34"/>
  <c r="W11" i="35"/>
  <c r="AC11" i="35"/>
  <c r="AC11" i="40"/>
  <c r="W11" i="40"/>
  <c r="F28" i="34"/>
  <c r="J28" i="34"/>
  <c r="H28" i="34"/>
  <c r="W45" i="33"/>
  <c r="AC45" i="33"/>
  <c r="AB9" i="40"/>
  <c r="U9" i="40"/>
  <c r="H13" i="40"/>
  <c r="F13" i="40"/>
  <c r="BL568" i="3"/>
  <c r="BA551" i="3"/>
  <c r="AZ551" i="3" s="1"/>
  <c r="BA550" i="3"/>
  <c r="AZ550" i="3" s="1"/>
  <c r="BL548" i="3"/>
  <c r="BL546" i="3"/>
  <c r="AZ546" i="3" s="1"/>
  <c r="BA544" i="3"/>
  <c r="AZ544" i="3" s="1"/>
  <c r="BA543" i="3"/>
  <c r="AZ543" i="3" s="1"/>
  <c r="BA540" i="3"/>
  <c r="AZ540" i="3" s="1"/>
  <c r="BA535" i="3"/>
  <c r="BL533" i="3"/>
  <c r="AZ533" i="3" s="1"/>
  <c r="BL530" i="3"/>
  <c r="AZ530" i="3" s="1"/>
  <c r="BA527" i="3"/>
  <c r="BA524" i="3"/>
  <c r="AZ524" i="3" s="1"/>
  <c r="BA517" i="3"/>
  <c r="BA516" i="3"/>
  <c r="AZ516" i="3" s="1"/>
  <c r="BL512" i="3"/>
  <c r="AZ512" i="3" s="1"/>
  <c r="BL510" i="3"/>
  <c r="BA510" i="3"/>
  <c r="AZ510" i="3" s="1"/>
  <c r="BA509" i="3"/>
  <c r="AZ509" i="3" s="1"/>
  <c r="BL508" i="3"/>
  <c r="AZ508" i="3" s="1"/>
  <c r="BA507" i="3"/>
  <c r="BA504" i="3"/>
  <c r="AZ504" i="3" s="1"/>
  <c r="BA499" i="3"/>
  <c r="AZ499" i="3" s="1"/>
  <c r="BA498" i="3"/>
  <c r="AZ498" i="3" s="1"/>
  <c r="BL494" i="3"/>
  <c r="AZ494" i="3" s="1"/>
  <c r="AZ387" i="3"/>
  <c r="AZ370" i="3"/>
  <c r="AZ338" i="3"/>
  <c r="AZ371" i="3"/>
  <c r="AZ305" i="3"/>
  <c r="AZ155" i="3"/>
  <c r="AZ360" i="3"/>
  <c r="AZ535" i="3"/>
  <c r="AZ513" i="3"/>
  <c r="AZ528" i="3"/>
  <c r="AZ548" i="3"/>
  <c r="S11" i="36"/>
  <c r="W28" i="21"/>
  <c r="AC28" i="21"/>
  <c r="AC33" i="33"/>
  <c r="W33" i="33"/>
  <c r="H36" i="35"/>
  <c r="J36" i="35"/>
  <c r="AC36" i="35" s="1"/>
  <c r="J39" i="37"/>
  <c r="H39" i="37"/>
  <c r="BA579" i="3"/>
  <c r="AZ579" i="3" s="1"/>
  <c r="BA578" i="3"/>
  <c r="BL575" i="3"/>
  <c r="BA571" i="3"/>
  <c r="AZ571" i="3" s="1"/>
  <c r="BL570" i="3"/>
  <c r="BA570" i="3"/>
  <c r="AZ570" i="3" s="1"/>
  <c r="AB36" i="33"/>
  <c r="AA19" i="33"/>
  <c r="AZ391" i="3"/>
  <c r="AZ364" i="3"/>
  <c r="AZ329" i="3"/>
  <c r="AZ304" i="3"/>
  <c r="AZ306" i="3"/>
  <c r="AZ529" i="3"/>
  <c r="AZ568" i="3"/>
  <c r="AZ502" i="3"/>
  <c r="AC44" i="39"/>
  <c r="W44" i="39"/>
  <c r="AC28" i="36"/>
  <c r="W28" i="36"/>
  <c r="H23" i="36"/>
  <c r="J23" i="36"/>
  <c r="F23" i="36"/>
  <c r="AZ384" i="3"/>
  <c r="AZ357" i="3"/>
  <c r="AZ322" i="3"/>
  <c r="AZ313" i="3"/>
  <c r="AZ394" i="3"/>
  <c r="W44" i="33"/>
  <c r="AZ511" i="3"/>
  <c r="AZ532" i="3"/>
  <c r="AZ572" i="3"/>
  <c r="AZ582" i="3"/>
  <c r="AA14" i="37"/>
  <c r="H31" i="21"/>
  <c r="J31" i="21"/>
  <c r="AC28" i="35"/>
  <c r="W28" i="35"/>
  <c r="U34" i="35"/>
  <c r="AB34" i="35"/>
  <c r="J32" i="40"/>
  <c r="H32" i="40"/>
  <c r="BL503" i="3"/>
  <c r="AZ503" i="3" s="1"/>
  <c r="BL515" i="3"/>
  <c r="AZ515" i="3" s="1"/>
  <c r="BL523" i="3"/>
  <c r="AZ523" i="3" s="1"/>
  <c r="BL527" i="3"/>
  <c r="BL547" i="3"/>
  <c r="AZ547" i="3" s="1"/>
  <c r="BL569" i="3"/>
  <c r="AZ569" i="3" s="1"/>
  <c r="F30" i="21"/>
  <c r="S38" i="33"/>
  <c r="J34" i="36"/>
  <c r="W34" i="36" s="1"/>
  <c r="AB39" i="40"/>
  <c r="U35" i="33"/>
  <c r="BL585" i="3"/>
  <c r="AZ585" i="3" s="1"/>
  <c r="B75" i="43"/>
  <c r="H23" i="35"/>
  <c r="J24" i="36"/>
  <c r="H24" i="36"/>
  <c r="AZ419" i="3"/>
  <c r="BL550" i="3"/>
  <c r="F23" i="35"/>
  <c r="S27" i="35"/>
  <c r="BL587" i="3"/>
  <c r="AZ587" i="3" s="1"/>
  <c r="BL586" i="3"/>
  <c r="AZ586" i="3" s="1"/>
  <c r="J9" i="34"/>
  <c r="J12" i="35"/>
  <c r="F44" i="39"/>
  <c r="W31" i="35"/>
  <c r="AC31" i="35"/>
  <c r="BA439" i="3"/>
  <c r="AZ439" i="3" s="1"/>
  <c r="BL454" i="3"/>
  <c r="BL459" i="3"/>
  <c r="G461" i="3"/>
  <c r="BA467" i="3"/>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G220" i="3"/>
  <c r="BL220" i="3"/>
  <c r="BL221" i="3"/>
  <c r="G222" i="3"/>
  <c r="G231"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G443" i="3"/>
  <c r="BA446" i="3"/>
  <c r="BA450" i="3"/>
  <c r="BA453" i="3"/>
  <c r="AZ453" i="3" s="1"/>
  <c r="AZ471" i="3"/>
  <c r="AZ487" i="3"/>
  <c r="BL23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AZ426" i="3" s="1"/>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A333" i="3"/>
  <c r="BL346" i="3"/>
  <c r="AZ346" i="3" s="1"/>
  <c r="BA384" i="3"/>
  <c r="BA395" i="3"/>
  <c r="AZ395" i="3" s="1"/>
  <c r="BA208" i="3"/>
  <c r="AZ208" i="3" s="1"/>
  <c r="BA211" i="3"/>
  <c r="AZ211" i="3" s="1"/>
  <c r="BL213" i="3"/>
  <c r="BL215" i="3"/>
  <c r="BA217" i="3"/>
  <c r="AZ217" i="3" s="1"/>
  <c r="BA218" i="3"/>
  <c r="AZ218" i="3" s="1"/>
  <c r="BL218" i="3"/>
  <c r="BA221" i="3"/>
  <c r="BA228" i="3"/>
  <c r="AZ228" i="3" s="1"/>
  <c r="AZ125" i="3"/>
  <c r="G574" i="3"/>
  <c r="BL16" i="3"/>
  <c r="AZ16" i="3" s="1"/>
  <c r="BA401" i="3"/>
  <c r="BA403" i="3"/>
  <c r="AZ403" i="3" s="1"/>
  <c r="BA404" i="3"/>
  <c r="AZ404" i="3" s="1"/>
  <c r="BA405" i="3"/>
  <c r="AZ405" i="3" s="1"/>
  <c r="BL410" i="3"/>
  <c r="G412" i="3"/>
  <c r="G418" i="3"/>
  <c r="BA422" i="3"/>
  <c r="AZ422" i="3" s="1"/>
  <c r="G429" i="3"/>
  <c r="BL431" i="3"/>
  <c r="AZ431" i="3" s="1"/>
  <c r="G433" i="3"/>
  <c r="BL434" i="3"/>
  <c r="G436" i="3"/>
  <c r="G437" i="3"/>
  <c r="BL438" i="3"/>
  <c r="BL439" i="3"/>
  <c r="BA441" i="3"/>
  <c r="AZ441" i="3" s="1"/>
  <c r="BL445" i="3"/>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BA386" i="3"/>
  <c r="AZ386" i="3" s="1"/>
  <c r="G397" i="3"/>
  <c r="G210" i="3"/>
  <c r="BA216" i="3"/>
  <c r="AZ216" i="3" s="1"/>
  <c r="BA219" i="3"/>
  <c r="AZ219" i="3" s="1"/>
  <c r="BL222" i="3"/>
  <c r="G223" i="3"/>
  <c r="G234" i="3"/>
  <c r="AZ301"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144" i="3"/>
  <c r="AZ144" i="3" s="1"/>
  <c r="G152" i="3"/>
  <c r="BA153" i="3"/>
  <c r="BL181" i="3"/>
  <c r="BA201" i="3"/>
  <c r="AZ201" i="3" s="1"/>
  <c r="C55" i="71"/>
  <c r="D54" i="71"/>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L154" i="3"/>
  <c r="G156" i="3"/>
  <c r="BL157" i="3"/>
  <c r="AZ157" i="3" s="1"/>
  <c r="BA177" i="3"/>
  <c r="AZ177" i="3" s="1"/>
  <c r="BL198" i="3"/>
  <c r="AZ126" i="3"/>
  <c r="AZ70" i="3"/>
  <c r="BA222" i="3"/>
  <c r="BA224" i="3"/>
  <c r="AZ224" i="3" s="1"/>
  <c r="BA226" i="3"/>
  <c r="BA237" i="3"/>
  <c r="AZ237" i="3" s="1"/>
  <c r="BL240" i="3"/>
  <c r="AZ240" i="3" s="1"/>
  <c r="BA242" i="3"/>
  <c r="AZ242" i="3" s="1"/>
  <c r="BL245" i="3"/>
  <c r="AZ245" i="3" s="1"/>
  <c r="BL255" i="3"/>
  <c r="AZ255" i="3" s="1"/>
  <c r="G257" i="3"/>
  <c r="BL257" i="3"/>
  <c r="AZ257" i="3" s="1"/>
  <c r="BL258" i="3"/>
  <c r="G259" i="3"/>
  <c r="BA262" i="3"/>
  <c r="AZ262" i="3" s="1"/>
  <c r="BL265" i="3"/>
  <c r="AZ265" i="3" s="1"/>
  <c r="BA273" i="3"/>
  <c r="AZ273" i="3" s="1"/>
  <c r="BA278" i="3"/>
  <c r="AZ278" i="3" s="1"/>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AZ150" i="3" s="1"/>
  <c r="BL155" i="3"/>
  <c r="AZ52" i="3"/>
  <c r="AZ65" i="3"/>
  <c r="U21" i="33"/>
  <c r="AB21" i="33"/>
  <c r="T32" i="71"/>
  <c r="D32" i="71"/>
  <c r="AA38" i="71"/>
  <c r="AA37" i="71"/>
  <c r="C47" i="71"/>
  <c r="D47" i="71" s="1"/>
  <c r="D46" i="71"/>
  <c r="C67" i="71"/>
  <c r="T68" i="71"/>
  <c r="O68" i="71"/>
  <c r="T76" i="71"/>
  <c r="D76" i="71"/>
  <c r="C75" i="71"/>
  <c r="Y27" i="71"/>
  <c r="Z27" i="71" s="1"/>
  <c r="Y26" i="71"/>
  <c r="Z26" i="71" s="1"/>
  <c r="AA3" i="71"/>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49" i="3"/>
  <c r="G50" i="3"/>
  <c r="BL54" i="3"/>
  <c r="BL55" i="3"/>
  <c r="AZ55" i="3" s="1"/>
  <c r="G57" i="3"/>
  <c r="G58" i="3"/>
  <c r="BA59" i="3"/>
  <c r="G61" i="3"/>
  <c r="BL61" i="3"/>
  <c r="G64" i="3"/>
  <c r="BA64" i="3"/>
  <c r="BA68" i="3"/>
  <c r="AZ68" i="3" s="1"/>
  <c r="BL74" i="3"/>
  <c r="G75" i="3"/>
  <c r="BL75" i="3"/>
  <c r="AZ75" i="3" s="1"/>
  <c r="BA80" i="3"/>
  <c r="BL84" i="3"/>
  <c r="BA91" i="3"/>
  <c r="AZ91" i="3" s="1"/>
  <c r="BL93" i="3"/>
  <c r="BA109" i="3"/>
  <c r="D43" i="71"/>
  <c r="C86" i="71"/>
  <c r="D86" i="71" s="1"/>
  <c r="D87"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4" i="71" s="1"/>
  <c r="D63" i="7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AZ28" i="3" s="1"/>
  <c r="BA31" i="3"/>
  <c r="BA32" i="3"/>
  <c r="BA38" i="3"/>
  <c r="BA41" i="3"/>
  <c r="BA42" i="3"/>
  <c r="BL48" i="3"/>
  <c r="BA51" i="3"/>
  <c r="BL56" i="3"/>
  <c r="BA58" i="3"/>
  <c r="AZ58" i="3" s="1"/>
  <c r="BL59" i="3"/>
  <c r="BL60" i="3"/>
  <c r="BA61" i="3"/>
  <c r="AZ61" i="3" s="1"/>
  <c r="BL69" i="3"/>
  <c r="AZ69" i="3" s="1"/>
  <c r="BL70" i="3"/>
  <c r="BL71" i="3"/>
  <c r="BL72" i="3"/>
  <c r="AZ72" i="3" s="1"/>
  <c r="BL86" i="3"/>
  <c r="AZ86" i="3" s="1"/>
  <c r="F40" i="69"/>
  <c r="C40" i="69"/>
  <c r="T44" i="71"/>
  <c r="P65" i="71"/>
  <c r="P66" i="71"/>
  <c r="AA28" i="71"/>
  <c r="Y25" i="71"/>
  <c r="Z25" i="71" s="1"/>
  <c r="C36" i="71"/>
  <c r="D36" i="71" s="1"/>
  <c r="D35" i="71"/>
  <c r="AB32" i="71"/>
  <c r="Y35" i="71"/>
  <c r="Z35" i="71" s="1"/>
  <c r="S80" i="71"/>
  <c r="B79" i="71"/>
  <c r="B78" i="71" s="1"/>
  <c r="C23" i="71"/>
  <c r="B22" i="71"/>
  <c r="B21" i="71" s="1"/>
  <c r="B20" i="71"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L64" i="3"/>
  <c r="G65" i="3"/>
  <c r="BL65" i="3"/>
  <c r="BL66" i="3"/>
  <c r="BL67" i="3"/>
  <c r="AZ67" i="3" s="1"/>
  <c r="G69" i="3"/>
  <c r="G72" i="3"/>
  <c r="BL73" i="3"/>
  <c r="BA74" i="3"/>
  <c r="AZ74" i="3" s="1"/>
  <c r="BL79" i="3"/>
  <c r="BL81" i="3"/>
  <c r="BA82" i="3"/>
  <c r="AZ82" i="3" s="1"/>
  <c r="BA87" i="3"/>
  <c r="AZ108" i="3"/>
  <c r="AB21" i="37"/>
  <c r="U21" i="37"/>
  <c r="AB27" i="71"/>
  <c r="C51" i="71"/>
  <c r="E39" i="71"/>
  <c r="E40" i="71" s="1"/>
  <c r="U40" i="71" s="1"/>
  <c r="Y37" i="71"/>
  <c r="Z37" i="71" s="1"/>
  <c r="F66" i="71"/>
  <c r="Q67" i="71"/>
  <c r="X25" i="71"/>
  <c r="G103" i="3"/>
  <c r="BA103" i="3"/>
  <c r="AZ103" i="3" s="1"/>
  <c r="BA104" i="3"/>
  <c r="AZ104" i="3" s="1"/>
  <c r="BA106" i="3"/>
  <c r="BL108" i="3"/>
  <c r="BL111" i="3"/>
  <c r="AA27" i="71"/>
  <c r="S28" i="71"/>
  <c r="C83" i="71"/>
  <c r="C79" i="71"/>
  <c r="C71" i="71"/>
  <c r="C39" i="71"/>
  <c r="Y28" i="71"/>
  <c r="Z28" i="71" s="1"/>
  <c r="Y30" i="71"/>
  <c r="Z30" i="71" s="1"/>
  <c r="X28" i="71"/>
  <c r="X32" i="71"/>
  <c r="AB38" i="71"/>
  <c r="F75" i="71"/>
  <c r="F74" i="71" s="1"/>
  <c r="BL50" i="3"/>
  <c r="AZ50" i="3" s="1"/>
  <c r="BL51" i="3"/>
  <c r="G53" i="3"/>
  <c r="BL53" i="3"/>
  <c r="AZ53" i="3" s="1"/>
  <c r="BA56" i="3"/>
  <c r="AZ56" i="3" s="1"/>
  <c r="BA57" i="3"/>
  <c r="AZ57" i="3" s="1"/>
  <c r="BL58" i="3"/>
  <c r="G60" i="3"/>
  <c r="BA60" i="3"/>
  <c r="AZ60" i="3" s="1"/>
  <c r="BA63" i="3"/>
  <c r="AZ63" i="3" s="1"/>
  <c r="BA66" i="3"/>
  <c r="AZ66" i="3" s="1"/>
  <c r="BA71" i="3"/>
  <c r="AZ71" i="3" s="1"/>
  <c r="G76" i="3"/>
  <c r="BL77" i="3"/>
  <c r="AZ77" i="3" s="1"/>
  <c r="BA79" i="3"/>
  <c r="G82" i="3"/>
  <c r="G83" i="3"/>
  <c r="BA84" i="3"/>
  <c r="AZ84" i="3" s="1"/>
  <c r="BL88" i="3"/>
  <c r="AZ88" i="3" s="1"/>
  <c r="G90" i="3"/>
  <c r="BL90" i="3"/>
  <c r="BL92" i="3"/>
  <c r="G101" i="3"/>
  <c r="BA101" i="3"/>
  <c r="AZ101" i="3" s="1"/>
  <c r="G108" i="3"/>
  <c r="G109" i="3"/>
  <c r="BL112" i="3"/>
  <c r="S21" i="34"/>
  <c r="B68" i="43"/>
  <c r="B88" i="43"/>
  <c r="F35" i="71"/>
  <c r="F36" i="71" s="1"/>
  <c r="V36" i="71" s="1"/>
  <c r="AA34" i="71"/>
  <c r="E22" i="71"/>
  <c r="E21" i="71" s="1"/>
  <c r="E20" i="71" s="1"/>
  <c r="E19" i="71" s="1"/>
  <c r="E18" i="71" s="1"/>
  <c r="E17" i="71" s="1"/>
  <c r="E16" i="71" s="1"/>
  <c r="BL83" i="3"/>
  <c r="G86" i="3"/>
  <c r="G87" i="3"/>
  <c r="BA90" i="3"/>
  <c r="AZ90" i="3" s="1"/>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2" i="3"/>
  <c r="AZ445" i="3"/>
  <c r="AZ449"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73" i="3"/>
  <c r="AZ106" i="3"/>
  <c r="G200" i="3"/>
  <c r="G207" i="3"/>
  <c r="BA23" i="3"/>
  <c r="AZ23" i="3" s="1"/>
  <c r="BA24" i="3"/>
  <c r="AZ24" i="3" s="1"/>
  <c r="BL26" i="3"/>
  <c r="BL32" i="3"/>
  <c r="BA34" i="3"/>
  <c r="AZ34" i="3" s="1"/>
  <c r="BA35" i="3"/>
  <c r="AZ35" i="3" s="1"/>
  <c r="BL37" i="3"/>
  <c r="AZ37" i="3" s="1"/>
  <c r="BL42" i="3"/>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F13" i="67"/>
  <c r="D3" i="73"/>
  <c r="C16" i="67"/>
  <c r="D5" i="73"/>
  <c r="F37" i="67"/>
  <c r="D7" i="73"/>
  <c r="F6" i="67"/>
  <c r="C16" i="15"/>
  <c r="F9" i="67"/>
  <c r="D4" i="73"/>
  <c r="F42" i="67"/>
  <c r="M29" i="67"/>
  <c r="C65" i="40" l="1"/>
  <c r="C48" i="68"/>
  <c r="C28" i="15"/>
  <c r="C30" i="68"/>
  <c r="C31" i="12"/>
  <c r="C30" i="69"/>
  <c r="AA11" i="39"/>
  <c r="AB11" i="39"/>
  <c r="U11" i="39"/>
  <c r="W11" i="39"/>
  <c r="AC11" i="39"/>
  <c r="AA37" i="39"/>
  <c r="S37" i="39"/>
  <c r="AB37" i="39"/>
  <c r="U37" i="39"/>
  <c r="U36" i="39"/>
  <c r="AB36" i="39"/>
  <c r="AZ26" i="3"/>
  <c r="AZ32" i="3"/>
  <c r="N370" i="46"/>
  <c r="F26" i="43"/>
  <c r="H16" i="1"/>
  <c r="AZ19" i="3"/>
  <c r="AZ20" i="3"/>
  <c r="E28" i="6"/>
  <c r="K14" i="1" s="1"/>
  <c r="K16" i="1" s="1"/>
  <c r="P6" i="1"/>
  <c r="C13" i="12" s="1"/>
  <c r="E59" i="40"/>
  <c r="F31" i="67"/>
  <c r="C6" i="67"/>
  <c r="C32" i="67" s="1"/>
  <c r="F65" i="67"/>
  <c r="C70" i="71"/>
  <c r="D70" i="71" s="1"/>
  <c r="D71" i="71"/>
  <c r="C52" i="71"/>
  <c r="D51" i="71"/>
  <c r="AZ31" i="3"/>
  <c r="AC9" i="34"/>
  <c r="W9" i="34"/>
  <c r="AA23" i="35"/>
  <c r="S23" i="35"/>
  <c r="AC31" i="21"/>
  <c r="W31" i="21"/>
  <c r="AB39" i="37"/>
  <c r="U39" i="37"/>
  <c r="AB13" i="40"/>
  <c r="U13" i="40"/>
  <c r="E26" i="43"/>
  <c r="H26" i="43"/>
  <c r="AZ80" i="3"/>
  <c r="T36" i="71"/>
  <c r="AZ232" i="3"/>
  <c r="V20" i="71"/>
  <c r="D79" i="71"/>
  <c r="C78" i="71"/>
  <c r="D78" i="71" s="1"/>
  <c r="B19" i="71"/>
  <c r="B18" i="71" s="1"/>
  <c r="B17" i="71" s="1"/>
  <c r="B16" i="71" s="1"/>
  <c r="S20" i="71"/>
  <c r="AZ41" i="3"/>
  <c r="AZ64" i="3"/>
  <c r="AZ59" i="3"/>
  <c r="AZ130" i="3"/>
  <c r="AZ244" i="3"/>
  <c r="AZ239" i="3"/>
  <c r="AZ249" i="3"/>
  <c r="AZ401" i="3"/>
  <c r="AB24" i="36"/>
  <c r="U24" i="36"/>
  <c r="U31" i="21"/>
  <c r="AB31" i="21"/>
  <c r="AA23" i="36"/>
  <c r="S23" i="36"/>
  <c r="AC39" i="37"/>
  <c r="W39" i="37"/>
  <c r="AB28" i="34"/>
  <c r="U28" i="34"/>
  <c r="G26" i="43"/>
  <c r="T64" i="71"/>
  <c r="G5" i="3"/>
  <c r="B3" i="3" s="1"/>
  <c r="AZ42" i="3"/>
  <c r="AZ113" i="3"/>
  <c r="AZ142" i="3"/>
  <c r="AZ79" i="3"/>
  <c r="D83" i="71"/>
  <c r="C82" i="71"/>
  <c r="D82" i="71" s="1"/>
  <c r="D23" i="71"/>
  <c r="C22" i="71"/>
  <c r="AZ51" i="3"/>
  <c r="AZ27" i="3"/>
  <c r="C26" i="71"/>
  <c r="D26" i="71" s="1"/>
  <c r="D27" i="71"/>
  <c r="AZ38" i="3"/>
  <c r="D75" i="71"/>
  <c r="C74" i="71"/>
  <c r="D74" i="71" s="1"/>
  <c r="AZ294" i="3"/>
  <c r="AZ210" i="3"/>
  <c r="AA44" i="39"/>
  <c r="S44" i="39"/>
  <c r="AC24" i="36"/>
  <c r="W24" i="36"/>
  <c r="S30" i="21"/>
  <c r="AA30" i="21"/>
  <c r="AB32" i="40"/>
  <c r="U32" i="40"/>
  <c r="AC23" i="36"/>
  <c r="W23" i="36"/>
  <c r="W28" i="34"/>
  <c r="AC28" i="34"/>
  <c r="J7" i="36"/>
  <c r="N94" i="46"/>
  <c r="Q16" i="1"/>
  <c r="F27" i="69" s="1"/>
  <c r="C47" i="69" s="1"/>
  <c r="D45" i="69" s="1"/>
  <c r="AC34" i="36"/>
  <c r="AZ266" i="3"/>
  <c r="G16" i="1"/>
  <c r="F10" i="39" s="1"/>
  <c r="S10" i="39" s="1"/>
  <c r="C40" i="71"/>
  <c r="D39" i="71"/>
  <c r="AZ25" i="3"/>
  <c r="D67" i="71"/>
  <c r="C66" i="71"/>
  <c r="O67" i="71"/>
  <c r="AZ222" i="3"/>
  <c r="AZ137" i="3"/>
  <c r="AZ297" i="3"/>
  <c r="C56" i="71"/>
  <c r="D55" i="71"/>
  <c r="AZ251" i="3"/>
  <c r="AZ247" i="3"/>
  <c r="AZ332" i="3"/>
  <c r="AZ483" i="3"/>
  <c r="AZ421" i="3"/>
  <c r="AZ491" i="3"/>
  <c r="W12" i="35"/>
  <c r="AC12" i="35"/>
  <c r="U23" i="35"/>
  <c r="AB23" i="35"/>
  <c r="AC32" i="40"/>
  <c r="W32" i="40"/>
  <c r="AB23" i="36"/>
  <c r="U23" i="36"/>
  <c r="AB36" i="35"/>
  <c r="U36" i="35"/>
  <c r="AZ527" i="3"/>
  <c r="AA13" i="40"/>
  <c r="S13" i="40"/>
  <c r="AA28" i="34"/>
  <c r="S28" i="34"/>
  <c r="J7" i="37"/>
  <c r="AC7" i="37" s="1"/>
  <c r="K1" i="73"/>
  <c r="E452" i="3"/>
  <c r="E225" i="3"/>
  <c r="E15" i="3"/>
  <c r="E392" i="3"/>
  <c r="E421" i="3"/>
  <c r="E500" i="3"/>
  <c r="E98" i="3"/>
  <c r="E136" i="3"/>
  <c r="E145" i="3"/>
  <c r="E432" i="3"/>
  <c r="E359" i="3"/>
  <c r="E97" i="3"/>
  <c r="E156" i="3"/>
  <c r="E238" i="3"/>
  <c r="E32" i="3"/>
  <c r="E576" i="3"/>
  <c r="E366" i="3"/>
  <c r="E553" i="3"/>
  <c r="E114" i="3"/>
  <c r="E395" i="3"/>
  <c r="E314" i="3"/>
  <c r="E45" i="3"/>
  <c r="E318" i="3"/>
  <c r="E549" i="3"/>
  <c r="E331" i="3"/>
  <c r="E384" i="3"/>
  <c r="E561" i="3"/>
  <c r="E231" i="3"/>
  <c r="E399" i="3"/>
  <c r="E77" i="3"/>
  <c r="E146" i="3"/>
  <c r="E214" i="3"/>
  <c r="E557" i="3"/>
  <c r="E28" i="3"/>
  <c r="AJ6" i="3"/>
  <c r="E509" i="3"/>
  <c r="E189" i="3"/>
  <c r="E278" i="3"/>
  <c r="E246" i="3"/>
  <c r="E100" i="3"/>
  <c r="E242"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H7" i="36"/>
  <c r="AB7" i="36" s="1"/>
  <c r="T36" i="36" s="1"/>
  <c r="G36" i="36" s="1"/>
  <c r="E131" i="3"/>
  <c r="E142"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59" i="67"/>
  <c r="H7" i="37"/>
  <c r="AB7" i="37" s="1"/>
  <c r="T42" i="37" s="1"/>
  <c r="G42" i="37" s="1"/>
  <c r="H7" i="33"/>
  <c r="J7" i="33"/>
  <c r="D65" i="40"/>
  <c r="E63" i="40"/>
  <c r="F48" i="35"/>
  <c r="S7" i="36"/>
  <c r="AA7" i="36"/>
  <c r="R36" i="36" s="1"/>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C10" i="15" s="1"/>
  <c r="M11" i="15"/>
  <c r="J10" i="15" s="1"/>
  <c r="J5" i="15" s="1"/>
  <c r="J24" i="15" s="1"/>
  <c r="F11" i="67"/>
  <c r="F1" i="15"/>
  <c r="Q52" i="15"/>
  <c r="J18" i="67"/>
  <c r="C32" i="15"/>
  <c r="F1" i="67"/>
  <c r="Q52" i="67"/>
  <c r="Q60" i="15"/>
  <c r="Q73" i="15"/>
  <c r="Q61" i="67"/>
  <c r="Q74" i="67"/>
  <c r="Q74" i="15"/>
  <c r="Q61" i="15"/>
  <c r="AE11" i="1"/>
  <c r="AE9" i="1"/>
  <c r="AE7" i="1"/>
  <c r="AE8" i="1"/>
  <c r="AE12" i="1"/>
  <c r="AE10" i="1"/>
  <c r="F41" i="67"/>
  <c r="AE6" i="1"/>
  <c r="G1" i="73"/>
  <c r="U7" i="36" l="1"/>
  <c r="W7" i="37"/>
  <c r="F45" i="69"/>
  <c r="E541" i="3"/>
  <c r="E479" i="3"/>
  <c r="E206" i="3"/>
  <c r="E243" i="3"/>
  <c r="E40" i="3"/>
  <c r="E52" i="3"/>
  <c r="E155" i="3"/>
  <c r="E284" i="3"/>
  <c r="E66" i="3"/>
  <c r="E224" i="3"/>
  <c r="E93" i="3"/>
  <c r="E367" i="3"/>
  <c r="E53" i="3"/>
  <c r="E418" i="3"/>
  <c r="E254" i="3"/>
  <c r="E128" i="3"/>
  <c r="E73" i="3"/>
  <c r="AG6" i="3"/>
  <c r="E316" i="3"/>
  <c r="E516" i="3"/>
  <c r="V6" i="3"/>
  <c r="E550" i="3"/>
  <c r="E583" i="3"/>
  <c r="E573" i="3"/>
  <c r="E72" i="3"/>
  <c r="E271" i="3"/>
  <c r="E447" i="3"/>
  <c r="E175" i="3"/>
  <c r="E533" i="3"/>
  <c r="E185" i="3"/>
  <c r="E301" i="3"/>
  <c r="AK6" i="3"/>
  <c r="E587" i="3"/>
  <c r="E315" i="3"/>
  <c r="E485" i="3"/>
  <c r="E70" i="3"/>
  <c r="E217" i="3"/>
  <c r="E247" i="3"/>
  <c r="AB6" i="3"/>
  <c r="E563" i="3"/>
  <c r="E423" i="3"/>
  <c r="E148" i="3"/>
  <c r="E483" i="3"/>
  <c r="E240" i="3"/>
  <c r="E94" i="3"/>
  <c r="E369" i="3"/>
  <c r="E139" i="3"/>
  <c r="E292" i="3"/>
  <c r="E525" i="3"/>
  <c r="E326" i="3"/>
  <c r="E43" i="3"/>
  <c r="E147" i="3"/>
  <c r="E24" i="3"/>
  <c r="E582" i="3"/>
  <c r="E87" i="3"/>
  <c r="E438" i="3"/>
  <c r="E397" i="3"/>
  <c r="E71" i="3"/>
  <c r="O6" i="3"/>
  <c r="E338" i="3"/>
  <c r="E402" i="3"/>
  <c r="Q6" i="3"/>
  <c r="E394" i="3"/>
  <c r="E443" i="3"/>
  <c r="E30" i="3"/>
  <c r="E396" i="3"/>
  <c r="E294" i="3"/>
  <c r="E245" i="3"/>
  <c r="E453" i="3"/>
  <c r="E458" i="3"/>
  <c r="E351" i="3"/>
  <c r="E515" i="3"/>
  <c r="E27" i="3"/>
  <c r="E305" i="3"/>
  <c r="AR6" i="3"/>
  <c r="E124" i="3"/>
  <c r="E228" i="3"/>
  <c r="E577" i="3"/>
  <c r="E368" i="3"/>
  <c r="E345" i="3"/>
  <c r="E182" i="3"/>
  <c r="E268" i="3"/>
  <c r="E201" i="3"/>
  <c r="E335" i="3"/>
  <c r="E535" i="3"/>
  <c r="AI6" i="3"/>
  <c r="E528" i="3"/>
  <c r="E275" i="3"/>
  <c r="E135" i="3"/>
  <c r="M6" i="3"/>
  <c r="E572" i="3"/>
  <c r="Z6" i="3"/>
  <c r="E472" i="3"/>
  <c r="E134" i="3"/>
  <c r="E410" i="3"/>
  <c r="AS6" i="3"/>
  <c r="E450" i="3"/>
  <c r="E578" i="3"/>
  <c r="E551" i="3"/>
  <c r="E121" i="3"/>
  <c r="AE6" i="3"/>
  <c r="E17" i="3"/>
  <c r="E29" i="3"/>
  <c r="E54" i="3"/>
  <c r="E259" i="3"/>
  <c r="E101" i="3"/>
  <c r="E440" i="3"/>
  <c r="E75" i="3"/>
  <c r="E119" i="3"/>
  <c r="E161" i="3"/>
  <c r="E311" i="3"/>
  <c r="E377" i="3"/>
  <c r="E89" i="3"/>
  <c r="K6" i="3"/>
  <c r="E503" i="3"/>
  <c r="E388" i="3"/>
  <c r="E478" i="3"/>
  <c r="E571" i="3"/>
  <c r="E382" i="3"/>
  <c r="E229" i="3"/>
  <c r="E88" i="3"/>
  <c r="E424" i="3"/>
  <c r="E237" i="3"/>
  <c r="E272" i="3"/>
  <c r="E475" i="3"/>
  <c r="E297" i="3"/>
  <c r="E524" i="3"/>
  <c r="E393" i="3"/>
  <c r="E33" i="3"/>
  <c r="F27" i="68"/>
  <c r="C29" i="68" s="1"/>
  <c r="D27" i="68" s="1"/>
  <c r="E219" i="3"/>
  <c r="E132" i="3"/>
  <c r="X6" i="3"/>
  <c r="E263" i="3"/>
  <c r="E172" i="3"/>
  <c r="E215" i="3"/>
  <c r="E570" i="3"/>
  <c r="E579" i="3"/>
  <c r="E526" i="3"/>
  <c r="E273" i="3"/>
  <c r="E531" i="3"/>
  <c r="AO6" i="3"/>
  <c r="E227" i="3"/>
  <c r="E454" i="3"/>
  <c r="E560" i="3"/>
  <c r="E181" i="3"/>
  <c r="E350" i="3"/>
  <c r="E361" i="3"/>
  <c r="E380" i="3"/>
  <c r="E337" i="3"/>
  <c r="E530" i="3"/>
  <c r="E210" i="3"/>
  <c r="E477" i="3"/>
  <c r="E269" i="3"/>
  <c r="E150" i="3"/>
  <c r="E527" i="3"/>
  <c r="E99" i="3"/>
  <c r="E336" i="3"/>
  <c r="E117" i="3"/>
  <c r="E230" i="3"/>
  <c r="E559" i="3"/>
  <c r="N6" i="3"/>
  <c r="E334" i="3"/>
  <c r="E444" i="3"/>
  <c r="I6" i="3"/>
  <c r="E55" i="3"/>
  <c r="E330" i="3"/>
  <c r="AN6" i="3"/>
  <c r="E565" i="3"/>
  <c r="E506" i="3"/>
  <c r="E153" i="3"/>
  <c r="E126" i="3"/>
  <c r="U6" i="3"/>
  <c r="E208" i="3"/>
  <c r="E474" i="3"/>
  <c r="E154" i="3"/>
  <c r="E374" i="3"/>
  <c r="E138" i="3"/>
  <c r="E58" i="3"/>
  <c r="E62" i="3"/>
  <c r="E455" i="3"/>
  <c r="E498" i="3"/>
  <c r="E370" i="3"/>
  <c r="E456" i="3"/>
  <c r="E381" i="3"/>
  <c r="E255" i="3"/>
  <c r="M14" i="1"/>
  <c r="D26" i="43"/>
  <c r="C25" i="43" s="1"/>
  <c r="C33" i="43" s="1"/>
  <c r="E82" i="3"/>
  <c r="E488" i="3"/>
  <c r="E584" i="3"/>
  <c r="E48" i="3"/>
  <c r="E51" i="3"/>
  <c r="E552" i="3"/>
  <c r="E50" i="3"/>
  <c r="E299" i="3"/>
  <c r="E202" i="3"/>
  <c r="E493" i="3"/>
  <c r="E342" i="3"/>
  <c r="E360" i="3"/>
  <c r="E96" i="3"/>
  <c r="E103" i="3"/>
  <c r="AZ5" i="3"/>
  <c r="F27" i="11"/>
  <c r="C29" i="11" s="1"/>
  <c r="D27" i="11" s="1"/>
  <c r="E487" i="3"/>
  <c r="E296" i="3"/>
  <c r="E200" i="3"/>
  <c r="E385" i="3"/>
  <c r="E191" i="3"/>
  <c r="E445" i="3"/>
  <c r="E69" i="3"/>
  <c r="E387" i="3"/>
  <c r="E514" i="3"/>
  <c r="E431" i="3"/>
  <c r="E322" i="3"/>
  <c r="E109" i="3"/>
  <c r="E211" i="3"/>
  <c r="E489" i="3"/>
  <c r="E400"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58" i="3"/>
  <c r="E164" i="3"/>
  <c r="E256" i="3"/>
  <c r="E344" i="3"/>
  <c r="E120" i="3"/>
  <c r="E353" i="3"/>
  <c r="E221" i="3"/>
  <c r="E169" i="3"/>
  <c r="E390" i="3"/>
  <c r="E426" i="3"/>
  <c r="AM6" i="3"/>
  <c r="E403" i="3"/>
  <c r="E379" i="3"/>
  <c r="E357" i="3"/>
  <c r="E288" i="3"/>
  <c r="E306" i="3"/>
  <c r="E504" i="3"/>
  <c r="Y6" i="3"/>
  <c r="E341" i="3"/>
  <c r="E464" i="3"/>
  <c r="E57" i="3"/>
  <c r="E250" i="3"/>
  <c r="E460" i="3"/>
  <c r="E176" i="3"/>
  <c r="E123" i="3"/>
  <c r="E234" i="3"/>
  <c r="E346" i="3"/>
  <c r="E490" i="3"/>
  <c r="E223" i="3"/>
  <c r="E78" i="3"/>
  <c r="E13" i="3"/>
  <c r="E308" i="3"/>
  <c r="E81" i="3"/>
  <c r="E484" i="3"/>
  <c r="J10" i="40"/>
  <c r="AC10" i="40" s="1"/>
  <c r="C29" i="69"/>
  <c r="D27" i="69" s="1"/>
  <c r="E212" i="3"/>
  <c r="E575" i="3"/>
  <c r="E192" i="3"/>
  <c r="E249" i="3"/>
  <c r="E281" i="3"/>
  <c r="E287" i="3"/>
  <c r="E469" i="3"/>
  <c r="E104" i="3"/>
  <c r="E324" i="3"/>
  <c r="E83" i="3"/>
  <c r="E486" i="3"/>
  <c r="E463" i="3"/>
  <c r="E333" i="3"/>
  <c r="E137" i="3"/>
  <c r="AQ6" i="3"/>
  <c r="E340" i="3"/>
  <c r="E365" i="3"/>
  <c r="E398" i="3"/>
  <c r="E521" i="3"/>
  <c r="E312" i="3"/>
  <c r="E446" i="3"/>
  <c r="E19" i="3"/>
  <c r="E47" i="3"/>
  <c r="E39" i="3"/>
  <c r="AD6" i="3"/>
  <c r="E187" i="3"/>
  <c r="E122" i="3"/>
  <c r="E313" i="3"/>
  <c r="E471" i="3"/>
  <c r="E257" i="3"/>
  <c r="E196" i="3"/>
  <c r="E548" i="3"/>
  <c r="E546" i="3"/>
  <c r="E291" i="3"/>
  <c r="E501" i="3"/>
  <c r="E574" i="3"/>
  <c r="S6" i="3"/>
  <c r="E298" i="3"/>
  <c r="E213" i="3"/>
  <c r="E159" i="3"/>
  <c r="AA6" i="3"/>
  <c r="E262" i="3"/>
  <c r="E437" i="3"/>
  <c r="E496" i="3"/>
  <c r="E274" i="3"/>
  <c r="E236" i="3"/>
  <c r="P6"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532" i="3"/>
  <c r="E352" i="3"/>
  <c r="E127" i="3"/>
  <c r="E167" i="3"/>
  <c r="E459" i="3"/>
  <c r="E163" i="3"/>
  <c r="E373" i="3"/>
  <c r="E375" i="3"/>
  <c r="E149" i="3"/>
  <c r="E209" i="3"/>
  <c r="E520" i="3"/>
  <c r="E244" i="3"/>
  <c r="E65" i="3"/>
  <c r="E90" i="3"/>
  <c r="E141" i="3"/>
  <c r="E218" i="3"/>
  <c r="E364" i="3"/>
  <c r="E112" i="3"/>
  <c r="E339" i="3"/>
  <c r="E170" i="3"/>
  <c r="E60" i="3"/>
  <c r="E178" i="3"/>
  <c r="J6" i="3"/>
  <c r="E427" i="3"/>
  <c r="E188" i="3"/>
  <c r="E232" i="3"/>
  <c r="E412" i="3"/>
  <c r="E26" i="3"/>
  <c r="E451" i="3"/>
  <c r="E197" i="3"/>
  <c r="E522" i="3"/>
  <c r="E21" i="3"/>
  <c r="E23" i="3"/>
  <c r="E76" i="3"/>
  <c r="E435" i="3"/>
  <c r="E536" i="3"/>
  <c r="E38" i="3"/>
  <c r="E473" i="3"/>
  <c r="L6" i="3"/>
  <c r="E276" i="3"/>
  <c r="E108" i="3"/>
  <c r="E401" i="3"/>
  <c r="AH6" i="3"/>
  <c r="E422" i="3"/>
  <c r="E543" i="3"/>
  <c r="E105" i="3"/>
  <c r="E16" i="3"/>
  <c r="E158" i="3"/>
  <c r="E49" i="3"/>
  <c r="E220" i="3"/>
  <c r="E428" i="3"/>
  <c r="E115" i="3"/>
  <c r="E420" i="3"/>
  <c r="E497" i="3"/>
  <c r="E408" i="3"/>
  <c r="T6" i="3"/>
  <c r="E140" i="3"/>
  <c r="E113" i="3"/>
  <c r="E383" i="3"/>
  <c r="E42" i="3"/>
  <c r="E513" i="3"/>
  <c r="E355" i="3"/>
  <c r="E492" i="3"/>
  <c r="E46" i="3"/>
  <c r="E544" i="3"/>
  <c r="E152" i="3"/>
  <c r="E517" i="3"/>
  <c r="E466" i="3"/>
  <c r="E539" i="3"/>
  <c r="W6" i="3"/>
  <c r="H6" i="3" s="1"/>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E534" i="3"/>
  <c r="E205" i="3"/>
  <c r="E251" i="3"/>
  <c r="E129" i="3"/>
  <c r="E332" i="3"/>
  <c r="E264" i="3"/>
  <c r="E144" i="3"/>
  <c r="E300" i="3"/>
  <c r="E425" i="3"/>
  <c r="E363" i="3"/>
  <c r="E56" i="3"/>
  <c r="I3" i="6"/>
  <c r="R6" i="3"/>
  <c r="E405" i="3"/>
  <c r="E173" i="3"/>
  <c r="E22" i="3"/>
  <c r="E102" i="3"/>
  <c r="E34" i="3"/>
  <c r="E235" i="3"/>
  <c r="E18" i="3"/>
  <c r="AL6" i="3"/>
  <c r="E198" i="3"/>
  <c r="E309" i="3"/>
  <c r="E63" i="3"/>
  <c r="E233" i="3"/>
  <c r="E67" i="3"/>
  <c r="E310" i="3"/>
  <c r="E267" i="3"/>
  <c r="E64" i="3"/>
  <c r="E409" i="3"/>
  <c r="E389" i="3"/>
  <c r="E241" i="3"/>
  <c r="E95" i="3"/>
  <c r="E417" i="3"/>
  <c r="E554" i="3"/>
  <c r="E449" i="3"/>
  <c r="E442" i="3"/>
  <c r="E286" i="3"/>
  <c r="E510" i="3"/>
  <c r="AF6" i="3"/>
  <c r="E86" i="3"/>
  <c r="E174" i="3"/>
  <c r="E482" i="3"/>
  <c r="E391" i="3"/>
  <c r="E494" i="3"/>
  <c r="E283" i="3"/>
  <c r="E68" i="3"/>
  <c r="E184" i="3"/>
  <c r="E84" i="3"/>
  <c r="E371" i="3"/>
  <c r="E160" i="3"/>
  <c r="E467" i="3"/>
  <c r="E59" i="3"/>
  <c r="E349" i="3"/>
  <c r="E258" i="3"/>
  <c r="E37" i="3"/>
  <c r="E491" i="3"/>
  <c r="AP6" i="3"/>
  <c r="E430" i="3"/>
  <c r="E502" i="3"/>
  <c r="E199" i="3"/>
  <c r="H10" i="40"/>
  <c r="AB10" i="40" s="1"/>
  <c r="AA10" i="39"/>
  <c r="F67" i="39"/>
  <c r="F10" i="40"/>
  <c r="S10" i="40" s="1"/>
  <c r="J10" i="39"/>
  <c r="W10" i="39" s="1"/>
  <c r="H10" i="39"/>
  <c r="U10" i="39" s="1"/>
  <c r="AY6" i="3"/>
  <c r="E3" i="6"/>
  <c r="E499" i="3"/>
  <c r="D56" i="71"/>
  <c r="T56" i="71"/>
  <c r="T52" i="71"/>
  <c r="D52" i="71"/>
  <c r="O65" i="71"/>
  <c r="D66" i="71"/>
  <c r="O66" i="71"/>
  <c r="T40" i="71"/>
  <c r="D40" i="7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5" i="15"/>
  <c r="C38" i="15" s="1"/>
  <c r="F41" i="15"/>
  <c r="M27" i="67"/>
  <c r="M27" i="15"/>
  <c r="F45" i="68" l="1"/>
  <c r="C47" i="68"/>
  <c r="D45" i="68" s="1"/>
  <c r="W10" i="40"/>
  <c r="C47" i="11"/>
  <c r="D45" i="11" s="1"/>
  <c r="U10" i="40"/>
  <c r="AC6" i="3"/>
  <c r="E6" i="3" s="1"/>
  <c r="AB10" i="39"/>
  <c r="D116" i="43"/>
  <c r="F22" i="11"/>
  <c r="C26" i="11" s="1"/>
  <c r="D22" i="11" s="1"/>
  <c r="F24" i="67"/>
  <c r="C24" i="67" s="1"/>
  <c r="AC10" i="39"/>
  <c r="F24" i="15"/>
  <c r="C24" i="15" s="1"/>
  <c r="F22" i="69"/>
  <c r="F41" i="69" s="1"/>
  <c r="F22" i="68"/>
  <c r="C26" i="68" s="1"/>
  <c r="D22" i="68" s="1"/>
  <c r="F25" i="12"/>
  <c r="C26" i="12" s="1"/>
  <c r="D25" i="12" s="1"/>
  <c r="D21" i="71"/>
  <c r="C20" i="7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24" i="11" l="1"/>
  <c r="C23" i="11"/>
  <c r="C44" i="11"/>
  <c r="D41" i="11" s="1"/>
  <c r="C44" i="69"/>
  <c r="D41" i="69" s="1"/>
  <c r="C44" i="68"/>
  <c r="D41" i="68" s="1"/>
  <c r="F41" i="68"/>
  <c r="H24" i="6"/>
  <c r="H22" i="6"/>
  <c r="R22" i="6" s="1"/>
  <c r="R9" i="1" s="1"/>
  <c r="D30" i="6"/>
  <c r="H25" i="6"/>
  <c r="C25" i="11"/>
  <c r="C26" i="69"/>
  <c r="D22" i="69" s="1"/>
  <c r="D20" i="71"/>
  <c r="U20" i="71" s="1"/>
  <c r="C19" i="71"/>
  <c r="T20"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22" i="11"/>
  <c r="C31" i="11" s="1"/>
  <c r="C18" i="12"/>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F35" i="15"/>
  <c r="M21" i="15"/>
  <c r="M21"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8" i="1"/>
  <c r="AO11" i="1"/>
  <c r="AO7" i="1"/>
  <c r="AO10" i="1"/>
  <c r="AO9" i="1"/>
  <c r="R48" i="39" l="1"/>
  <c r="C47" i="39" s="1"/>
  <c r="C10" i="71"/>
  <c r="D11" i="71"/>
  <c r="L46" i="15"/>
  <c r="B2"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D103" i="9"/>
  <c r="D9" i="71"/>
  <c r="C8" i="71"/>
  <c r="C42" i="40"/>
  <c r="C43" i="40"/>
  <c r="E47" i="40"/>
  <c r="F47" i="40" s="1"/>
  <c r="E46" i="40"/>
  <c r="F46" i="40" s="1"/>
  <c r="I47" i="40"/>
  <c r="J47" i="40" s="1"/>
  <c r="B3" i="39" l="1"/>
  <c r="C6" i="68"/>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D7" i="71"/>
  <c r="C6" i="71"/>
  <c r="C23" i="68" l="1"/>
  <c r="C20" i="68"/>
  <c r="D6" i="71"/>
  <c r="C5" i="71"/>
  <c r="D5" i="71" s="1"/>
  <c r="M24" i="43" s="1"/>
  <c r="C28" i="68" l="1"/>
  <c r="C27" i="68" s="1"/>
  <c r="C25" i="68"/>
  <c r="C22" i="68" s="1"/>
  <c r="C31" i="68" s="1"/>
  <c r="C52" i="68" s="1"/>
  <c r="B2" i="68" l="1"/>
  <c r="C57" i="68"/>
  <c r="C56" i="68" s="1"/>
  <c r="C19" i="9"/>
  <c r="C102" i="9" l="1"/>
  <c r="C21" i="9"/>
  <c r="D22" i="9"/>
  <c r="G19" i="9"/>
  <c r="G21" i="9" s="1"/>
  <c r="B3" i="68"/>
  <c r="C20" i="9"/>
  <c r="C103" i="9" l="1"/>
  <c r="G20" i="9"/>
  <c r="C32" i="9" l="1"/>
  <c r="C35" i="9" s="1"/>
  <c r="C34" i="9" s="1"/>
  <c r="R24" i="31"/>
  <c r="E14" i="74" s="1"/>
  <c r="S24" i="31" l="1"/>
  <c r="R25" i="31"/>
  <c r="S25" i="31" s="1"/>
  <c r="S22" i="31" l="1"/>
  <c r="D14" i="74" s="1"/>
  <c r="R22" i="31" l="1"/>
  <c r="B20" i="31"/>
  <c r="B21" i="31" l="1"/>
  <c r="G14" i="74"/>
  <c r="B6" i="74" s="1"/>
  <c r="D6" i="74" s="1"/>
  <c r="F14" i="74" l="1"/>
  <c r="B5" i="74"/>
  <c r="D5" i="74" l="1"/>
  <c r="N58" i="9"/>
  <c r="D55" i="9"/>
  <c r="M53" i="9"/>
  <c r="N57" i="9"/>
  <c r="P57" i="9"/>
  <c r="M64" i="9"/>
  <c r="L64" i="9"/>
  <c r="M66" i="9"/>
  <c r="L66" i="9"/>
  <c r="B52" i="72"/>
  <c r="G4" i="52"/>
  <c r="B49" i="72"/>
  <c r="D5" i="52"/>
  <c r="D119" i="9"/>
  <c r="B53" i="72"/>
  <c r="F5" i="52"/>
  <c r="F119" i="9"/>
  <c r="H5" i="52"/>
  <c r="H119" i="9"/>
  <c r="B22" i="72"/>
  <c r="D6" i="53"/>
  <c r="M55" i="9"/>
  <c r="D59" i="9"/>
  <c r="B51" i="72"/>
  <c r="G118" i="9"/>
  <c r="F118" i="9"/>
  <c r="F4" i="52"/>
  <c r="B48" i="72"/>
  <c r="E4" i="52"/>
  <c r="M68" i="9"/>
  <c r="L68" i="9"/>
  <c r="C81" i="9"/>
  <c r="B21" i="72"/>
  <c r="D7" i="53"/>
  <c r="E81" i="9"/>
  <c r="C72" i="9"/>
  <c r="C79" i="9"/>
  <c r="C80" i="9"/>
  <c r="E80" i="9"/>
  <c r="D5" i="53"/>
  <c r="B20" i="72"/>
  <c r="B30" i="72"/>
  <c r="C73" i="9"/>
  <c r="C78" i="9"/>
  <c r="B31" i="72"/>
  <c r="D15" i="53"/>
  <c r="D54" i="9"/>
  <c r="C64" i="9"/>
  <c r="C63" i="9"/>
  <c r="C67" i="9"/>
  <c r="C68" i="9"/>
  <c r="D8" i="52"/>
  <c r="M67" i="9"/>
  <c r="L67" i="9"/>
  <c r="C96" i="9"/>
  <c r="E96" i="9"/>
  <c r="E97" i="9"/>
  <c r="M65" i="9"/>
  <c r="L65" i="9"/>
  <c r="H108" i="9"/>
  <c r="C6" i="74"/>
  <c r="B47" i="72"/>
  <c r="E118" i="9"/>
  <c r="D118" i="9"/>
  <c r="D4" i="52"/>
  <c r="C104" i="9"/>
  <c r="H4" i="52"/>
  <c r="D122" i="9"/>
  <c r="D123" i="9"/>
  <c r="D9" i="52"/>
  <c r="H102" i="9"/>
  <c r="C5" i="74"/>
  <c r="L63" i="9"/>
  <c r="M63" i="9"/>
  <c r="M69" i="9"/>
  <c r="N69" i="9"/>
  <c r="I4" i="52"/>
  <c r="C105" i="9"/>
  <c r="N61" i="9"/>
  <c r="M49" i="9"/>
  <c r="N59" i="9"/>
  <c r="N60" i="9"/>
  <c r="M48" i="9"/>
  <c r="C85" i="9"/>
  <c r="C95" i="9"/>
  <c r="C97" i="9"/>
  <c r="D58" i="9"/>
  <c r="D56" i="9"/>
  <c r="M54" i="9"/>
  <c r="H107" i="9"/>
  <c r="D13" i="53"/>
  <c r="D14" i="53"/>
  <c r="B32" i="72"/>
  <c r="C86" i="9"/>
  <c r="C93"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<sst xmlns="http://schemas.openxmlformats.org/spreadsheetml/2006/main" count="9424" uniqueCount="4071">
  <si>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</si>
  <si>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</si>
  <si>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</si>
  <si>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</si>
  <si>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</si>
  <si>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</si>
  <si>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</si>
  <si>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</si>
  <si>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</si>
  <si>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</si>
  <si>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</si>
  <si>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</si>
  <si>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</si>
  <si>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</si>
  <si>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</si>
  <si>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</si>
  <si>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</si>
  <si>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</si>
  <si>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</si>
  <si>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</si>
  <si>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</si>
  <si>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</si>
  <si>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</si>
  <si>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</si>
  <si>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</si>
  <si>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</si>
  <si>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</si>
  <si>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</si>
  <si>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</si>
  <si>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</si>
  <si>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</si>
  <si>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</si>
  <si>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</si>
  <si>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</si>
  <si>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</si>
  <si>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</si>
  <si>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</si>
  <si>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</si>
  <si>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</si>
  <si>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</si>
  <si>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</si>
  <si>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</si>
  <si>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</si>
  <si>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</si>
  <si>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</si>
  <si>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</si>
  <si>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</si>
  <si>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</si>
  <si>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</si>
  <si>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</si>
  <si>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</si>
  <si>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</si>
  <si>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</si>
  <si>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</si>
  <si>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</si>
  <si>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</si>
  <si>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</si>
  <si>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</si>
  <si>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</si>
  <si>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</si>
  <si>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</si>
  <si>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</si>
  <si>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</si>
  <si>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</si>
  <si>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</si>
  <si>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</si>
  <si>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</si>
  <si>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</si>
  <si>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</si>
  <si>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</si>
  <si>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</si>
  <si>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</si>
  <si>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</si>
  <si>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</si>
  <si>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</si>
  <si>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</si>
  <si>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</si>
  <si>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</si>
  <si>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</si>
  <si>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</si>
  <si>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</si>
  <si>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</si>
  <si>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</si>
  <si>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</si>
  <si>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</si>
  <si>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</si>
  <si>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</si>
  <si>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</si>
  <si>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</si>
  <si>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</si>
  <si>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</si>
  <si>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</si>
  <si>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</si>
  <si>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</si>
  <si>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</si>
  <si>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</si>
  <si>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</si>
  <si>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</si>
  <si>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</si>
  <si>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</si>
  <si>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</si>
  <si>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</si>
  <si>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</si>
  <si>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</si>
  <si>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</si>
  <si>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</si>
  <si>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</si>
  <si>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</si>
  <si>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</si>
  <si>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</si>
  <si>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</si>
  <si>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</si>
  <si>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</si>
  <si>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</si>
  <si>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</si>
  <si>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</si>
  <si>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</si>
  <si>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</si>
  <si>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</si>
  <si>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</si>
  <si>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</si>
  <si>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</si>
  <si>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</si>
  <si>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</si>
  <si>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</si>
  <si>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</si>
  <si>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</si>
  <si>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</si>
  <si>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</si>
  <si>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</si>
  <si>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</si>
  <si>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</si>
  <si>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</si>
  <si>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</si>
  <si>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</si>
  <si>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</si>
  <si>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</si>
  <si>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</si>
  <si>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</si>
  <si>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</si>
  <si>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</si>
  <si>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</si>
  <si>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</si>
  <si>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</si>
  <si>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</si>
  <si>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</si>
  <si>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</si>
  <si>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</si>
  <si>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</si>
  <si>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</si>
  <si>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</si>
  <si>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</si>
  <si>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</si>
  <si>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</si>
  <si>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</si>
  <si>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</si>
  <si>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</si>
  <si>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</si>
  <si>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</si>
  <si>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</si>
  <si>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</si>
  <si>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</si>
  <si>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</si>
  <si>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</si>
  <si>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</si>
  <si>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</si>
  <si>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</si>
  <si>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</si>
  <si>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</si>
  <si>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</si>
  <si>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</si>
  <si>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</si>
  <si>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</si>
  <si>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</si>
  <si>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</si>
  <si>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</si>
  <si>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</si>
  <si>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</si>
  <si>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</si>
  <si>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</si>
  <si>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</si>
  <si>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</si>
  <si>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</si>
  <si>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</si>
  <si>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</si>
  <si>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</si>
  <si>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</si>
  <si>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</si>
  <si>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</si>
  <si>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</si>
  <si>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</si>
  <si>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</si>
  <si>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</si>
  <si>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</si>
  <si>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</si>
  <si>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</si>
  <si>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</si>
  <si>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</si>
  <si>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</si>
  <si>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</si>
  <si>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</si>
  <si>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</si>
  <si>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</si>
  <si>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</si>
  <si>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</si>
  <si>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</si>
  <si>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</si>
  <si>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</si>
  <si>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</si>
  <si>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</si>
  <si>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</si>
  <si>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</si>
  <si>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</si>
  <si>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</si>
  <si>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</si>
  <si>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</si>
  <si>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</si>
  <si>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</si>
  <si>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</si>
  <si>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</si>
  <si>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</si>
  <si>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</si>
  <si>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</si>
  <si>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</si>
  <si>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</si>
  <si>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</si>
  <si>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</si>
  <si>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</si>
  <si>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</si>
  <si>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</si>
  <si>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</si>
  <si>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</si>
  <si>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</si>
  <si>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</si>
  <si>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</si>
  <si>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</si>
  <si>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</si>
  <si>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</si>
  <si>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</si>
  <si>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</si>
  <si>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</si>
  <si>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</si>
  <si>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</si>
  <si>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</si>
  <si>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</si>
  <si>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</si>
  <si>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</si>
  <si>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</si>
  <si>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</si>
  <si>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</si>
  <si>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</si>
  <si>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</si>
  <si>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</si>
  <si>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</si>
  <si>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</si>
  <si>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</si>
  <si>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</si>
  <si>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</si>
  <si>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</si>
  <si>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</si>
  <si>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</si>
  <si>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</si>
  <si>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</si>
  <si>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</si>
  <si>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</si>
  <si>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</si>
  <si>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</si>
  <si>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</si>
  <si>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</si>
  <si>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</si>
  <si>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</si>
  <si>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</si>
  <si>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</si>
  <si>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</si>
  <si>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</si>
  <si>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</si>
  <si>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</si>
  <si>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</si>
  <si>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</si>
  <si>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</si>
  <si>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</si>
  <si>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</si>
  <si>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</si>
  <si>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</si>
  <si>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</si>
  <si>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</si>
  <si>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</si>
  <si>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</si>
  <si>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</si>
  <si>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</si>
  <si>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</si>
  <si>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</si>
  <si>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</si>
  <si>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</si>
  <si>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</si>
  <si>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</si>
  <si>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</si>
  <si>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</si>
  <si>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</si>
  <si>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</si>
  <si>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</si>
  <si>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</si>
  <si>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</si>
  <si>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</si>
  <si>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</si>
  <si>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</si>
  <si>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</si>
  <si>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</si>
  <si>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</si>
  <si>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</si>
  <si>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</si>
  <si>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</si>
  <si>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</si>
  <si>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</si>
  <si>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</si>
  <si>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</si>
  <si>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</si>
  <si>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</si>
  <si>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</si>
  <si>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</si>
  <si>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</si>
  <si>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</si>
  <si>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</si>
  <si>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</si>
  <si>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</si>
  <si>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</si>
  <si>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</si>
  <si>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</si>
  <si>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</si>
  <si>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</si>
  <si>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</si>
  <si>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</si>
  <si>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</si>
  <si>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</si>
  <si>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</si>
  <si>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</si>
  <si>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</si>
  <si>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</si>
  <si>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</si>
  <si>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</si>
  <si>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</si>
  <si>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</si>
  <si>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</si>
  <si>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</si>
  <si>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</si>
  <si>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</si>
  <si>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</si>
  <si>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</si>
  <si>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</si>
  <si>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</si>
  <si>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</si>
  <si>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</si>
  <si>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</si>
  <si>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</si>
  <si>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</si>
  <si>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</si>
  <si>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</si>
  <si>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</si>
  <si>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</si>
  <si>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</si>
  <si>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</si>
  <si>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</si>
  <si>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</si>
  <si>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</si>
  <si>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</si>
  <si>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</si>
  <si>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</si>
  <si>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</si>
  <si>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</si>
  <si>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</si>
  <si>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</si>
  <si>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</si>
  <si>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</si>
  <si>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</si>
  <si>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</si>
  <si>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</si>
  <si>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</si>
  <si>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</si>
  <si>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</si>
  <si>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</si>
  <si>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</si>
  <si>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</si>
  <si>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</si>
  <si>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</si>
  <si>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</si>
  <si>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</si>
  <si>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</si>
  <si>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</si>
  <si>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</si>
  <si>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</si>
  <si>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</si>
  <si>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</si>
  <si>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</si>
  <si>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</si>
  <si>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</si>
  <si>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</si>
  <si>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</si>
  <si>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</si>
  <si>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</si>
  <si>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</si>
  <si>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</si>
  <si>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</si>
  <si>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</si>
  <si>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</si>
  <si>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</si>
  <si>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</si>
  <si>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</si>
  <si>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</si>
  <si>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</si>
  <si>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</si>
  <si>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</si>
  <si>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</si>
  <si>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</si>
  <si>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</si>
  <si>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</si>
  <si>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</si>
  <si>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</si>
  <si>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</si>
  <si>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</si>
  <si>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</si>
  <si>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</si>
  <si>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</si>
  <si>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</si>
  <si>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</si>
  <si>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</si>
  <si>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</si>
  <si>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</si>
  <si>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</si>
  <si>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</si>
  <si>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</si>
  <si>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</si>
  <si>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</si>
  <si>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</si>
  <si>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</si>
  <si>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</si>
  <si>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</si>
  <si>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</si>
  <si>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</si>
  <si>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</si>
  <si>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</si>
  <si>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</si>
  <si>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</si>
  <si>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</si>
  <si>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</si>
  <si>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</si>
  <si>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</si>
  <si>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</si>
  <si>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</si>
  <si>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</si>
  <si>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</si>
  <si>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</si>
  <si>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</si>
  <si>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</si>
  <si>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</si>
  <si>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</si>
  <si>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</si>
  <si>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</si>
  <si>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</si>
  <si>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</si>
  <si>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</si>
  <si>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</si>
  <si>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</si>
  <si>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</si>
  <si>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</si>
  <si>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</si>
  <si>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</si>
  <si>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</si>
  <si>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</si>
  <si>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</si>
  <si>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</si>
  <si>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</si>
  <si>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</si>
  <si>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</si>
  <si>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</si>
  <si>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</si>
  <si>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</si>
  <si>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</si>
  <si>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</si>
  <si>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</si>
  <si>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</si>
  <si>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</si>
  <si>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</si>
  <si>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</si>
  <si>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</si>
  <si>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</si>
  <si>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</si>
  <si>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</si>
  <si>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</si>
  <si>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</si>
  <si>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</si>
  <si>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</si>
  <si>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</si>
  <si>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</si>
  <si>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</si>
  <si>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</si>
  <si>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</si>
  <si>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</si>
  <si>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</si>
  <si>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</si>
  <si>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</si>
  <si>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</si>
  <si>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</si>
  <si>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</si>
  <si>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</si>
  <si>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</si>
  <si>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</si>
  <si>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</si>
  <si>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</si>
  <si>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</si>
  <si>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</si>
  <si>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</si>
  <si>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</si>
  <si>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</si>
  <si>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</si>
  <si>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</si>
  <si>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</si>
  <si>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</si>
  <si>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</si>
  <si>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</si>
  <si>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</si>
  <si>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</si>
  <si>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</si>
  <si>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</si>
  <si>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</si>
  <si>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</si>
  <si>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</si>
  <si>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</si>
  <si>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</si>
  <si>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</si>
  <si>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</si>
  <si>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</si>
  <si>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</si>
  <si>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</si>
  <si>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</si>
  <si>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</si>
  <si>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</si>
  <si>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</si>
  <si>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</si>
  <si>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</si>
  <si>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</si>
  <si>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</si>
  <si>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</si>
  <si>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</si>
  <si>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</si>
  <si>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</si>
  <si>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</si>
  <si>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</si>
  <si>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</si>
  <si>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</si>
  <si>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</si>
  <si>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</si>
  <si>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</si>
  <si>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</si>
  <si>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</si>
  <si>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</si>
  <si>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</si>
  <si>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</si>
  <si>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</si>
  <si>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</si>
  <si>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</si>
  <si>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</si>
  <si>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</si>
  <si>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</si>
  <si>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</si>
  <si>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</si>
  <si>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</si>
  <si>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</si>
  <si>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</si>
  <si>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</si>
  <si>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</si>
  <si>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</si>
  <si>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</si>
  <si>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</si>
  <si>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</si>
  <si>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</si>
  <si>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</si>
  <si>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</si>
  <si>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</si>
  <si>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</si>
  <si>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</si>
  <si>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</si>
  <si>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</si>
  <si>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</si>
  <si>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</si>
  <si>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</si>
  <si>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</si>
  <si>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</si>
  <si>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</si>
  <si>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</si>
  <si>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</si>
  <si>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</si>
  <si>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</si>
  <si>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</si>
  <si>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</si>
  <si>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</si>
  <si>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</si>
  <si>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</si>
  <si>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</si>
  <si>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</si>
  <si>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</si>
  <si>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</si>
  <si>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</si>
  <si>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</si>
  <si>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</si>
  <si>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</si>
  <si>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</si>
  <si>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</si>
  <si>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</si>
  <si>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</si>
  <si>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</si>
  <si>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</si>
  <si>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</si>
  <si>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</si>
  <si>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</si>
  <si>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</si>
  <si>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</si>
  <si>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</si>
  <si>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</si>
  <si>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</si>
  <si>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</si>
  <si>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</si>
  <si>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</si>
  <si>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</si>
  <si>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</si>
  <si>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</si>
  <si>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</si>
  <si>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</si>
  <si>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</si>
  <si>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</si>
  <si>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</si>
  <si>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</si>
  <si>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</si>
  <si>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</si>
  <si>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</si>
  <si>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</si>
  <si>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</si>
  <si>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</si>
  <si>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</si>
  <si>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</si>
  <si>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</si>
  <si>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</si>
  <si>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</si>
  <si>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</si>
  <si>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</si>
  <si>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</si>
  <si>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</si>
  <si>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</si>
  <si>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</si>
  <si>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</si>
  <si>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</si>
  <si>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</si>
  <si>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</si>
  <si>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</si>
  <si>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</si>
  <si>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</si>
  <si>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</si>
  <si>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</si>
  <si>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</si>
  <si>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</si>
  <si>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</si>
  <si>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</si>
  <si>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</si>
  <si>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</si>
  <si>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</si>
  <si>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</si>
  <si>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</si>
  <si>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</si>
  <si>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</si>
  <si>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</si>
  <si>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</si>
  <si>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</si>
  <si>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</si>
  <si>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</si>
  <si>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</si>
  <si>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</si>
  <si>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</si>
  <si>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</si>
  <si>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</si>
  <si>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</si>
  <si>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</si>
  <si>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</si>
  <si>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</si>
  <si>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</si>
  <si>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</si>
  <si>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</si>
  <si>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</si>
  <si>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</si>
  <si>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</si>
  <si>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</si>
  <si>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</si>
  <si>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</si>
  <si>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</si>
  <si>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</si>
  <si>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</si>
  <si>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</si>
  <si>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</si>
  <si>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</si>
  <si>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</si>
  <si>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</si>
  <si>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</si>
  <si>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</si>
  <si>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</si>
  <si>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</si>
  <si>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</si>
  <si>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</si>
  <si>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</si>
  <si>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</si>
  <si>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</si>
  <si>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</si>
  <si>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</si>
  <si>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</si>
  <si>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</si>
  <si>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</si>
  <si>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</si>
  <si>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</si>
  <si>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</si>
  <si>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</si>
  <si>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</si>
  <si>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</si>
  <si>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</si>
  <si>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</si>
  <si>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</si>
  <si>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</si>
  <si>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</si>
  <si>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</si>
  <si>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</si>
  <si>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</si>
  <si>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</si>
  <si>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</si>
  <si>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</si>
  <si>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</si>
  <si>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</si>
  <si>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</si>
  <si>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</si>
  <si>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</si>
  <si>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</si>
  <si>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</si>
  <si>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</si>
  <si>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</si>
  <si>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</si>
  <si>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</si>
  <si>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</si>
  <si>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</si>
  <si>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</si>
  <si>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</si>
  <si>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</si>
  <si>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</si>
  <si>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</si>
  <si>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</si>
  <si>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</si>
  <si>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</si>
  <si>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</si>
  <si>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</si>
  <si>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</si>
  <si>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</si>
  <si>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</si>
  <si>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</si>
  <si>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</si>
  <si>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</si>
  <si>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</si>
  <si>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</si>
  <si>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</si>
  <si>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</si>
  <si>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</si>
  <si>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</si>
  <si>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</si>
  <si>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</si>
  <si>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</si>
  <si>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</si>
  <si>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</si>
  <si>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</si>
  <si>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</si>
  <si>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</si>
  <si>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</si>
  <si>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</si>
  <si>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</si>
  <si>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</si>
  <si>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</si>
  <si>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</si>
  <si>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</si>
  <si>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</si>
  <si>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</si>
  <si>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</si>
  <si>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</si>
  <si>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</si>
  <si>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</si>
  <si>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</si>
  <si>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</si>
  <si>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</si>
  <si>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</si>
  <si>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</si>
  <si>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</si>
  <si>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</si>
  <si>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</si>
  <si>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</si>
  <si>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</si>
  <si>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</si>
  <si>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</si>
  <si>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</si>
  <si>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</si>
  <si>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</si>
  <si>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</si>
  <si>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</si>
  <si>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</si>
  <si>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</si>
  <si>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</si>
  <si>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</si>
  <si>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</si>
  <si>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</si>
  <si>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</si>
  <si>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</si>
  <si>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</si>
  <si>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</si>
  <si>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</si>
  <si>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</si>
  <si>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</si>
  <si>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</si>
  <si>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</si>
  <si>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</si>
  <si>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</si>
  <si>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</si>
  <si>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</si>
  <si>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</si>
  <si>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</si>
  <si>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</si>
  <si>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</si>
  <si>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</si>
  <si>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</si>
  <si>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</si>
  <si>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</si>
  <si>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</si>
  <si>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</si>
  <si>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</si>
  <si>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</si>
  <si>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</si>
  <si>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</si>
  <si>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</si>
  <si>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</si>
  <si>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</si>
  <si>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</si>
  <si>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</si>
  <si>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</si>
  <si>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</si>
  <si>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</si>
  <si>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</si>
  <si>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</si>
  <si>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</si>
  <si>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</si>
  <si>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</si>
  <si>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</si>
  <si>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</si>
  <si>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</si>
  <si>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</si>
  <si>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</si>
  <si>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</si>
  <si>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</si>
  <si>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</si>
  <si>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</si>
  <si>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</si>
  <si>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</si>
  <si>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</si>
  <si>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</si>
  <si>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</si>
  <si>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</si>
  <si>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</si>
  <si>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</si>
  <si>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</si>
  <si>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</si>
  <si>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</si>
  <si>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</si>
  <si>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</si>
  <si>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</si>
  <si>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</si>
  <si>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</si>
  <si>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</si>
  <si>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</si>
  <si>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</si>
  <si>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</si>
  <si>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</si>
  <si>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</si>
  <si>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</si>
  <si>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</si>
  <si>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</si>
  <si>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</si>
  <si>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</si>
  <si>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</si>
  <si>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</si>
  <si>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</si>
  <si>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</si>
  <si>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</si>
  <si>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</si>
  <si>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</si>
  <si>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</si>
  <si>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</si>
  <si>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</si>
  <si>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</si>
  <si>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</si>
  <si>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</si>
  <si>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</si>
  <si>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</si>
  <si>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</si>
  <si>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</si>
  <si>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</si>
  <si>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</si>
  <si>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</si>
  <si>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</si>
  <si>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</si>
  <si>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</si>
  <si>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</si>
  <si>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</si>
  <si>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</si>
  <si>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</si>
  <si>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</si>
  <si>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</si>
  <si>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</si>
  <si>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</si>
  <si>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</si>
  <si>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</si>
  <si>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</si>
  <si>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</si>
  <si>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</si>
  <si>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</si>
  <si>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</si>
  <si>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</si>
  <si>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</si>
  <si>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</si>
  <si>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</si>
  <si>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</si>
  <si>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</si>
  <si>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</si>
  <si>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</si>
  <si>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</si>
  <si>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</si>
  <si>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</si>
  <si>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</si>
  <si>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</si>
  <si>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</si>
  <si>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</si>
  <si>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</si>
  <si>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</si>
  <si>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</si>
  <si>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</si>
  <si>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</si>
  <si>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</si>
  <si>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</si>
  <si>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</si>
  <si>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</si>
  <si>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</si>
  <si>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</si>
  <si>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</si>
  <si>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</si>
  <si>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</si>
  <si>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</si>
  <si>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</si>
  <si>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</si>
  <si>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</si>
  <si>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</si>
  <si>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</si>
  <si>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</si>
  <si>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</si>
  <si>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</si>
  <si>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</si>
  <si>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</si>
  <si>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</si>
  <si>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</si>
  <si>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</si>
  <si>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</si>
  <si>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</si>
  <si>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</si>
  <si>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</si>
  <si>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</si>
  <si>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</si>
  <si>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</si>
  <si>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</si>
  <si>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</si>
  <si>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</si>
  <si>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</si>
  <si>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</si>
  <si>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</si>
  <si>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</si>
  <si>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</si>
  <si>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</si>
  <si>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</si>
  <si>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</si>
  <si>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</si>
  <si>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</si>
  <si>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</si>
  <si>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</si>
  <si>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</si>
  <si>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</si>
  <si>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</si>
  <si>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</si>
  <si>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</si>
  <si>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</si>
  <si>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</si>
  <si>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</si>
  <si>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</si>
  <si>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</si>
  <si>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</si>
  <si>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</si>
  <si>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</si>
  <si>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</si>
  <si>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</si>
  <si>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</si>
  <si>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</si>
  <si>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</si>
  <si>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</si>
  <si>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</si>
  <si>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</si>
  <si>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</si>
  <si>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</si>
  <si>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</si>
  <si>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</si>
  <si>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</si>
  <si>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</si>
  <si>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</si>
  <si>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</si>
  <si>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</si>
  <si>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</si>
  <si>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</si>
  <si>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</si>
  <si>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</si>
  <si>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</si>
  <si>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</si>
  <si>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</si>
  <si>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</si>
  <si>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</si>
  <si>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</si>
  <si>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</si>
  <si>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</si>
  <si>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</si>
  <si>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</si>
  <si>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</si>
  <si>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</si>
  <si>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</si>
  <si>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</si>
  <si>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</si>
  <si>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</si>
  <si>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</si>
  <si>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</si>
  <si>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</si>
  <si>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</si>
  <si>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</si>
  <si>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</si>
  <si>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</si>
  <si>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</si>
  <si>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</si>
  <si>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</si>
  <si>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</si>
  <si>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</si>
  <si>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</si>
  <si>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</si>
  <si>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</si>
  <si>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</si>
  <si>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</si>
  <si>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</si>
  <si>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</si>
  <si>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</si>
  <si>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</si>
  <si>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</si>
  <si>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</si>
  <si>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</si>
  <si>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</si>
  <si>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</si>
  <si>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</si>
  <si>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</si>
  <si>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</si>
  <si>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</si>
  <si>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</si>
  <si>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</si>
  <si>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</si>
  <si>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</si>
  <si>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</si>
  <si>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</si>
  <si>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</si>
  <si>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</si>
  <si>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</si>
  <si>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</si>
  <si>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</si>
  <si>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</si>
  <si>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</si>
  <si>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</si>
  <si>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</si>
  <si>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</si>
  <si>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</si>
  <si>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</si>
  <si>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</si>
  <si>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</si>
  <si>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</si>
  <si>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</si>
  <si>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</si>
  <si>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</si>
  <si>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</si>
  <si>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</si>
  <si>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</si>
  <si>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</si>
  <si>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</si>
  <si>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</si>
  <si>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</si>
  <si>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</si>
  <si>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</si>
  <si>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</si>
  <si>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</si>
  <si>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</si>
  <si>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</si>
  <si>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</si>
  <si>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</si>
  <si>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</si>
  <si>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</si>
  <si>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</si>
  <si>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</si>
  <si>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</si>
  <si>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</si>
  <si>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</si>
  <si>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</si>
  <si>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</si>
  <si>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</si>
  <si>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</si>
  <si>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</si>
  <si>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</si>
  <si>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</si>
  <si>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</si>
  <si>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</si>
  <si>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</si>
  <si>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</si>
  <si>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</si>
  <si>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</si>
  <si>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</si>
  <si>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</si>
  <si>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</si>
  <si>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</si>
  <si>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</si>
  <si>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</si>
  <si>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</si>
  <si>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</si>
  <si>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</si>
  <si>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</si>
  <si>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</si>
  <si>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</si>
  <si>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</si>
  <si>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</si>
  <si>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</si>
  <si>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</si>
  <si>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</si>
  <si>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</si>
  <si>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</si>
  <si>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</si>
  <si>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</si>
  <si>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</si>
  <si>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</si>
  <si>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</si>
  <si>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</si>
  <si>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</si>
  <si>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</si>
  <si>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</si>
  <si>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</si>
  <si>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</si>
  <si>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</si>
  <si>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</si>
  <si>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</si>
  <si>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</si>
  <si>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</si>
  <si>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</si>
  <si>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</si>
  <si>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</si>
  <si>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</si>
  <si>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</si>
  <si>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</si>
  <si>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</si>
  <si>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</si>
  <si>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</si>
  <si>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</si>
  <si>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</si>
  <si>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</si>
  <si>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</si>
  <si>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</si>
  <si>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</si>
  <si>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</si>
  <si>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</si>
  <si>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</si>
  <si>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</si>
  <si>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</si>
  <si>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</si>
  <si>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</si>
  <si>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</si>
  <si>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</si>
  <si>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</si>
  <si>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</si>
  <si>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</si>
  <si>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</si>
  <si>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</si>
  <si>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</si>
  <si>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</si>
  <si>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</si>
  <si>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</si>
  <si>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</si>
  <si>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</si>
  <si>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</si>
  <si>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</si>
  <si>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</si>
  <si>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</si>
  <si>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</si>
  <si>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</si>
  <si>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</si>
  <si>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</si>
  <si>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</si>
  <si>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</si>
  <si>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</si>
  <si>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</si>
  <si>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</si>
  <si>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</si>
  <si>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</si>
  <si>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</si>
  <si>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</si>
  <si>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</si>
  <si>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</si>
  <si>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</si>
  <si>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</si>
  <si>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</si>
  <si>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</si>
  <si>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</si>
  <si>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</si>
  <si>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</si>
  <si>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</si>
  <si>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</si>
  <si>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</si>
  <si>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</si>
  <si>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</si>
  <si>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</si>
  <si>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</si>
  <si>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</si>
  <si>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</si>
  <si>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</si>
  <si>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</si>
  <si>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</si>
  <si>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</si>
  <si>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</si>
  <si>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</si>
  <si>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</si>
  <si>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</si>
  <si>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</si>
  <si>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</si>
  <si>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</si>
  <si>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</si>
  <si>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</si>
  <si>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</si>
  <si>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</si>
  <si>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</si>
  <si>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</si>
  <si>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</si>
  <si>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</si>
  <si>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</si>
  <si>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</si>
  <si>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</si>
  <si>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</si>
  <si>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</si>
  <si>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</si>
  <si>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</si>
  <si>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</si>
  <si>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</si>
  <si>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</si>
  <si>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</si>
  <si>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</si>
  <si>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</si>
  <si>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</si>
  <si>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</si>
  <si>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</si>
  <si>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</si>
  <si>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</si>
  <si>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</si>
  <si>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</si>
  <si>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</si>
  <si>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</si>
  <si>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</si>
  <si>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</si>
  <si>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</si>
  <si>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</si>
  <si>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</si>
  <si>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</si>
  <si>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</si>
  <si>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</si>
  <si>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</si>
  <si>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</si>
  <si>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</si>
  <si>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</si>
  <si>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</si>
  <si>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</si>
  <si>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</si>
  <si>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</si>
  <si>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</si>
  <si>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</si>
  <si>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</si>
  <si>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</si>
  <si>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</si>
  <si>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</si>
  <si>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</si>
  <si>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</si>
  <si>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</si>
  <si>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</si>
  <si>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</si>
  <si>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</si>
  <si>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</si>
  <si>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</si>
  <si>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</si>
  <si>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</si>
  <si>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</si>
  <si>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</si>
  <si>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</si>
  <si>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</si>
  <si>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</si>
  <si>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</si>
  <si>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</si>
  <si>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</si>
  <si>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</si>
  <si>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</si>
  <si>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</si>
  <si>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</si>
  <si>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</si>
  <si>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</si>
  <si>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</si>
  <si>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</si>
  <si>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</si>
  <si>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</si>
  <si>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</si>
  <si>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</si>
  <si>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</si>
  <si>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</si>
  <si>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</si>
  <si>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</si>
  <si>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</si>
  <si>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</si>
  <si>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</si>
  <si>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</si>
  <si>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</si>
  <si>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</si>
  <si>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</si>
  <si>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</si>
  <si>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</si>
  <si>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</si>
  <si>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</si>
  <si>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</si>
  <si>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</si>
  <si>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</si>
  <si>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</si>
  <si>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</si>
  <si>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</si>
  <si>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</si>
  <si>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</si>
  <si>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</si>
  <si>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</si>
  <si>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</si>
  <si>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</si>
  <si>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</si>
  <si>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</si>
  <si>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</si>
  <si>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</si>
  <si>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</si>
  <si>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</si>
  <si>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</si>
  <si>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</si>
  <si>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</si>
  <si>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</si>
  <si>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</si>
  <si>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</si>
  <si>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</si>
  <si>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</si>
  <si>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</si>
  <si>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</si>
  <si>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</si>
  <si>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</si>
  <si>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</si>
  <si>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</si>
  <si>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</si>
  <si>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</si>
  <si>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</si>
  <si>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</si>
  <si>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</si>
  <si>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</si>
  <si>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</si>
  <si>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</si>
  <si>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</si>
  <si>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</si>
  <si>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</si>
  <si>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</si>
  <si>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</si>
  <si>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</si>
  <si>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</si>
  <si>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</si>
  <si>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</si>
  <si>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</si>
  <si>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</si>
  <si>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</si>
  <si>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</si>
  <si>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</si>
  <si>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</si>
  <si>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</si>
  <si>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</si>
  <si>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</si>
  <si>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</si>
  <si>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</si>
  <si>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</si>
  <si>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</si>
  <si>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</si>
  <si>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</si>
  <si>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</si>
  <si>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</si>
  <si>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</si>
  <si>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</si>
  <si>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</si>
  <si>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</si>
  <si>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</si>
  <si>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</si>
  <si>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</si>
  <si>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</si>
  <si>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</si>
  <si>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</si>
  <si>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</si>
  <si>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</si>
  <si>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</si>
  <si>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</si>
  <si>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</si>
  <si>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</si>
  <si>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</si>
  <si>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</si>
  <si>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</si>
  <si>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</si>
  <si>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</si>
  <si>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</si>
  <si>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</si>
  <si>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</si>
  <si>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</si>
  <si>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</si>
  <si>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</si>
  <si>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</si>
  <si>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</si>
  <si>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</si>
  <si>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</si>
  <si>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</si>
  <si>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</si>
  <si>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</si>
  <si>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</si>
  <si>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</si>
  <si>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</si>
  <si>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</si>
  <si>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</si>
  <si>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</si>
  <si>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</si>
  <si>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</si>
  <si>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</si>
  <si>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</si>
  <si>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</si>
  <si>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</si>
  <si>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</si>
  <si>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</si>
  <si>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</si>
  <si>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</si>
  <si>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</si>
  <si>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</si>
  <si>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</si>
  <si>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</si>
  <si>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</si>
  <si>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</si>
  <si>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</si>
  <si>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</si>
  <si>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</si>
  <si>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</si>
  <si>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</si>
  <si>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</si>
  <si>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</si>
  <si>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</si>
  <si>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</si>
  <si>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</si>
  <si>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</si>
  <si>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</si>
  <si>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</si>
  <si>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</si>
  <si>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</si>
  <si>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</si>
  <si>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</si>
  <si>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</si>
  <si>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</si>
  <si>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</si>
  <si>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</si>
  <si>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</si>
  <si>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</si>
  <si>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</si>
  <si>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</si>
  <si>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</si>
  <si>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</si>
  <si>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</si>
  <si>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</si>
  <si>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</si>
  <si>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</si>
  <si>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</si>
  <si>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</si>
  <si>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</si>
  <si>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</si>
  <si>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</si>
  <si>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</si>
  <si>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</si>
  <si>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</si>
  <si>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</si>
  <si>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</si>
  <si>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</si>
  <si>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</si>
  <si>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</si>
  <si>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</si>
  <si>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</si>
  <si>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</si>
  <si>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</si>
  <si>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</si>
  <si>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</si>
  <si>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</si>
  <si>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</si>
  <si>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</si>
  <si>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</si>
  <si>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</si>
  <si>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</si>
  <si>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</si>
  <si>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</si>
  <si>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</si>
  <si>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</si>
  <si>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</si>
  <si>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</si>
  <si>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</si>
  <si>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</si>
  <si>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</si>
  <si>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</si>
  <si>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</si>
  <si>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</si>
  <si>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</si>
  <si>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</si>
  <si>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</si>
  <si>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</si>
  <si>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</si>
  <si>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</si>
  <si>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</si>
  <si>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</si>
  <si>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</si>
  <si>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</si>
  <si>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</si>
  <si>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</si>
  <si>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</si>
  <si>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</si>
  <si>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</si>
  <si>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</si>
  <si>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</si>
  <si>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</si>
  <si>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</si>
  <si>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</si>
  <si>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</si>
  <si>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</si>
  <si>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</si>
  <si>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</si>
  <si>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</si>
  <si>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</si>
  <si>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</si>
  <si>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</si>
  <si>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</si>
  <si>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</si>
  <si>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</si>
  <si>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</si>
  <si>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</si>
  <si>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</si>
  <si>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</si>
  <si>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</si>
  <si>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</si>
  <si>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</si>
  <si>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</si>
  <si>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</si>
  <si>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</si>
  <si>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</si>
  <si>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</si>
  <si>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</si>
  <si>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</si>
  <si>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</si>
  <si>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</si>
  <si>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</si>
  <si>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</si>
  <si>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</si>
  <si>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</si>
  <si>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</si>
  <si>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</si>
  <si>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</si>
  <si>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</si>
  <si>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</si>
  <si>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</si>
  <si>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</si>
  <si>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</si>
  <si>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</si>
  <si>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</si>
  <si>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</si>
  <si>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</si>
  <si>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</si>
  <si>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</si>
  <si>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</si>
  <si>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</si>
  <si>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</si>
  <si>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</si>
  <si>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</si>
  <si>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</si>
  <si>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</si>
  <si>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</si>
  <si>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</si>
  <si>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</si>
  <si>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</si>
  <si>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</si>
  <si>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</si>
  <si>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</si>
  <si>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</si>
  <si>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</si>
  <si>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</si>
  <si>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</si>
  <si>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</si>
  <si>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</si>
  <si>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</si>
  <si>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</si>
  <si>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</si>
  <si>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</si>
  <si>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</si>
  <si>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</si>
  <si>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</si>
  <si>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</si>
  <si>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</si>
  <si>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</si>
  <si>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</si>
  <si>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</si>
  <si>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</si>
  <si>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</si>
  <si>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</si>
  <si>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</si>
  <si>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</si>
  <si>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</si>
  <si>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</si>
  <si>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</si>
  <si>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</si>
  <si>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</si>
  <si>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</si>
  <si>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</si>
  <si>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</si>
  <si>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</si>
  <si>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</si>
  <si>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</si>
  <si>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</si>
  <si>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</si>
  <si>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</si>
  <si>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</si>
  <si>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</si>
  <si>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</si>
  <si>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</si>
  <si>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</si>
  <si>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</si>
  <si>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</si>
  <si>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</si>
  <si>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</si>
  <si>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</si>
  <si>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</si>
  <si>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</si>
  <si>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</si>
  <si>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</si>
  <si>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</si>
  <si>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</si>
  <si>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</si>
  <si>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</si>
  <si>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</si>
  <si>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</si>
  <si>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</si>
  <si>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</si>
  <si>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</si>
  <si>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</si>
  <si>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</si>
  <si>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</si>
  <si>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</si>
  <si>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</si>
  <si>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</si>
  <si>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</si>
  <si>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</si>
  <si>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</si>
  <si>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</si>
  <si>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</si>
  <si>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</si>
  <si>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</si>
  <si>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</si>
  <si>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</si>
  <si>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</si>
  <si>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</si>
  <si>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</si>
  <si>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</si>
  <si>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</si>
  <si>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</si>
  <si>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</si>
  <si>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</si>
  <si>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</si>
  <si>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</si>
  <si>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</si>
  <si>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</si>
  <si>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</si>
  <si>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</si>
  <si>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</si>
  <si>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</si>
  <si>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</si>
  <si>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</si>
  <si>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</si>
  <si>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</si>
  <si>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</si>
  <si>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</si>
  <si>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</si>
  <si>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</si>
  <si>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</si>
  <si>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</si>
  <si>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</si>
  <si>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</si>
  <si>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</si>
  <si>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</si>
  <si>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</si>
  <si>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</si>
  <si>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</si>
  <si>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</si>
  <si>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</si>
  <si>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</si>
  <si>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</si>
  <si>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</si>
  <si>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</si>
  <si>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</si>
  <si>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</si>
  <si>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</si>
  <si>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</si>
  <si>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</si>
  <si>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</si>
  <si>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</si>
  <si>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</si>
  <si>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</si>
  <si>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</si>
  <si>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</si>
  <si>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</si>
  <si>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</si>
  <si>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</si>
  <si>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</si>
  <si>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</si>
  <si>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</si>
  <si>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</si>
  <si>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</si>
  <si>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</si>
  <si>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</si>
  <si>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</si>
  <si>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</si>
  <si>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</si>
  <si>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</si>
  <si>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</si>
  <si>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</si>
  <si>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</si>
  <si>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</si>
  <si>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</si>
  <si>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</si>
  <si>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</si>
  <si>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</si>
  <si>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</si>
  <si>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</si>
  <si>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</si>
  <si>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</si>
  <si>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</si>
  <si>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</si>
  <si>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</si>
  <si>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</si>
  <si>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</si>
  <si>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</si>
  <si>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</si>
  <si>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</si>
  <si>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</si>
  <si>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</si>
  <si>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</si>
  <si>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</si>
  <si>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</si>
  <si>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</si>
  <si>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</si>
  <si>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</si>
  <si>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</si>
  <si>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</si>
  <si>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</si>
  <si>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</si>
  <si>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</si>
  <si>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</si>
  <si>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</si>
  <si>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</si>
  <si>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</si>
  <si>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</si>
  <si>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</si>
  <si>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</si>
  <si>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</si>
  <si>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</si>
  <si>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</si>
  <si>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</si>
  <si>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</si>
  <si>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</si>
  <si>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</si>
  <si>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</si>
  <si>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</si>
  <si>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</si>
  <si>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</si>
  <si>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</si>
  <si>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</si>
  <si>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</si>
  <si>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</si>
  <si>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</si>
  <si>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</si>
  <si>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</si>
  <si>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</si>
  <si>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</si>
  <si>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</si>
  <si>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</si>
  <si>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</si>
  <si>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</si>
  <si>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</si>
  <si>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</si>
  <si>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</si>
  <si>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</si>
  <si>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</si>
  <si>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</si>
  <si>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</si>
  <si>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</si>
  <si>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</si>
  <si>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</si>
  <si>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</si>
  <si>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</si>
  <si>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</si>
  <si>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</si>
  <si>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</si>
  <si>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</si>
  <si>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</si>
  <si>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</si>
  <si>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</si>
  <si>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</si>
  <si>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</si>
  <si>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</si>
  <si>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</si>
  <si>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</si>
  <si>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</si>
  <si>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</si>
  <si>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</si>
  <si>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</si>
  <si>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</si>
  <si>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</si>
  <si>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</si>
  <si>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</si>
  <si>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</si>
  <si>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</si>
  <si>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</si>
  <si>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</si>
  <si>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</si>
  <si>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</si>
  <si>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</si>
  <si>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</si>
  <si>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</si>
  <si>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</si>
  <si>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</si>
  <si>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</si>
  <si>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</si>
  <si>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</si>
  <si>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</si>
  <si>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</si>
  <si>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</si>
  <si>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</si>
  <si>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</si>
  <si>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</si>
  <si>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</si>
  <si>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</si>
  <si>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</si>
  <si>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</si>
  <si>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</si>
  <si>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</si>
  <si>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</si>
  <si>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</si>
  <si>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</si>
  <si>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</si>
  <si>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</si>
  <si>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</si>
  <si>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</si>
  <si>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</si>
  <si>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</si>
  <si>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</si>
  <si>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</si>
  <si>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</si>
  <si>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</si>
  <si>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</si>
  <si>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</si>
  <si>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</si>
  <si>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</si>
  <si>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</si>
  <si>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</si>
  <si>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</si>
  <si>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</si>
  <si>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</si>
  <si>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</si>
  <si>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</si>
  <si>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</si>
  <si>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</si>
  <si>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</si>
  <si>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</si>
  <si>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</si>
  <si>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</si>
  <si>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</si>
  <si>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</si>
  <si>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</si>
  <si>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</si>
  <si>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</si>
  <si>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</si>
  <si>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</si>
  <si>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</si>
  <si>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</si>
  <si>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</si>
  <si>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</si>
  <si>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</si>
  <si>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</si>
  <si>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</si>
  <si>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</si>
  <si>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</si>
  <si>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</si>
  <si>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</si>
  <si>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</si>
  <si>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</si>
  <si>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</si>
  <si>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</si>
  <si>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</si>
  <si>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</si>
  <si>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</si>
  <si>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</si>
  <si>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</si>
  <si>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</si>
  <si>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</si>
  <si>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</si>
  <si>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</si>
  <si>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</si>
  <si>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</si>
  <si>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</si>
  <si>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</si>
  <si>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</si>
  <si>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</si>
  <si>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</si>
  <si>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</si>
  <si>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</si>
  <si>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</si>
  <si>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</si>
  <si>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</si>
  <si>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</si>
  <si>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</si>
  <si>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</si>
  <si>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</si>
  <si>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</si>
  <si>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</si>
  <si>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</si>
  <si>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</si>
  <si>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</si>
  <si>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</si>
  <si>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</si>
  <si>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</si>
  <si>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</si>
  <si>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</si>
  <si>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</si>
  <si>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</si>
  <si>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</si>
  <si>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</si>
  <si>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</si>
  <si>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</si>
  <si>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</si>
  <si>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</si>
  <si>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</si>
  <si>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</si>
  <si>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</si>
  <si>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</si>
  <si>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</si>
  <si>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</si>
  <si>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</si>
  <si>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</si>
  <si>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</si>
  <si>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</si>
  <si>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</si>
  <si>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</si>
  <si>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</si>
  <si>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</si>
  <si>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</si>
  <si>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</si>
  <si>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</si>
  <si>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</si>
  <si>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</si>
  <si>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</si>
  <si>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</si>
  <si>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</si>
  <si>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</si>
  <si>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</si>
  <si>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</si>
  <si>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</si>
  <si>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</si>
  <si>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</si>
  <si>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</si>
  <si>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</si>
  <si>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</si>
  <si>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</si>
  <si>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</si>
  <si>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</si>
  <si>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</si>
  <si>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</si>
  <si>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</si>
  <si>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</si>
  <si>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</si>
  <si>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</si>
  <si>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</si>
  <si>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</si>
  <si>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</si>
  <si>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</si>
  <si>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</si>
  <si>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</si>
  <si>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</si>
  <si>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</si>
  <si>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</si>
  <si>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</si>
  <si>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</si>
  <si>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</si>
  <si>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</si>
  <si>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</si>
  <si>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</si>
  <si>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</si>
  <si>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</si>
  <si>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</si>
  <si>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</si>
  <si>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</si>
  <si>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</si>
  <si>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</si>
  <si>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</si>
  <si>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</si>
  <si>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</si>
  <si>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</si>
  <si>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</si>
  <si>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</si>
  <si>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</si>
  <si>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</si>
  <si>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</si>
  <si>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</si>
  <si>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</si>
  <si>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</si>
  <si>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</si>
  <si>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</si>
  <si>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</si>
  <si>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</si>
  <si>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</si>
  <si>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</si>
  <si>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</si>
  <si>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</si>
  <si>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</si>
  <si>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</si>
  <si>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</si>
  <si>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</si>
  <si>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</si>
  <si>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</si>
  <si>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</si>
  <si>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</si>
  <si>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</si>
  <si>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</si>
  <si>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</si>
  <si>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</si>
  <si>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</si>
  <si>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</si>
  <si>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</si>
  <si>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</si>
  <si>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</si>
  <si>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</si>
  <si>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</si>
  <si>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</si>
  <si>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</si>
  <si>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</si>
  <si>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</si>
  <si>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</si>
  <si>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</si>
  <si>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</si>
  <si>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</si>
  <si>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</si>
  <si>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</si>
  <si>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</si>
  <si>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</si>
  <si>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</si>
  <si>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</si>
  <si>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</si>
  <si>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</si>
  <si>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</si>
  <si>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</si>
  <si>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</si>
  <si>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</si>
  <si>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</si>
  <si>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</si>
  <si>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</si>
  <si>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</si>
  <si>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</si>
  <si>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</si>
  <si>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</si>
  <si>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</si>
  <si>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</si>
  <si>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</si>
  <si>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</si>
  <si>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</si>
  <si>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</si>
  <si>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</si>
  <si>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</si>
  <si>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</si>
  <si>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</si>
  <si>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</si>
  <si>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</si>
  <si>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</si>
  <si>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</si>
  <si>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</si>
  <si>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</si>
  <si>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</si>
  <si>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</si>
  <si>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</si>
  <si>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</si>
  <si>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</si>
  <si>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</si>
  <si>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</si>
  <si>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</si>
  <si>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</si>
  <si>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</si>
  <si>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</si>
  <si>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</si>
  <si>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</si>
  <si>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</si>
  <si>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</si>
  <si>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</si>
  <si>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</si>
  <si>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</si>
  <si>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</si>
  <si>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</si>
  <si>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</si>
  <si>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</si>
  <si>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</si>
  <si>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</si>
  <si>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</si>
  <si>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</si>
  <si>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</si>
  <si>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</si>
  <si>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</si>
  <si>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</si>
  <si>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</si>
  <si>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</si>
  <si>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</si>
  <si>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</si>
  <si>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</si>
  <si>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</si>
  <si>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</si>
  <si>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</si>
  <si>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</si>
  <si>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</si>
  <si>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</si>
  <si>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</si>
  <si>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</si>
  <si>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</si>
  <si>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</si>
  <si>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</si>
  <si>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</si>
  <si>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</si>
  <si>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</si>
  <si>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</si>
  <si>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</si>
  <si>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</si>
  <si>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</si>
  <si>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</si>
  <si>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</si>
  <si>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</si>
  <si>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</si>
  <si>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</si>
  <si>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</si>
  <si>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</si>
  <si>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</si>
  <si>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</si>
  <si>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</si>
  <si>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</si>
  <si>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</si>
  <si>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</si>
  <si>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</si>
  <si>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</si>
  <si>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</si>
  <si>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</si>
  <si>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</si>
  <si>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</si>
  <si>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</si>
  <si>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</si>
  <si>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</si>
  <si>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</si>
  <si>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</si>
  <si>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</si>
  <si>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</si>
  <si>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</si>
  <si>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</si>
  <si>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</si>
  <si>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</si>
  <si>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</si>
  <si>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</si>
  <si>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</si>
  <si>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</si>
  <si>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</si>
  <si>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</si>
  <si>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</si>
  <si>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</si>
  <si>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</si>
  <si>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</si>
  <si>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</si>
  <si>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</si>
  <si>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</si>
  <si>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</si>
  <si>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</si>
  <si>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</si>
  <si>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</si>
  <si>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</si>
  <si>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</si>
  <si>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</si>
  <si>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</si>
  <si>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</si>
  <si>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</si>
  <si>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</si>
  <si>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</si>
  <si>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</si>
  <si>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</si>
  <si>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</si>
  <si>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</si>
  <si>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</si>
  <si>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</si>
  <si>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</si>
  <si>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</si>
  <si>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</si>
  <si>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</si>
  <si>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</si>
  <si>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</si>
  <si>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</si>
  <si>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</si>
  <si>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</si>
  <si>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</si>
  <si>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</si>
  <si>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</si>
  <si>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</si>
  <si>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</si>
  <si>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</si>
  <si>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</si>
  <si>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</si>
  <si>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</si>
  <si>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</si>
  <si>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</si>
  <si>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</si>
  <si>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</si>
  <si>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</si>
  <si>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</si>
  <si>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</si>
  <si>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</si>
  <si>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</si>
  <si>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</si>
  <si>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</si>
  <si>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</si>
  <si>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</si>
  <si>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</si>
  <si>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</si>
  <si>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</si>
  <si>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</si>
  <si>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</si>
  <si>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</si>
  <si>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</si>
  <si>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</si>
  <si>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</si>
  <si>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</si>
  <si>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</si>
  <si>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</si>
  <si>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</si>
  <si>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</si>
  <si>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</si>
  <si>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</si>
  <si>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</si>
  <si>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</si>
  <si>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</si>
  <si>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</si>
  <si>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</si>
  <si>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</si>
  <si>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</si>
  <si>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</si>
  <si>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</si>
  <si>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</si>
  <si>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</si>
  <si>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</si>
  <si>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</si>
  <si>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</si>
  <si>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</si>
  <si>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</si>
  <si>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</si>
  <si>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</si>
  <si>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</si>
  <si>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</si>
  <si>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</si>
  <si>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</si>
  <si>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</si>
  <si>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</si>
  <si>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</si>
  <si>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</si>
  <si>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</si>
  <si>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</si>
  <si>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</si>
  <si>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</si>
  <si>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</si>
  <si>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</si>
  <si>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</si>
  <si>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</si>
  <si>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</si>
  <si>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</si>
  <si>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</si>
  <si>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</si>
  <si>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</si>
  <si>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</si>
  <si>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</si>
  <si>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</si>
  <si>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</si>
  <si>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</si>
  <si>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</si>
  <si>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</si>
  <si>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</si>
  <si>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</si>
  <si>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</si>
  <si>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</si>
  <si>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</si>
  <si>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</si>
  <si>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</si>
  <si>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</si>
  <si>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</si>
  <si>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</si>
  <si>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</si>
  <si>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</si>
  <si>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</si>
  <si>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</si>
  <si>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</si>
  <si>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</si>
  <si>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</si>
  <si>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</si>
  <si>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</si>
  <si>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</si>
  <si>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</si>
  <si>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</si>
  <si>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</si>
  <si>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</si>
  <si>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</si>
  <si>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</si>
  <si>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</si>
  <si>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</si>
  <si>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</si>
  <si>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</si>
  <si>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</si>
  <si>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</si>
  <si>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</si>
  <si>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</si>
  <si>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</si>
  <si>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</si>
  <si>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</si>
  <si>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</si>
  <si>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</si>
  <si>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</si>
  <si>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</si>
  <si>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</si>
  <si>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</si>
  <si>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</si>
  <si>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</si>
  <si>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</si>
  <si>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</si>
  <si>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</si>
  <si>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</si>
  <si>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</si>
  <si>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</si>
  <si>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</si>
  <si>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</si>
  <si>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</si>
  <si>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</si>
  <si>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</si>
  <si>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</si>
  <si>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</si>
  <si>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</si>
  <si>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</si>
  <si>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</si>
  <si>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</si>
  <si>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</si>
  <si>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</si>
  <si>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</si>
  <si>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</si>
  <si>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</si>
  <si>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</si>
  <si>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</si>
  <si>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</si>
  <si>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</si>
  <si>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</si>
  <si>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</si>
  <si>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</si>
  <si>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</si>
  <si>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</si>
  <si>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</si>
  <si>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</si>
  <si>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</si>
  <si>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</si>
  <si>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</si>
  <si>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</si>
  <si>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</si>
  <si>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</si>
  <si>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</si>
  <si>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</si>
  <si>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</si>
  <si>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</si>
  <si>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</si>
  <si>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</si>
  <si>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</si>
  <si>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</si>
  <si>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</si>
  <si>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</si>
  <si>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</si>
  <si>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</si>
  <si>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</si>
  <si>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</si>
  <si>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</si>
  <si>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</si>
  <si>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</si>
  <si>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</si>
  <si>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</si>
  <si>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</si>
  <si>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</si>
  <si>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</si>
  <si>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</si>
  <si>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</si>
  <si>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</si>
  <si>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</si>
  <si>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</si>
  <si>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</si>
  <si>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</si>
  <si>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</si>
  <si>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</si>
  <si>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</si>
  <si>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</si>
  <si>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</si>
  <si>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</si>
  <si>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</si>
  <si>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</si>
  <si>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</si>
  <si>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</si>
  <si>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</si>
  <si>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</si>
  <si>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</si>
  <si>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</si>
  <si>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</si>
  <si>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</si>
  <si>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</si>
  <si>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</si>
  <si>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</si>
  <si>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</si>
  <si>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</si>
  <si>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</si>
  <si>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</si>
  <si>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</si>
  <si>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</si>
  <si>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</si>
  <si>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</si>
  <si>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</si>
  <si>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</si>
  <si>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</si>
  <si>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</si>
  <si>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</si>
  <si>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</si>
  <si>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</si>
  <si>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</si>
  <si>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</si>
  <si>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</si>
  <si>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</si>
  <si>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</si>
  <si>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</si>
  <si>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</si>
  <si>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</si>
  <si>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</si>
  <si>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</si>
  <si>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</si>
  <si>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</si>
  <si>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</si>
  <si>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</si>
  <si>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</si>
  <si>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</si>
  <si>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</si>
  <si>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</si>
  <si>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</si>
  <si>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</si>
  <si>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</si>
  <si>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</si>
  <si>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</si>
  <si>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</si>
  <si>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</si>
  <si>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</si>
  <si>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</si>
  <si>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</si>
  <si>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</si>
  <si>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</si>
  <si>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</si>
  <si>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</si>
  <si>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</si>
  <si>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</si>
  <si>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</si>
  <si>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</si>
  <si>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</si>
  <si>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</si>
  <si>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</si>
  <si>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</si>
  <si>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</si>
  <si>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</si>
  <si>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</si>
  <si>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</si>
  <si>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</si>
  <si>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</si>
  <si>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</si>
  <si>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</si>
  <si>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</si>
  <si>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</si>
  <si>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</si>
  <si>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</si>
  <si>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</si>
  <si>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</si>
  <si>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</si>
  <si>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</si>
  <si>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</si>
  <si>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</si>
  <si>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</si>
  <si>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</si>
  <si>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</si>
  <si>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</si>
  <si>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</si>
  <si>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</si>
  <si>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</si>
  <si>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</si>
  <si>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</si>
  <si>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</si>
  <si>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</si>
  <si>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</si>
  <si>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</si>
  <si>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</si>
  <si>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</si>
  <si>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</si>
  <si>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</si>
  <si>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</si>
  <si>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</si>
  <si>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</si>
  <si>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</si>
  <si>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</si>
  <si>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</si>
  <si>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</si>
  <si>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</si>
  <si>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</si>
  <si>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</si>
  <si>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</si>
  <si>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</si>
  <si>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</si>
  <si>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</si>
  <si>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</si>
  <si>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</si>
  <si>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</si>
  <si>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</si>
  <si>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</si>
  <si>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</si>
  <si>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</si>
  <si>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</si>
  <si>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</si>
  <si>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</si>
  <si>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</si>
  <si>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</si>
  <si>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</si>
  <si>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</si>
  <si>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</si>
  <si>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</si>
  <si>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</si>
  <si>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</si>
  <si>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</si>
  <si>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</si>
  <si>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</si>
  <si>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</si>
  <si>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</si>
  <si>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</si>
  <si>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</si>
  <si>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</si>
  <si>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</si>
  <si>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</si>
  <si>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</si>
  <si>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</si>
  <si>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</si>
  <si>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</si>
  <si>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</si>
  <si>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</si>
  <si>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</si>
  <si>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</si>
  <si>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</si>
  <si>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</si>
  <si>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</si>
  <si>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</si>
  <si>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</si>
  <si>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</si>
  <si>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</si>
  <si>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</si>
  <si>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</si>
  <si>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</si>
  <si>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</si>
  <si>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</si>
  <si>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</si>
  <si>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</si>
  <si>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</si>
  <si>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</si>
  <si>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</si>
  <si>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</si>
  <si>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</si>
  <si>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</si>
  <si>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</si>
  <si>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</si>
  <si>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</si>
  <si>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</si>
  <si>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</si>
  <si>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</si>
  <si>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</si>
  <si>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</si>
  <si>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</si>
  <si>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</si>
  <si>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</si>
  <si>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</si>
  <si>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</si>
  <si>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</si>
  <si>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</si>
  <si>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</si>
  <si>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</si>
  <si>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</si>
  <si>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</si>
  <si>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</si>
  <si>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</si>
  <si>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</si>
  <si>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</si>
  <si>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</si>
  <si>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</si>
  <si>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</si>
  <si>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</si>
  <si>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</si>
  <si>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</si>
  <si>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</si>
  <si>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</si>
  <si>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</si>
  <si>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</si>
  <si>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</si>
  <si>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</si>
  <si>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</si>
  <si>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</si>
  <si>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</si>
  <si>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</si>
  <si>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</si>
  <si>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</si>
  <si>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</si>
  <si>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</si>
  <si>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</si>
  <si>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</si>
  <si>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</si>
  <si>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</si>
  <si>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</si>
  <si>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</si>
  <si>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</si>
  <si>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</si>
  <si>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</si>
  <si>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</si>
  <si>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</si>
  <si>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</si>
  <si>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</si>
  <si>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</si>
  <si>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</si>
  <si>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</si>
  <si>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</si>
  <si>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</si>
  <si>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</si>
  <si>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</si>
  <si>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</si>
  <si>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</si>
  <si>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</si>
  <si>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</si>
  <si>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</si>
  <si>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</si>
  <si>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</si>
  <si>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</si>
  <si>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</si>
  <si>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</si>
  <si>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</si>
  <si>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</si>
  <si>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</si>
  <si>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</si>
  <si>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</si>
  <si>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</si>
  <si>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</si>
  <si>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</si>
  <si>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</si>
  <si>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</si>
  <si>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</si>
  <si>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</si>
  <si>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</si>
  <si>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</si>
  <si>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</si>
  <si>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</si>
  <si>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</si>
  <si>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</si>
  <si>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</si>
  <si>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</si>
  <si>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</si>
  <si>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</si>
  <si>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</si>
  <si>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</si>
  <si>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</si>
  <si>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</si>
  <si>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</si>
  <si>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</si>
  <si>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</si>
  <si>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</si>
  <si>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</si>
  <si>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</si>
  <si>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</si>
  <si>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</si>
  <si>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</si>
  <si>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</si>
  <si>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</si>
  <si>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</si>
  <si>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</si>
  <si>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</si>
  <si>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</si>
  <si>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</si>
  <si>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</si>
  <si>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</si>
  <si>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</si>
  <si>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</si>
  <si>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</si>
  <si>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</si>
  <si>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</si>
  <si>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</si>
  <si>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</si>
  <si>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</si>
  <si>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</si>
  <si>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</si>
  <si>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</si>
  <si>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</si>
  <si>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</si>
  <si>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</si>
  <si>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</si>
  <si>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</si>
  <si>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</si>
  <si>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</si>
  <si>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</si>
  <si>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</si>
  <si>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</si>
  <si>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</si>
  <si>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</si>
  <si>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</si>
  <si>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</si>
  <si>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</si>
  <si>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</si>
  <si>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</si>
  <si>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</si>
  <si>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</si>
  <si>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</si>
  <si>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</si>
  <si>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</si>
  <si>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</si>
  <si>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</si>
  <si>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</si>
  <si>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</si>
  <si>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</si>
  <si>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</si>
  <si>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</si>
  <si>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</si>
  <si>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</si>
  <si>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</si>
  <si>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</si>
  <si>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</si>
  <si>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</si>
  <si>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</si>
  <si>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</si>
  <si>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</si>
  <si>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</si>
  <si>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</si>
  <si>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</si>
  <si>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</si>
  <si>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</si>
  <si>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</si>
  <si>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</si>
  <si>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</si>
  <si>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</si>
  <si>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</si>
  <si>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</si>
  <si>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</si>
  <si>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</si>
  <si>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</si>
  <si>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</si>
  <si>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</si>
  <si>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</si>
  <si>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</si>
  <si>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</si>
  <si>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</si>
  <si>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</si>
  <si>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</si>
  <si>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</si>
  <si>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</si>
  <si>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</si>
  <si>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</si>
  <si>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</si>
  <si>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</si>
  <si>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</si>
  <si>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</si>
  <si>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</si>
  <si>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</si>
  <si>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</si>
  <si>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</si>
  <si>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</si>
  <si>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</si>
  <si>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</si>
  <si>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</si>
  <si>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</si>
  <si>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</si>
  <si>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</si>
  <si>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</si>
  <si>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</si>
  <si>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</si>
  <si>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</si>
  <si>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</si>
  <si>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</si>
  <si>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</si>
  <si>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</si>
  <si>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</si>
  <si>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</si>
  <si>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</si>
  <si>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</si>
  <si>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</si>
  <si>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</si>
  <si>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</si>
  <si>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</si>
  <si>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</si>
  <si>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</si>
  <si>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</si>
  <si>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</si>
  <si>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</si>
  <si>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</si>
  <si>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</si>
  <si>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</si>
  <si>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</si>
  <si>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</si>
  <si>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</si>
  <si>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</si>
  <si>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</si>
  <si>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</si>
  <si>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</si>
  <si>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</si>
  <si>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</si>
  <si>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</si>
  <si>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</si>
  <si>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</si>
  <si>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</si>
  <si>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</si>
  <si>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</si>
  <si>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</si>
  <si>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</si>
  <si>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</si>
  <si>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</si>
  <si>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</si>
  <si>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</si>
  <si>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</si>
  <si>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</si>
  <si>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</si>
  <si>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</si>
  <si>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</si>
  <si>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</si>
  <si>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</si>
  <si>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</si>
  <si>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</si>
  <si>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</si>
  <si>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</si>
  <si>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</si>
  <si>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</si>
  <si>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</si>
  <si>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</si>
  <si>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</si>
  <si>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</si>
  <si>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</si>
  <si>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</si>
  <si>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</si>
  <si>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</si>
  <si>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</si>
  <si>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</si>
  <si>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</si>
  <si>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</si>
  <si>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</si>
  <si>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</si>
  <si>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</si>
  <si>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</si>
  <si>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</si>
  <si>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</si>
  <si>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</si>
  <si>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</si>
  <si>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</si>
  <si>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</si>
  <si>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</si>
  <si>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</si>
  <si>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</si>
  <si>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</si>
  <si>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</si>
  <si>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</si>
  <si>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</si>
  <si>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</si>
  <si>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</si>
  <si>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</si>
  <si>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</si>
  <si>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</si>
  <si>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</si>
  <si>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</si>
  <si>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</si>
  <si>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</si>
  <si>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</si>
  <si>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</si>
  <si>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</si>
  <si>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</si>
  <si>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</si>
  <si>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</si>
  <si>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</si>
  <si>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</si>
  <si>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</si>
  <si>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</si>
  <si>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</si>
  <si>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</si>
  <si>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</si>
  <si>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</si>
  <si>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</si>
  <si>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</si>
  <si>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</si>
  <si>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</si>
  <si>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</si>
  <si>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</si>
  <si>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</si>
  <si>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</si>
  <si>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</si>
  <si>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</si>
  <si>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</si>
  <si>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</si>
  <si>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</si>
  <si>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</si>
  <si>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</si>
  <si>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</si>
  <si>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</si>
  <si>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</si>
  <si>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</si>
  <si>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</si>
  <si>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</si>
  <si>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</si>
  <si>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</si>
  <si>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</si>
  <si>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</si>
  <si>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</si>
  <si>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</si>
  <si>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</si>
  <si>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</si>
  <si>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</si>
  <si>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</si>
  <si>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</si>
  <si>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</si>
  <si>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</si>
  <si>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</si>
  <si>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</si>
  <si>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</si>
  <si>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</si>
  <si>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</si>
  <si>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</si>
  <si>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</si>
  <si>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</si>
  <si>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</si>
  <si>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</si>
  <si>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</si>
  <si>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</si>
  <si>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</si>
  <si>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</si>
  <si>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</si>
  <si>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</si>
  <si>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</si>
  <si>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</si>
  <si>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</si>
  <si>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</si>
  <si>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</si>
  <si>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</si>
  <si>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</si>
  <si>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</si>
  <si>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</si>
  <si>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</si>
  <si>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</si>
  <si>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</si>
  <si>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</si>
  <si>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</si>
  <si>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</si>
  <si>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</si>
  <si>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</si>
  <si>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</si>
  <si>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</si>
  <si>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</si>
  <si>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</si>
  <si>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</si>
  <si>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</si>
  <si>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</si>
  <si>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</si>
  <si>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</si>
  <si>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</si>
  <si>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</si>
  <si>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</si>
  <si>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</si>
  <si>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</si>
  <si>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</si>
  <si>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</si>
  <si>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</si>
  <si>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</si>
  <si>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</si>
  <si>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</si>
  <si>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</si>
  <si>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</si>
  <si>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</si>
  <si>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</si>
  <si>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</si>
  <si>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</si>
  <si>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</si>
  <si>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</si>
  <si>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</si>
  <si>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</si>
  <si>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</si>
  <si>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</si>
  <si>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</si>
  <si>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</si>
  <si>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</si>
  <si>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</si>
  <si>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</si>
  <si>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</si>
  <si>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</si>
  <si>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</si>
  <si>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</si>
  <si>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</si>
  <si>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</si>
  <si>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</si>
  <si>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</si>
  <si>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</si>
  <si>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</si>
  <si>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</si>
  <si>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</si>
  <si>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</si>
  <si>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</si>
  <si>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</si>
  <si>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</si>
  <si>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</si>
  <si>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</si>
  <si>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</si>
  <si>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</si>
  <si>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</si>
  <si>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</si>
  <si>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</si>
  <si>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</si>
  <si>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</si>
  <si>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</si>
  <si>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</si>
  <si>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</si>
  <si>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</si>
  <si>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</si>
  <si>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</si>
  <si>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</si>
  <si>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</si>
  <si>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</si>
  <si>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</si>
  <si>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</si>
  <si>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</si>
  <si>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</si>
  <si>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</si>
  <si>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</si>
  <si>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</si>
  <si>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</si>
  <si>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</si>
  <si>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</si>
  <si>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</si>
  <si>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</si>
  <si>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</si>
  <si>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</si>
  <si>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</si>
  <si>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</si>
  <si>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</si>
  <si>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</si>
  <si>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</si>
  <si>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</si>
  <si>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</si>
  <si>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</si>
  <si>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</si>
  <si>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</si>
  <si>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</si>
  <si>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</si>
  <si>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</si>
  <si>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</si>
  <si>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</si>
  <si>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</si>
  <si>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</si>
  <si>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</si>
  <si>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</si>
  <si>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</si>
  <si>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</si>
  <si>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</si>
  <si>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</si>
  <si>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</si>
  <si>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</si>
  <si>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</si>
  <si>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</si>
  <si>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</si>
  <si>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</si>
  <si>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</si>
  <si>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</si>
  <si>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</si>
  <si>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</si>
  <si>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</si>
  <si>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</si>
  <si>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</si>
  <si>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</si>
  <si>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</si>
  <si>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</si>
  <si>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</si>
  <si>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</si>
  <si>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</si>
  <si>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</si>
  <si>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</si>
  <si>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</si>
  <si>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</si>
  <si>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</si>
  <si>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</si>
  <si>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</si>
  <si>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</si>
  <si>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</si>
  <si>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</si>
  <si>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</si>
  <si>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</si>
  <si>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</si>
  <si>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</si>
  <si>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</si>
  <si>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</si>
  <si>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</si>
  <si>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</si>
  <si>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</si>
  <si>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</si>
  <si>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</si>
  <si>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</si>
  <si>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</si>
  <si>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</si>
  <si>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</si>
  <si>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</si>
  <si>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</si>
  <si>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</si>
  <si>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</si>
  <si>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</si>
  <si>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</si>
  <si>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</si>
  <si>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</si>
  <si>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</si>
  <si>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</si>
  <si>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</si>
  <si>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</si>
  <si>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</si>
  <si>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</si>
  <si>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</si>
  <si>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</si>
  <si>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</si>
  <si>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</si>
  <si>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</si>
  <si>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</si>
  <si>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</si>
  <si>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</si>
  <si>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</si>
  <si>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</si>
  <si>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</si>
  <si>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</si>
  <si>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</si>
  <si>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</si>
  <si>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</si>
  <si>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</si>
  <si>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</si>
  <si>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</si>
  <si>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</si>
  <si>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</si>
  <si>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</si>
  <si>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</si>
  <si>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</si>
  <si>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</si>
  <si>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</si>
  <si>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</si>
  <si>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</si>
  <si>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</si>
  <si>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</si>
  <si>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</si>
  <si>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</si>
  <si>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</si>
  <si>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</si>
  <si>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</si>
  <si>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</si>
  <si>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</si>
  <si>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</si>
  <si>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</si>
  <si>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</si>
  <si>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</si>
  <si>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</si>
  <si>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</si>
  <si>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</si>
  <si>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</si>
  <si>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</si>
  <si>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</si>
  <si>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</si>
  <si>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</si>
  <si>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</si>
  <si>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</si>
  <si>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</si>
  <si>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</si>
  <si>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</si>
  <si>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</si>
  <si>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</si>
  <si>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</si>
  <si>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</si>
  <si>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</si>
  <si>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</si>
  <si>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</si>
  <si>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</si>
  <si>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</si>
  <si>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</si>
  <si>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</si>
  <si>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</si>
  <si>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</si>
  <si>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</si>
  <si>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</si>
  <si>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</si>
  <si>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</si>
  <si>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</si>
  <si>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</si>
  <si>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</si>
  <si>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</si>
  <si>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</si>
  <si>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</si>
  <si>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</si>
  <si>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</si>
  <si>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</si>
  <si>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</si>
  <si>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</si>
  <si>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</si>
  <si>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</si>
  <si>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</si>
  <si>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</si>
  <si>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</si>
  <si>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</si>
  <si>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</si>
  <si>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</si>
  <si>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</si>
  <si>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</si>
  <si>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</si>
  <si>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</si>
  <si>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</si>
  <si>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</si>
  <si>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</si>
  <si>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</si>
  <si>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</si>
  <si>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</si>
  <si>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</si>
  <si>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</si>
  <si>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</si>
  <si>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</si>
  <si>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</si>
  <si>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</si>
  <si>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</si>
  <si>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</si>
  <si>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</si>
  <si>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</si>
  <si>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</si>
  <si>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</si>
  <si>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</si>
  <si>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</si>
  <si>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</si>
  <si>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</si>
  <si>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</si>
  <si>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</si>
  <si>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</si>
  <si>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</si>
  <si>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</si>
  <si>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</si>
  <si>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</si>
  <si>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</si>
  <si>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</si>
  <si>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</si>
  <si>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</si>
  <si>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</si>
  <si>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</si>
  <si>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</si>
  <si>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</si>
  <si>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</si>
  <si>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</si>
  <si>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</si>
  <si>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</si>
  <si>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</si>
  <si>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</si>
  <si>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</si>
  <si>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</si>
  <si>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</si>
  <si>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</si>
  <si>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</si>
  <si>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</si>
  <si>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</si>
  <si>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</si>
  <si>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</si>
  <si>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</si>
  <si>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</si>
  <si>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</si>
  <si>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</si>
  <si>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</si>
  <si>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</si>
  <si>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</si>
  <si>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</si>
  <si>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</si>
  <si>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</si>
  <si>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</si>
  <si>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</si>
  <si>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</si>
  <si>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</si>
  <si>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</si>
  <si>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</si>
  <si>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</si>
  <si>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</si>
  <si>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</si>
  <si>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</si>
  <si>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</si>
  <si>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</si>
  <si>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</si>
  <si>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</si>
  <si>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</si>
  <si>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</si>
  <si>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</si>
  <si>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</si>
  <si>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</si>
  <si>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</si>
  <si>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</si>
  <si>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</si>
  <si>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</si>
  <si>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</si>
  <si>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</si>
  <si>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</si>
  <si>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</si>
  <si>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</si>
  <si>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</si>
  <si>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</si>
  <si>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</si>
  <si>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</si>
  <si>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</si>
  <si>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</si>
  <si>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</si>
  <si>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</si>
  <si>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</si>
  <si>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</si>
  <si>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</si>
  <si>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</si>
  <si>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</si>
  <si>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</si>
  <si>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</si>
  <si>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</si>
  <si>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</si>
  <si>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</si>
  <si>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</si>
  <si>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</si>
  <si>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</si>
  <si>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</si>
  <si>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</si>
  <si>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</si>
  <si>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</si>
  <si>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</si>
  <si>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</si>
  <si>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</si>
  <si>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</si>
  <si>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</si>
  <si>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</si>
  <si>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</si>
  <si>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</si>
  <si>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</si>
  <si>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</si>
  <si>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</si>
  <si>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</si>
  <si>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</si>
  <si>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</si>
  <si>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</si>
  <si>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</si>
  <si>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</si>
  <si>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</si>
  <si>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</si>
  <si>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</si>
  <si>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</si>
  <si>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</si>
  <si>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</si>
  <si>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</si>
  <si>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</si>
  <si>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</si>
  <si>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</si>
  <si>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</si>
  <si>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</si>
  <si>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</si>
  <si>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房屋登记面积汇总表</t>
    <phoneticPr fontId="3" type="noConversion"/>
  </si>
  <si>
    <t xml:space="preserve">      我公司坐落于京地出【合】字（2010）第0141号地块上的楼房，已办理初始登记及正在办理的楼栋房屋登记面积汇总如下并对数据的真实性负责</t>
  </si>
  <si>
    <t>拆分价值</t>
    <phoneticPr fontId="134" type="noConversion"/>
  </si>
  <si>
    <t>序号</t>
  </si>
  <si>
    <t>坐落</t>
  </si>
  <si>
    <t>房屋登记面积（㎡）</t>
    <phoneticPr fontId="3" type="noConversion"/>
  </si>
  <si>
    <t>地上面积（㎡）</t>
    <phoneticPr fontId="3" type="noConversion"/>
  </si>
  <si>
    <r>
      <t>地下面积</t>
    </r>
    <r>
      <rPr>
        <sz val="10"/>
        <color theme="1"/>
        <rFont val="宋体"/>
        <family val="3"/>
        <charset val="134"/>
        <scheme val="minor"/>
      </rPr>
      <t>（㎡）</t>
    </r>
    <phoneticPr fontId="3" type="noConversion"/>
  </si>
  <si>
    <t>不动产登记证号</t>
    <phoneticPr fontId="3" type="noConversion"/>
  </si>
  <si>
    <t>建安单价</t>
    <phoneticPr fontId="134" type="noConversion"/>
  </si>
  <si>
    <t>建安总额</t>
    <phoneticPr fontId="134" type="noConversion"/>
  </si>
  <si>
    <t>土地价值</t>
    <phoneticPr fontId="134" type="noConversion"/>
  </si>
  <si>
    <t>建筑物</t>
    <phoneticPr fontId="134" type="noConversion"/>
  </si>
  <si>
    <t>房地产</t>
    <phoneticPr fontId="134" type="noConversion"/>
  </si>
  <si>
    <t>昌平区顺沙路58号院1号</t>
  </si>
  <si>
    <t>京（2020）昌不动产权第0000459号</t>
    <phoneticPr fontId="3" type="noConversion"/>
  </si>
  <si>
    <t>昌平区顺沙路58号院2号</t>
  </si>
  <si>
    <t>京（2020）昌不动产权第0000460号</t>
    <phoneticPr fontId="3" type="noConversion"/>
  </si>
  <si>
    <t>昌平区顺沙路58号院3号</t>
  </si>
  <si>
    <t>京（2020）昌不动产权第0000461号</t>
    <phoneticPr fontId="3" type="noConversion"/>
  </si>
  <si>
    <t>昌平区顺沙路58号院4号</t>
  </si>
  <si>
    <t>京（2020）昌不动产权第0000462号</t>
    <phoneticPr fontId="3" type="noConversion"/>
  </si>
  <si>
    <t>昌平区顺沙路58号院5号</t>
  </si>
  <si>
    <t>京（2020）昌不动产权第0000463号</t>
    <phoneticPr fontId="3" type="noConversion"/>
  </si>
  <si>
    <t>昌平区顺沙路58号院6号</t>
  </si>
  <si>
    <t>京（2020）昌不动产权第0000464号</t>
    <phoneticPr fontId="3" type="noConversion"/>
  </si>
  <si>
    <t>昌平区顺沙路58号院7号</t>
  </si>
  <si>
    <t>京（2020）昌不动产权第0000465号</t>
    <phoneticPr fontId="3" type="noConversion"/>
  </si>
  <si>
    <t>昌平区顺沙路58号院8号</t>
  </si>
  <si>
    <t>京（2020）昌不动产权第0000467号</t>
    <phoneticPr fontId="3" type="noConversion"/>
  </si>
  <si>
    <t>昌平区顺沙路58号院9号</t>
  </si>
  <si>
    <t>京（2020）昌不动产权第0000469号</t>
    <phoneticPr fontId="3" type="noConversion"/>
  </si>
  <si>
    <t>昌平区顺沙路58号院10号</t>
  </si>
  <si>
    <t>京（2020）昌不动产权第0000470号</t>
    <phoneticPr fontId="3" type="noConversion"/>
  </si>
  <si>
    <t>昌平区顺沙路58号院11号</t>
  </si>
  <si>
    <t>京（2020）昌不动产权第0000471号</t>
    <phoneticPr fontId="3" type="noConversion"/>
  </si>
  <si>
    <t>昌平区顺沙路58号院12号</t>
  </si>
  <si>
    <t>京（2020）昌不动产权第0000473号</t>
    <phoneticPr fontId="3" type="noConversion"/>
  </si>
  <si>
    <t>昌平区顺沙路58号院13号</t>
  </si>
  <si>
    <t>京（2020）昌不动产权第0000474号</t>
    <phoneticPr fontId="3" type="noConversion"/>
  </si>
  <si>
    <t>昌平区顺沙路58号院14号</t>
  </si>
  <si>
    <t>京（2020）昌不动产权第0000475号</t>
    <phoneticPr fontId="3" type="noConversion"/>
  </si>
  <si>
    <t>昌平区顺沙路58号院15号</t>
  </si>
  <si>
    <t>京（2020）昌不动产权第0000476号</t>
    <phoneticPr fontId="3" type="noConversion"/>
  </si>
  <si>
    <t>昌平区顺沙路58号院16号</t>
  </si>
  <si>
    <t>京（2020）昌不动产权第0000478号</t>
    <phoneticPr fontId="3" type="noConversion"/>
  </si>
  <si>
    <t>昌平区顺沙路58号院17号</t>
  </si>
  <si>
    <t>京（2020）昌不动产权第0001336号</t>
    <phoneticPr fontId="3" type="noConversion"/>
  </si>
  <si>
    <t>昌平区顺沙路58号院18号</t>
  </si>
  <si>
    <t>京（2020）昌不动产权第0001333号</t>
    <phoneticPr fontId="3" type="noConversion"/>
  </si>
  <si>
    <t>昌平区顺沙路58号院19号</t>
  </si>
  <si>
    <t>京（2020）昌不动产权第0001327号</t>
    <phoneticPr fontId="3" type="noConversion"/>
  </si>
  <si>
    <t>昌平区顺沙路58号院B101
至B121、B1001至B1029号</t>
  </si>
  <si>
    <t>合计</t>
  </si>
  <si>
    <r>
      <t xml:space="preserve">   </t>
    </r>
    <r>
      <rPr>
        <b/>
        <sz val="10"/>
        <rFont val="宋体"/>
        <family val="3"/>
        <charset val="134"/>
      </rPr>
      <t>注：详见房屋登记表，房屋登记面积包括登记簿中记载且颁发所有权证部分建筑面积和登记簿中记载不颁发所有权证部分建筑面积。</t>
    </r>
  </si>
  <si>
    <t>土地出让金</t>
    <phoneticPr fontId="134" type="noConversion"/>
  </si>
  <si>
    <t>其余成本</t>
    <phoneticPr fontId="134" type="noConversion"/>
  </si>
  <si>
    <t>单方建安</t>
    <phoneticPr fontId="134" type="noConversion"/>
  </si>
  <si>
    <t>建安成本</t>
    <phoneticPr fontId="134" type="noConversion"/>
  </si>
  <si>
    <t>财务费用</t>
    <phoneticPr fontId="134" type="noConversion"/>
  </si>
  <si>
    <t>4、18、19装修费</t>
    <phoneticPr fontId="134" type="noConversion"/>
  </si>
  <si>
    <r>
      <rPr>
        <sz val="11"/>
        <color theme="1"/>
        <rFont val="宋体"/>
        <family val="2"/>
        <charset val="134"/>
      </rPr>
      <t>建筑类型</t>
    </r>
    <phoneticPr fontId="247" type="noConversion"/>
  </si>
  <si>
    <t xml:space="preserve"> </t>
  </si>
  <si>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</si>
  <si>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</si>
  <si>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</si>
  <si>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</si>
  <si>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</si>
  <si>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</si>
  <si>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</si>
  <si>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t>主体结构</t>
    <phoneticPr fontId="247" type="noConversion"/>
  </si>
  <si>
    <t>外装材料</t>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</si>
  <si>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</si>
  <si>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</si>
  <si>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人工</t>
    <phoneticPr fontId="134" type="noConversion"/>
  </si>
  <si>
    <t>占比</t>
    <phoneticPr fontId="247" type="noConversion"/>
  </si>
  <si>
    <t>主体</t>
    <phoneticPr fontId="247" type="noConversion"/>
  </si>
  <si>
    <t>装修</t>
    <phoneticPr fontId="247" type="noConversion"/>
  </si>
  <si>
    <t>设备</t>
    <phoneticPr fontId="247" type="noConversion"/>
  </si>
  <si>
    <t>人工</t>
    <phoneticPr fontId="247" type="noConversion"/>
  </si>
  <si>
    <t>是</t>
  </si>
  <si>
    <t>否</t>
  </si>
  <si>
    <t>地上</t>
  </si>
  <si>
    <t>地下</t>
  </si>
  <si>
    <t>11号楼</t>
  </si>
  <si>
    <t>11号楼</t>
    <phoneticPr fontId="7" type="noConversion"/>
  </si>
  <si>
    <t>成新度</t>
  </si>
  <si>
    <t>收益法</t>
  </si>
  <si>
    <t>商务金融用地</t>
  </si>
  <si>
    <t>自定义容积率</t>
  </si>
  <si>
    <t>不临65条商业街</t>
  </si>
  <si>
    <t>与级别开发程度不一致</t>
  </si>
  <si>
    <t>通路</t>
  </si>
  <si>
    <t>通电</t>
  </si>
  <si>
    <t>通讯</t>
  </si>
  <si>
    <t>通上水</t>
  </si>
  <si>
    <t>通下水</t>
  </si>
  <si>
    <t>燃气</t>
  </si>
  <si>
    <t>平整</t>
  </si>
  <si>
    <t>中心城区以外</t>
  </si>
  <si>
    <t>较差</t>
  </si>
  <si>
    <t>一般</t>
  </si>
  <si>
    <t>较好</t>
  </si>
  <si>
    <t>未包含在土地购买价格中</t>
  </si>
  <si>
    <t>全部缴纳</t>
  </si>
  <si>
    <t>已包含在土地取得成本中</t>
  </si>
  <si>
    <t>押一</t>
  </si>
  <si>
    <t>钢混</t>
  </si>
  <si>
    <t>非生产用房</t>
  </si>
  <si>
    <t>成本法</t>
  </si>
  <si>
    <t>商业/办公用地</t>
  </si>
  <si>
    <t>北京新航城建设实业发展有限公司</t>
  </si>
  <si>
    <t>已竣工</t>
  </si>
  <si>
    <t>商业40年办公50年</t>
  </si>
  <si>
    <t>挂牌</t>
  </si>
  <si>
    <t>≤2.2</t>
  </si>
  <si>
    <t>京土储挂(兴临空)[2022]020号</t>
  </si>
  <si>
    <t>2022-04-29</t>
  </si>
  <si>
    <t>F3其他类多功能用地</t>
  </si>
  <si>
    <t>B商业服务业设施用地</t>
  </si>
  <si>
    <t>大兴区</t>
  </si>
  <si>
    <t>北京大兴国际机场临空经济区 DX12-0105-6006、6009 地块F3其他类多功能用地</t>
  </si>
  <si>
    <t>北京京东昆岳科技产业创新发展有限公司</t>
  </si>
  <si>
    <t>商业40 年、办公 50 年</t>
  </si>
  <si>
    <t>≤5.0</t>
  </si>
  <si>
    <t>京土储挂(开)[2022]039号</t>
  </si>
  <si>
    <t>2022-06-23</t>
  </si>
  <si>
    <t>北京经济技术开发区亦庄新城0303街区C14C-3地块F3其他类多功能用地</t>
  </si>
  <si>
    <t>北京首旅城市副中心投资有限公司</t>
  </si>
  <si>
    <t>商业 40 年、 办公 50 年</t>
  </si>
  <si>
    <t>≤2.8</t>
  </si>
  <si>
    <t>京土储挂(通)〔2022〕040号</t>
  </si>
  <si>
    <t>2022-07-19</t>
  </si>
  <si>
    <t>通州区</t>
  </si>
  <si>
    <t>北京城市副中心1202街区FZX-1202-0001地块 F3其他类多功能用地</t>
  </si>
  <si>
    <t>北京市工程咨询有限公司</t>
  </si>
  <si>
    <t>商业40年、办公50年</t>
  </si>
  <si>
    <t>京土储挂(通)〔2022〕042号</t>
  </si>
  <si>
    <t>2022-08-23</t>
  </si>
  <si>
    <t>北京市通州经济开发区西区南扩区三、五、六期棚户区改造项目FZX-1102-6219地块F3其他类多功能用地</t>
  </si>
  <si>
    <t>北京未来科创建筑有限公司</t>
  </si>
  <si>
    <t>京土储挂(通)〔2022〕041号</t>
  </si>
  <si>
    <t>2022-08-22</t>
  </si>
  <si>
    <t>北京市通州经济开发区西区南扩区 三、五、六期棚户区改造项目 FZX-1102-6002地块 F3其他类多功能用地</t>
  </si>
  <si>
    <t>北京福榕置业有限公司</t>
  </si>
  <si>
    <t>≤6.33</t>
  </si>
  <si>
    <t>京土储挂(丰)[2022]043号</t>
  </si>
  <si>
    <t>2022-08-25</t>
  </si>
  <si>
    <t>B4综合性商业金融服务业用地</t>
  </si>
  <si>
    <t>B1商业设施用地、B21金融保险用地</t>
  </si>
  <si>
    <t>丰台区</t>
  </si>
  <si>
    <t>北京市丰台区丽泽金融商务区D-01地块B4综合性商业金融服务业用地</t>
  </si>
  <si>
    <t>北京永丰数字先行科技有限责任公司</t>
  </si>
  <si>
    <t>2.20</t>
  </si>
  <si>
    <t>京土储挂(海)[2022]062号</t>
  </si>
  <si>
    <t>2022-10-31</t>
  </si>
  <si>
    <t>海淀区</t>
  </si>
  <si>
    <t>北京市海淀区西北旺镇永丰产业基地(新)HD00-0403-001地块F3其他类多功能用地</t>
  </si>
  <si>
    <t>北京永丰数字融汇科技有限责任公司</t>
  </si>
  <si>
    <t>京土储挂(海)[2022]063号</t>
  </si>
  <si>
    <t>北京市海淀区西北旺镇永丰产业基地(新)HD00-0403-009地块F3其他类多功能用地</t>
  </si>
  <si>
    <t>北京中关村工业互联网产业发展有限公司</t>
  </si>
  <si>
    <t>50年</t>
  </si>
  <si>
    <t>3</t>
  </si>
  <si>
    <t>京土储挂(石)[2022]070号</t>
  </si>
  <si>
    <t>2023-01-05</t>
  </si>
  <si>
    <t>B23研发设计用地</t>
  </si>
  <si>
    <t>石景山区</t>
  </si>
  <si>
    <t>北京市石景山区中关村科技园石景山园北Ⅱ区西井地块土地一级开发项目1606-605地块B23研发设计用地</t>
  </si>
  <si>
    <t>北京市平谷区联扶实业管理有限公司</t>
  </si>
  <si>
    <t>1.90</t>
  </si>
  <si>
    <t>京土储挂(平)[2022]071号</t>
  </si>
  <si>
    <t>2023-01-10</t>
  </si>
  <si>
    <t>B1商业用地</t>
  </si>
  <si>
    <t>B1商业设施用地</t>
  </si>
  <si>
    <t>平谷区</t>
  </si>
  <si>
    <t>北京市平谷区兴谷新消费综合体项目商业地块PG00-0106-0106地块B1商业用地</t>
  </si>
  <si>
    <t>空气(北京)氢能科技有限公司</t>
  </si>
  <si>
    <t>商业40年</t>
  </si>
  <si>
    <t>≤0.4</t>
  </si>
  <si>
    <t>京土储挂(兴临空)[2022]072号</t>
  </si>
  <si>
    <t>2023-01-19</t>
  </si>
  <si>
    <t>S5加油加气站(加氢站)用地</t>
  </si>
  <si>
    <t>B41加油加气站用地</t>
  </si>
  <si>
    <t>北京大兴国际机场临空经济区DX12-0105-6103地块S5加油加气站(加氢站)用地</t>
  </si>
  <si>
    <t>北京顺进商务咨询有限公司</t>
  </si>
  <si>
    <t>已开工</t>
  </si>
  <si>
    <t>4.39</t>
  </si>
  <si>
    <t>京土储挂(朝)[2023]001号</t>
  </si>
  <si>
    <t>2023-02-23</t>
  </si>
  <si>
    <t>朝阳区</t>
  </si>
  <si>
    <t>北京市朝阳区朝阳站交通枢纽南侧建设用地一体化项目0313-5597、5598、5599地块B4综合性商业金融服务业用地</t>
  </si>
  <si>
    <t>电建智汇(北京)运营管理有限公司</t>
  </si>
  <si>
    <t>2</t>
  </si>
  <si>
    <t>京规自集使挂(兴)[2023]002号</t>
  </si>
  <si>
    <t>2023-03-27</t>
  </si>
  <si>
    <t>F81集体产业用地</t>
  </si>
  <si>
    <t>大兴区西红门镇集体经营性建设用地2号地2-002A地块</t>
  </si>
  <si>
    <t>北京易创通景信息科技有限公司</t>
  </si>
  <si>
    <t>商业 40 年、办公 50 年</t>
  </si>
  <si>
    <t>京土储挂(通)〔2023〕004号</t>
  </si>
  <si>
    <t>2023-04-14</t>
  </si>
  <si>
    <t>B21金融保险用地、B1商业设施用地</t>
  </si>
  <si>
    <t>北京市通州区永顺镇0401街区 46号地块(西马庄收储) B4综合性商业金融服务业用地</t>
  </si>
  <si>
    <t>北京京东方医院有限公司</t>
  </si>
  <si>
    <t>fs00-dd06-0018、0019容积率1.6;0023、0024容积率2.5</t>
  </si>
  <si>
    <t>京土储挂(房)[2023]013号</t>
  </si>
  <si>
    <t>2023-06-12</t>
  </si>
  <si>
    <t>房山区</t>
  </si>
  <si>
    <t>北京市房山区窦店镇高端制造业基地06街区01地块FS00-DD06-0018、0019、0023、0024地块F3其他类多功能用地</t>
  </si>
  <si>
    <t>北京金唐丽行科技服务有限责任公司 、北京金唐建投科技服务中心(有限合伙) 、北京丽控建投科技服务中心(有限合伙)</t>
  </si>
  <si>
    <t>4.40</t>
  </si>
  <si>
    <t>京土储挂(丰)[2023]014号</t>
  </si>
  <si>
    <t>2023-06-13</t>
  </si>
  <si>
    <t>F3其他类多功能用地、S32公交场站设施用地</t>
  </si>
  <si>
    <t>S3交通枢纽用地、B商业服务业设施用地、S4交通场站用地</t>
  </si>
  <si>
    <t>北京市丰台区丽泽金融商务区FT00-0612-0016等地块F3其他类多功能用地、S32公交场站设施用地</t>
  </si>
  <si>
    <t>北京懋源鸿竺房地产开发有限公司</t>
  </si>
  <si>
    <t>4.50</t>
  </si>
  <si>
    <t>京土储挂(朝)[2023]031号</t>
  </si>
  <si>
    <t>2023-07-07</t>
  </si>
  <si>
    <t>北京市朝阳区太阳宫乡0301-613地块B4综合性商业金融服务业用地</t>
  </si>
  <si>
    <t>北京通州投资发展有限公司</t>
  </si>
  <si>
    <t>居住70年、商业40年、办公50年</t>
  </si>
  <si>
    <t>0146容积率3.82、0148容积率2.75</t>
  </si>
  <si>
    <t>京土储挂(通)〔2023〕032号</t>
  </si>
  <si>
    <t>F3 其他类多功能用地</t>
  </si>
  <si>
    <t>北京城市副中心0403街区FZX-0403-0146、0148地块F3 其他类多功能用地</t>
  </si>
  <si>
    <t>北京泽御置业有限公司</t>
  </si>
  <si>
    <t>京土储挂(海)[2023]039号</t>
  </si>
  <si>
    <t>2023-08-03</t>
  </si>
  <si>
    <t>北京市海淀区西北旺镇永丰产业基地(新)HD00-0403-004地块F3其他类多功能用地</t>
  </si>
  <si>
    <t>商业40年办公50年公服50年</t>
  </si>
  <si>
    <t>1.56</t>
  </si>
  <si>
    <t>京土储挂(通)[2023]042号</t>
  </si>
  <si>
    <t>2023-09-20</t>
  </si>
  <si>
    <t>北京城市副中心0201街区玉桥家园中心FZX-0201-0096、0102地块F3其他类多功能用地国有建设用地使用权出让公告</t>
  </si>
  <si>
    <t>北京图精科技有限公司</t>
  </si>
  <si>
    <t>2.30</t>
  </si>
  <si>
    <t>京土储挂(延)[2023]047号</t>
  </si>
  <si>
    <t>2023-10-08</t>
  </si>
  <si>
    <t>延庆区</t>
  </si>
  <si>
    <t>北京市延庆区八达岭经济开发区光谷三街南侧YQ02-0102-6028-1-1地块F3其他类多功能用地</t>
  </si>
  <si>
    <t>中国南水北调集团综合服务有限公司</t>
  </si>
  <si>
    <t>商业40年 办公50年</t>
  </si>
  <si>
    <t>小于等于7</t>
  </si>
  <si>
    <t>京土储挂(丰)[2023]067号</t>
  </si>
  <si>
    <t>2023-12-28</t>
  </si>
  <si>
    <t>北京丽泽金融商务区北区A地块建设及综合治理项目FT00-0609-0037(2)地块B4综合性商业金融服务业用地</t>
  </si>
  <si>
    <t>北京保恒置业发展有限公司</t>
  </si>
  <si>
    <t>2.40</t>
  </si>
  <si>
    <t>京土储挂(石)[2023]072号</t>
  </si>
  <si>
    <t>2024-01-17</t>
  </si>
  <si>
    <t>北京市石景山区中关村科技园区石景山园北I区1605-650地块B23研发设计用地</t>
  </si>
  <si>
    <t>腾讯科技(北京)有限公司</t>
  </si>
  <si>
    <t>商业 40 年; 办公 50 年; 公服(科研) 50 年</t>
  </si>
  <si>
    <t>4.04</t>
  </si>
  <si>
    <t>京土储挂(海)[2023]073号</t>
  </si>
  <si>
    <t>2024-01-23</t>
  </si>
  <si>
    <t>B4综合性商业金融服务业用地、B23研发设计用地</t>
  </si>
  <si>
    <t>北京市海淀区学院路北端A、B、C、J地块B4综合性商业金融服务业用地、 B23研发设计用地</t>
  </si>
  <si>
    <t>安徽省高速地产集团有限公司</t>
  </si>
  <si>
    <t>商业 40 年 办公 50 年</t>
  </si>
  <si>
    <t>1.76</t>
  </si>
  <si>
    <t>京土储挂(朝)[2023]074号</t>
  </si>
  <si>
    <t>2024-01-29</t>
  </si>
  <si>
    <t>北京市朝阳区大屯地区0205-659地块及周边储备用地B4综合性商业金融服务业用地</t>
  </si>
  <si>
    <t>北京中发展领航科技有限公司</t>
  </si>
  <si>
    <t>不大于2.3不小于2</t>
  </si>
  <si>
    <t>京土储挂(延)[2024]001号</t>
  </si>
  <si>
    <t>2024-02-07</t>
  </si>
  <si>
    <t>北京市延庆区八达岭经济开发区光谷三街南侧YQ02-0102-6028-2地块F3其他类多功能用地</t>
  </si>
  <si>
    <t>北京翠湖智达科技服务有限责任公司</t>
  </si>
  <si>
    <t>商业 40 年; 办公 50 年; 公服(科研) 20 年</t>
  </si>
  <si>
    <t>0175:1、6008:1.6</t>
  </si>
  <si>
    <t>京土储挂(海)[2024]008号</t>
  </si>
  <si>
    <t>2024-03-15</t>
  </si>
  <si>
    <t>F3其他类多功能用地、B23研发设计用地</t>
  </si>
  <si>
    <t>北京市海淀区中关村翠湖科技园A1地块HD00-0302-0175、6008地块F3其他类多功能用地、B23研发设计用地</t>
  </si>
  <si>
    <t>北京海开云创产业发展有限责任公司</t>
  </si>
  <si>
    <t>3.20</t>
  </si>
  <si>
    <t>京土储挂(海)[2024]015号</t>
  </si>
  <si>
    <t>2024-05-28</t>
  </si>
  <si>
    <t>综合性商业金融服务业用地</t>
  </si>
  <si>
    <t>北京市海淀区清河站北-安宁庄综合开发地块综合性商业金融服务业用地</t>
  </si>
  <si>
    <t>北京阳泰兴泉科技股份有限公司</t>
  </si>
  <si>
    <t>1</t>
  </si>
  <si>
    <t>京土储挂(海)[2024]014号</t>
  </si>
  <si>
    <t>0901商业用地</t>
  </si>
  <si>
    <t>北京市海淀区温泉镇中心区F16地块0901商业用地</t>
  </si>
  <si>
    <t>北京城市副中心投资建设集团有限公司</t>
  </si>
  <si>
    <t>地面层:0.04、地下一层:0.43、地下二层:0.74</t>
  </si>
  <si>
    <t>京土储挂(通)〔2024〕018号</t>
  </si>
  <si>
    <t>2024-06-18</t>
  </si>
  <si>
    <t>其他公园绿地、地下用地</t>
  </si>
  <si>
    <t>G1公园绿地</t>
  </si>
  <si>
    <t>北京城市副中心通州运河核心区6号地项目VIII-09瓮城遗址公园地块国有建设用地使用权出让</t>
  </si>
  <si>
    <t>北京罗红摄影艺术文化有限公司</t>
  </si>
  <si>
    <t>1.50</t>
  </si>
  <si>
    <t>京土储挂(顺)[2024]024号</t>
  </si>
  <si>
    <t>2024-07-22</t>
  </si>
  <si>
    <t>B4综合性商业金融服务用地</t>
  </si>
  <si>
    <t>顺义区</t>
  </si>
  <si>
    <t>北京市顺义区天竺旧村改造土地一级开发项目SY00-2801-0149地块B4综合性商业金融服务用地</t>
  </si>
  <si>
    <t>北京海创英才安居置业有限公司</t>
  </si>
  <si>
    <t>商业40年,办公50年</t>
  </si>
  <si>
    <t>≤2.5</t>
  </si>
  <si>
    <t>京土储挂(开)[2024]028号</t>
  </si>
  <si>
    <t>2024-08-19</t>
  </si>
  <si>
    <t>北京经济技术开发区亦庄新城0701 街区 N17F3地块F3其他类多功能用地</t>
  </si>
  <si>
    <t>北京航城兴贤商业管理有限公司</t>
  </si>
  <si>
    <t>1.30</t>
  </si>
  <si>
    <t>京土储挂(兴临空)〔2024〕030号</t>
  </si>
  <si>
    <t>2024-09-04</t>
  </si>
  <si>
    <t>北京大兴国际机场临空经济区 DX16-0104-0013地块F3其他类多功能用地</t>
  </si>
  <si>
    <t>北京通州鲸航置业发展有限公司</t>
  </si>
  <si>
    <t>京土储挂(通)〔2024〕031号</t>
  </si>
  <si>
    <t>2024-09-11</t>
  </si>
  <si>
    <t>北京城市副中心1202街区FZX-1202-0074地块 F3其他类多功能用地国有建设用地使用权挂牌出让</t>
  </si>
  <si>
    <t>北京九擎科技有限公司</t>
  </si>
  <si>
    <t>1.20</t>
  </si>
  <si>
    <t>京土储挂(平)[2024]041号</t>
  </si>
  <si>
    <t>2024-11-05</t>
  </si>
  <si>
    <t>商业用地</t>
  </si>
  <si>
    <t>北京市平谷区马坊镇02街区北区PG05-0101-D007地块商业用地</t>
  </si>
  <si>
    <t>北京闼闼同创商务有限公司</t>
  </si>
  <si>
    <t>办公50年;商业40年</t>
  </si>
  <si>
    <t>京规自挂(通)集[2024]004号</t>
  </si>
  <si>
    <t>2024-11-28</t>
  </si>
  <si>
    <t>村庄产业 用地(C3,商务办公等多功能用途)</t>
  </si>
  <si>
    <t>通州区潞城镇TZ02-0101-0009地块村庄产业用地项目(C3,商务办公等多功能用途)集体经营性建设用地</t>
  </si>
  <si>
    <t>北京绿野晴川动物园有限公司</t>
  </si>
  <si>
    <t>京规自集使挂(兴)[2024]003号</t>
  </si>
  <si>
    <t>2025-01-22</t>
  </si>
  <si>
    <t>大兴区榆垡镇DX09-1301-6401等地块F81集体产业用地</t>
  </si>
  <si>
    <t>北京中关村大街建设发展有限公司</t>
  </si>
  <si>
    <t>未开工</t>
  </si>
  <si>
    <t>商业 40 年,办公 50 年</t>
  </si>
  <si>
    <t>1.03</t>
  </si>
  <si>
    <t>京土储挂(海)[2025]001号</t>
  </si>
  <si>
    <t>2025-02-18</t>
  </si>
  <si>
    <t>北京市海淀区六郎庄项目HD00-1010-0002、0003、0004地块F3其他类多功能用地</t>
  </si>
  <si>
    <t>北京水务投资集团有限公司</t>
  </si>
  <si>
    <t>商业40 年,办公50 年</t>
  </si>
  <si>
    <t>京土储挂(通)[2025]003号</t>
  </si>
  <si>
    <t>2025-02-25</t>
  </si>
  <si>
    <t>北京城市副中心站综合交通枢纽地区 FZX-0101-03单元FZX-0101-0307 (3)地块F3其他类多功能用地</t>
  </si>
  <si>
    <t>北京国泰东风商城有限公司</t>
  </si>
  <si>
    <t>商业 40 年</t>
  </si>
  <si>
    <t>京土储挂(顺)[2025]005号</t>
  </si>
  <si>
    <t>2025-02-26</t>
  </si>
  <si>
    <t>北京市顺义区顺义新城0201街区东风商场片区项目SY00-0201-116地块B1商业用地</t>
  </si>
  <si>
    <t>北京祥龙物业经营管理有限公司</t>
  </si>
  <si>
    <t>4</t>
  </si>
  <si>
    <t>京土储挂(通)[2025]007号</t>
  </si>
  <si>
    <t>2025-03-03</t>
  </si>
  <si>
    <t>北京城市副中心站综合交通枢纽地区 FZX-0101-03单元FZX-0101-0307 (1)地块F3其他类多功能用地</t>
  </si>
  <si>
    <t>北京市基础设施投资有限公司</t>
  </si>
  <si>
    <t>0306:1.4, 0307(2):2.6,0309:7.5</t>
  </si>
  <si>
    <t>京土储挂(通)[2025]008号</t>
  </si>
  <si>
    <t>北京城市副中心站综合交通枢纽地区 FZX-0101-03单元FZX-0101-0306、 0307(2)、0309地块 F3其他类多功能用地</t>
  </si>
  <si>
    <t>用地性质</t>
  </si>
  <si>
    <t>受让单位</t>
  </si>
  <si>
    <t>开工进度</t>
  </si>
  <si>
    <t>出让年限(年)</t>
  </si>
  <si>
    <t>溢价率(%)</t>
  </si>
  <si>
    <t>成交楼面价(元/㎡)</t>
  </si>
  <si>
    <t>推出楼面价(元/㎡)</t>
  </si>
  <si>
    <t>成交每亩价(万元/亩)</t>
  </si>
  <si>
    <t>出让方式</t>
  </si>
  <si>
    <t>容积率上限</t>
  </si>
  <si>
    <t>容积率</t>
  </si>
  <si>
    <t>成交价(万元)</t>
  </si>
  <si>
    <t>规划建筑面积(㎡)</t>
  </si>
  <si>
    <t>建设用地面积(㎡)</t>
  </si>
  <si>
    <t>公告编号</t>
  </si>
  <si>
    <t>成交时间</t>
  </si>
  <si>
    <t>详细规划</t>
  </si>
  <si>
    <t>建设用地分类</t>
  </si>
  <si>
    <t>区县</t>
  </si>
  <si>
    <t>地块编号</t>
  </si>
  <si>
    <t>地块名称</t>
  </si>
  <si>
    <t>板块</t>
  </si>
  <si>
    <t>土地位置</t>
  </si>
  <si>
    <t>公告时间</t>
  </si>
  <si>
    <t>起始时间</t>
  </si>
  <si>
    <t>截止时间</t>
  </si>
  <si>
    <t>土地级别</t>
    <phoneticPr fontId="134" type="noConversion"/>
  </si>
  <si>
    <t>案例土地级别对应修正系数</t>
    <phoneticPr fontId="134" type="noConversion"/>
  </si>
  <si>
    <t>案例土地级别对应容积率1修正系数</t>
    <phoneticPr fontId="134" type="noConversion"/>
  </si>
  <si>
    <t>成交土地单价(元/㎡)</t>
  </si>
  <si>
    <t>折算案例当前土地级别容积率1的楼面价</t>
    <phoneticPr fontId="134" type="noConversion"/>
  </si>
  <si>
    <t>折算估价对象土地级别容积率1的地面价</t>
    <phoneticPr fontId="134" type="noConversion"/>
  </si>
  <si>
    <t>拿地企业</t>
  </si>
  <si>
    <t>企业性质</t>
  </si>
  <si>
    <t>是否城投企业</t>
  </si>
  <si>
    <t xml:space="preserve"> 延庆区 </t>
  </si>
  <si>
    <t xml:space="preserve"> 康庄 </t>
  </si>
  <si>
    <t xml:space="preserve"> 延庆区康庄镇 </t>
  </si>
  <si>
    <t xml:space="preserve"> 商业/办公用地 </t>
  </si>
  <si>
    <t xml:space="preserve"> B2商务设施用地 </t>
  </si>
  <si>
    <t xml:space="preserve"> F3其他类多功能用地 </t>
  </si>
  <si>
    <t xml:space="preserve"> 京土储挂(延)[2024]001号 </t>
  </si>
  <si>
    <t xml:space="preserve"> 不大于2.3不小于2 </t>
  </si>
  <si>
    <t xml:space="preserve"> 挂牌 </t>
  </si>
  <si>
    <t xml:space="preserve"> 商业 40 年 办公 50 年 </t>
  </si>
  <si>
    <t xml:space="preserve"> 已开工 </t>
  </si>
  <si>
    <t xml:space="preserve"> 北京中发展领航科技有限公司  </t>
  </si>
  <si>
    <t xml:space="preserve"> 北京建工,中关村发展,北京城建集团 </t>
  </si>
  <si>
    <t xml:space="preserve"> 地方国有企业，地方国有企业，地方国有企业 </t>
  </si>
  <si>
    <t xml:space="preserve"> 城投企业，城投企业，城投企业 </t>
  </si>
  <si>
    <t xml:space="preserve"> 朝阳区 </t>
  </si>
  <si>
    <t xml:space="preserve"> 奥运场馆周边 </t>
  </si>
  <si>
    <t xml:space="preserve"> 朝阳区惠新西街立交桥东北角 </t>
  </si>
  <si>
    <t xml:space="preserve"> B21金融保险用地、B1商业设施用地 </t>
  </si>
  <si>
    <t xml:space="preserve"> B4综合性商业金融服务业用地 </t>
  </si>
  <si>
    <t xml:space="preserve"> 京土储挂(朝)[2023]074号 </t>
  </si>
  <si>
    <t xml:space="preserve"> 安徽省高速地产集团有限公司  </t>
  </si>
  <si>
    <t xml:space="preserve"> 高速地产集团 </t>
  </si>
  <si>
    <t xml:space="preserve"> 地方国有企业 </t>
  </si>
  <si>
    <t xml:space="preserve"> -- </t>
  </si>
  <si>
    <t xml:space="preserve"> 海淀区 </t>
  </si>
  <si>
    <t xml:space="preserve"> 学清路 </t>
  </si>
  <si>
    <t xml:space="preserve"> 海淀区学院路地区 </t>
  </si>
  <si>
    <t xml:space="preserve"> B4综合性商业金融服务业用地、B23研发设计用地 </t>
  </si>
  <si>
    <t xml:space="preserve"> 京土储挂(海)[2023]073号 </t>
  </si>
  <si>
    <t xml:space="preserve"> 商业 40 年; 办公 50 年; 公服(科研) 50 年 </t>
  </si>
  <si>
    <t xml:space="preserve"> 腾讯科技(北京)有限公司  </t>
  </si>
  <si>
    <t xml:space="preserve"> 腾讯科技（北京）有限公司 </t>
  </si>
  <si>
    <t xml:space="preserve"> 石景山区 </t>
  </si>
  <si>
    <t xml:space="preserve"> 温泉 </t>
  </si>
  <si>
    <t xml:space="preserve"> 石景山区苹果园地区 </t>
  </si>
  <si>
    <t xml:space="preserve"> B23研发设计用地 </t>
  </si>
  <si>
    <t xml:space="preserve"> 京土储挂(石)[2023]072号 </t>
  </si>
  <si>
    <t xml:space="preserve"> 北京保恒置业发展有限公司  </t>
  </si>
  <si>
    <t xml:space="preserve"> 石景山国资投资 </t>
  </si>
  <si>
    <t xml:space="preserve"> 城投企业 </t>
  </si>
  <si>
    <t xml:space="preserve"> 丰台区 </t>
  </si>
  <si>
    <t xml:space="preserve"> 六里桥 </t>
  </si>
  <si>
    <t xml:space="preserve"> 丰台区太平桥街道 </t>
  </si>
  <si>
    <t xml:space="preserve"> 京土储挂(丰)[2023]067号 </t>
  </si>
  <si>
    <t xml:space="preserve"> 小于等于7 </t>
  </si>
  <si>
    <t xml:space="preserve"> 商业40年 办公50年 </t>
  </si>
  <si>
    <t xml:space="preserve"> 中国南水北调集团综合服务有限公司  </t>
  </si>
  <si>
    <t xml:space="preserve"> 中国南水北调集团有限公司 </t>
  </si>
  <si>
    <t xml:space="preserve"> B商业服务业设施用地 </t>
  </si>
  <si>
    <t xml:space="preserve"> 京土储挂(延)[2023]047号 </t>
  </si>
  <si>
    <t xml:space="preserve"> 商业40年办公50年 </t>
  </si>
  <si>
    <t xml:space="preserve"> 北京图精科技有限公司  </t>
  </si>
  <si>
    <t xml:space="preserve"> 北京图精科技有限公司 </t>
  </si>
  <si>
    <t xml:space="preserve"> 通州区 </t>
  </si>
  <si>
    <t xml:space="preserve"> 北苑街道、玉桥街道 </t>
  </si>
  <si>
    <t xml:space="preserve"> 城市副中心0201街区 </t>
  </si>
  <si>
    <t xml:space="preserve"> 京土储挂(通)[2023]042号 </t>
  </si>
  <si>
    <t xml:space="preserve"> 商业40年办公50年公服50年 </t>
  </si>
  <si>
    <t xml:space="preserve"> 北京通州投资发展有限公司  </t>
  </si>
  <si>
    <t xml:space="preserve"> 北投集团 </t>
  </si>
  <si>
    <t xml:space="preserve"> 海淀区西北旺镇永丰产业基地 </t>
  </si>
  <si>
    <t xml:space="preserve"> 京土储挂(海)[2023]039号 </t>
  </si>
  <si>
    <t xml:space="preserve"> 北京泽御置业有限公司  </t>
  </si>
  <si>
    <t xml:space="preserve"> 北京市海淀区玉渊潭农工商总公司 </t>
  </si>
  <si>
    <t xml:space="preserve"> 城市副中心0403街区 </t>
  </si>
  <si>
    <t xml:space="preserve"> F3 其他类多功能用地 </t>
  </si>
  <si>
    <t xml:space="preserve"> 京土储挂(通)〔2023〕032号 </t>
  </si>
  <si>
    <t xml:space="preserve"> 0146容积率3.82、0148容积率2.75 </t>
  </si>
  <si>
    <t xml:space="preserve"> 居住70年、商业40年、办公50年 </t>
  </si>
  <si>
    <t xml:space="preserve"> 太阳宫 </t>
  </si>
  <si>
    <t xml:space="preserve"> 朝阳区太阳宫乡 </t>
  </si>
  <si>
    <t xml:space="preserve"> 京土储挂(朝)[2023]031号 </t>
  </si>
  <si>
    <t xml:space="preserve"> 北京懋源鸿竺房地产开发有限公司  </t>
  </si>
  <si>
    <t xml:space="preserve"> 北京懋源 </t>
  </si>
  <si>
    <t xml:space="preserve"> 民营企业 </t>
  </si>
  <si>
    <t xml:space="preserve"> 菜户营、西罗园 </t>
  </si>
  <si>
    <t xml:space="preserve"> S3交通枢纽用地、B商业服务业设施用地、S4交通场站用地 </t>
  </si>
  <si>
    <t xml:space="preserve"> F3其他类多功能用地、S32公交场站设施用地 </t>
  </si>
  <si>
    <t xml:space="preserve"> 京土储挂(丰)[2023]014号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</si>
  <si>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</si>
  <si>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</si>
  <si>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 </t>
  </si>
  <si>
    <t xml:space="preserve"> --，--，城投企业 </t>
  </si>
  <si>
    <t xml:space="preserve"> 房山区 </t>
  </si>
  <si>
    <t xml:space="preserve"> 窦店 </t>
  </si>
  <si>
    <t xml:space="preserve"> 房山区窦店镇、良乡镇 </t>
  </si>
  <si>
    <t xml:space="preserve"> 京土储挂(房)[2023]013号 </t>
  </si>
  <si>
    <t xml:space="preserve"> fs00-dd06-0018、0019容积率1.6;0023、0024容积率2.5 </t>
  </si>
  <si>
    <t xml:space="preserve"> 北京京东方医院有限公司  </t>
  </si>
  <si>
    <t xml:space="preserve"> 京东方科技 </t>
  </si>
  <si>
    <t xml:space="preserve"> 定福庄、管庄 </t>
  </si>
  <si>
    <t xml:space="preserve"> 通州区永顺镇 </t>
  </si>
  <si>
    <t xml:space="preserve"> 京土储挂(通)〔2023〕004号 </t>
  </si>
  <si>
    <t xml:space="preserve"> ≤2.8 </t>
  </si>
  <si>
    <t xml:space="preserve"> 商业 40 年、办公 50 年 </t>
  </si>
  <si>
    <t xml:space="preserve"> 北京易创通景信息科技有限公司  </t>
  </si>
  <si>
    <t xml:space="preserve"> 国韬科技文化发展（珠海）有限公司 </t>
  </si>
  <si>
    <t xml:space="preserve"> 大兴区 </t>
  </si>
  <si>
    <t xml:space="preserve"> 西红门 </t>
  </si>
  <si>
    <t xml:space="preserve"> 西红门镇 </t>
  </si>
  <si>
    <t xml:space="preserve"> F81集体产业用地 </t>
  </si>
  <si>
    <t xml:space="preserve"> 京规自集使挂(兴)[2023]002号 </t>
  </si>
  <si>
    <t xml:space="preserve"> 电建智汇(北京)运营管理有限公司  </t>
  </si>
  <si>
    <t xml:space="preserve"> 中国电建集团贵阳勘测设计研究院有限公司,中国电建集团中南勘测设计研究院有限公司,中信股份,中国电建 </t>
  </si>
  <si>
    <t xml:space="preserve"> --，--，中央国有企业，中央国有企业 </t>
  </si>
  <si>
    <t xml:space="preserve"> 姚家园 </t>
  </si>
  <si>
    <t xml:space="preserve"> 朝阳区东风乡 </t>
  </si>
  <si>
    <t xml:space="preserve"> 京土储挂(朝)[2023]001号 </t>
  </si>
  <si>
    <t xml:space="preserve"> 北京顺进商务咨询有限公司  </t>
  </si>
  <si>
    <t xml:space="preserve"> 华润置地 </t>
  </si>
  <si>
    <t xml:space="preserve"> 中央国有企业 </t>
  </si>
  <si>
    <t xml:space="preserve"> 榆垡 </t>
  </si>
  <si>
    <t xml:space="preserve"> 大兴区礼贤镇 </t>
  </si>
  <si>
    <t xml:space="preserve"> B41加油加气站用地 </t>
  </si>
  <si>
    <t xml:space="preserve"> S5加油加气站(加氢站)用地 </t>
  </si>
  <si>
    <t xml:space="preserve"> 京土储挂(兴临空)[2022]072号 </t>
  </si>
  <si>
    <t xml:space="preserve"> ≤0.4 </t>
  </si>
  <si>
    <t xml:space="preserve"> 商业40年 </t>
  </si>
  <si>
    <t xml:space="preserve"> 空气(北京)氢能科技有限公司  </t>
  </si>
  <si>
    <t xml:space="preserve"> 平谷区 </t>
  </si>
  <si>
    <t xml:space="preserve"> 兴谷街道 </t>
  </si>
  <si>
    <t xml:space="preserve"> 平谷区兴谷街道 </t>
  </si>
  <si>
    <t xml:space="preserve"> B1商业设施用地 </t>
  </si>
  <si>
    <t xml:space="preserve"> B1商业用地 </t>
  </si>
  <si>
    <t xml:space="preserve"> 京土储挂(平)[2022]071号 </t>
  </si>
  <si>
    <t xml:space="preserve"> 北京市平谷区联扶实业管理有限公司  </t>
  </si>
  <si>
    <t xml:space="preserve"> 北京市平谷区联扶实业管理有限公司 </t>
  </si>
  <si>
    <t xml:space="preserve"> 苹果园、八角、金顶街 </t>
  </si>
  <si>
    <t xml:space="preserve"> 京土储挂(石)[2022]070号 </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</si>
  <si>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</si>
  <si>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</si>
  <si>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</si>
  <si>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</si>
  <si>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</si>
  <si>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 xml:space="preserve"> 海淀区永丰产业基地 </t>
  </si>
  <si>
    <t xml:space="preserve"> 京土储挂(海)[2022]063号 </t>
  </si>
  <si>
    <t xml:space="preserve"> 北京永丰数字融汇科技有限责任公司  </t>
  </si>
  <si>
    <t xml:space="preserve"> 北京实创科技园 </t>
  </si>
  <si>
    <t xml:space="preserve"> 京土储挂(海)[2022]062号 </t>
  </si>
  <si>
    <t xml:space="preserve"> 北京永丰数字先行科技有限责任公司  </t>
  </si>
  <si>
    <t xml:space="preserve"> 京土储挂(丰)[2022]043号 </t>
  </si>
  <si>
    <t xml:space="preserve"> ≤6.33 </t>
  </si>
  <si>
    <t xml:space="preserve"> 北京福榕置业有限公司  </t>
  </si>
  <si>
    <t xml:space="preserve"> 福建国资,福建高速,福建投资开发 </t>
  </si>
  <si>
    <t xml:space="preserve"> 张家湾 </t>
  </si>
  <si>
    <t xml:space="preserve"> 通州区张家湾镇 </t>
  </si>
  <si>
    <t xml:space="preserve"> 京土储挂(通)〔2022〕041号 </t>
  </si>
  <si>
    <t xml:space="preserve"> ≤2.2 </t>
  </si>
  <si>
    <t xml:space="preserve"> 商业40年、办公50年 </t>
  </si>
  <si>
    <t xml:space="preserve"> 北京未来科创建筑有限公司  </t>
  </si>
  <si>
    <t xml:space="preserve"> 北京未来科创建筑有限公司 </t>
  </si>
  <si>
    <t xml:space="preserve"> 京土储挂(通)〔2022〕042号 </t>
  </si>
  <si>
    <t xml:space="preserve"> 北京市工程咨询有限公司  </t>
  </si>
  <si>
    <t xml:space="preserve"> 梨园 </t>
  </si>
  <si>
    <t xml:space="preserve"> 北京城市副中心12组团 </t>
  </si>
  <si>
    <t xml:space="preserve"> 京土储挂(通)〔2022〕040号 </t>
  </si>
  <si>
    <t xml:space="preserve"> 商业 40 年、 办公 50 年 </t>
  </si>
  <si>
    <t xml:space="preserve"> 北京首旅城市副中心投资有限公司  </t>
  </si>
  <si>
    <t xml:space="preserve"> 北京首旅集团 </t>
  </si>
  <si>
    <t xml:space="preserve"> 台湖 </t>
  </si>
  <si>
    <t xml:space="preserve"> 北京经济技术开发区亦庄新城0303街区C14C-3地块 </t>
  </si>
  <si>
    <t xml:space="preserve"> 京土储挂(开)[2022]039号 </t>
  </si>
  <si>
    <t xml:space="preserve"> ≤5.0 </t>
  </si>
  <si>
    <t xml:space="preserve"> 商业40 年、办公 50 年 </t>
  </si>
  <si>
    <t xml:space="preserve"> 北京京东昆岳科技产业创新发展有限公司  </t>
  </si>
  <si>
    <t xml:space="preserve"> 北京京东昆岳科技产业创新发展有限公司 </t>
  </si>
  <si>
    <t xml:space="preserve"> 礼贤 </t>
  </si>
  <si>
    <t xml:space="preserve"> 京土储挂(兴临空)[2022]020号 </t>
  </si>
  <si>
    <t xml:space="preserve"> 北京新航城建设实业发展有限公司  </t>
  </si>
  <si>
    <t xml:space="preserve"> 北京新航城 </t>
  </si>
  <si>
    <t>北京大兴国际机场临空经济区(北京部分)0205街区DX09-0103-0205地块B4综合性商业金融服务业用地</t>
  </si>
  <si>
    <t>京土储挂(兴临空)[2022]019号</t>
  </si>
  <si>
    <t xml:space="preserve"> 大兴区榆垡镇 </t>
  </si>
  <si>
    <t xml:space="preserve"> B1商业设施用地、B21金融保险用地 </t>
  </si>
  <si>
    <t xml:space="preserve"> 京土储挂(兴临空)[2022]019号 </t>
  </si>
  <si>
    <t xml:space="preserve"> 40年 </t>
  </si>
  <si>
    <t xml:space="preserve"> 已竣工 </t>
  </si>
  <si>
    <t>北京经济技术开发区亦庄新城0902街区JG01-07地块F3其他类多功能用地</t>
  </si>
  <si>
    <t>京土整储挂(开)[2021]099号</t>
  </si>
  <si>
    <t xml:space="preserve"> 旧宫 </t>
  </si>
  <si>
    <t xml:space="preserve"> 北京经济技术开发区亦庄新城0902街区JG01-07 </t>
  </si>
  <si>
    <t xml:space="preserve"> 京土整储挂(开)[2021]099号 </t>
  </si>
  <si>
    <t xml:space="preserve"> 中国太平洋人寿保险股份有限公司  </t>
  </si>
  <si>
    <t xml:space="preserve"> 太平洋人寿 </t>
  </si>
  <si>
    <t>北京市怀柔区怀北、雁栖镇HR00-0211-6031地块〔城市客厅B地块(北侧地块)〕F3其他类多功能用地(怀柔科学城核心区及周边土地一级开发项目)</t>
  </si>
  <si>
    <t>京土整储挂(怀)[2021]097号</t>
  </si>
  <si>
    <t xml:space="preserve"> 怀柔区 </t>
  </si>
  <si>
    <t xml:space="preserve"> 怀北、怀柔 </t>
  </si>
  <si>
    <t xml:space="preserve"> 怀柔区怀北镇、雁栖镇 </t>
  </si>
  <si>
    <t xml:space="preserve"> 京土整储挂(怀)[2021]097号 </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</si>
  <si>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</si>
  <si>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</si>
  <si>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</si>
  <si>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京土整储挂(怀)[2021]098号 </t>
  </si>
  <si>
    <t xml:space="preserve"> 北京怀柔科学城城开四部开发建设有限公司  </t>
  </si>
  <si>
    <t xml:space="preserve"> 怀柔科学城 </t>
  </si>
  <si>
    <t>北京城市副中心0101街区FZX-0101-0902地块F3其他类多功能用地</t>
  </si>
  <si>
    <t>京土整储挂(通)[2021]096号</t>
  </si>
  <si>
    <t xml:space="preserve"> 潞城 </t>
  </si>
  <si>
    <t xml:space="preserve"> 北京城市副中心01组团 </t>
  </si>
  <si>
    <t xml:space="preserve"> 京土整储挂(通)[2021]096号 </t>
  </si>
  <si>
    <t xml:space="preserve"> 商业40年,办公50年 </t>
  </si>
  <si>
    <t xml:space="preserve"> 华夏银行股份有限公司  </t>
  </si>
  <si>
    <t>北京市大兴区黄村镇DX00-0201-6001地块B14旅馆用地</t>
  </si>
  <si>
    <t>京土整储挂(兴)[2021]089号</t>
  </si>
  <si>
    <t xml:space="preserve"> 林校路街道 </t>
  </si>
  <si>
    <t xml:space="preserve"> 大兴区黄村镇 </t>
  </si>
  <si>
    <t xml:space="preserve"> B14旅馆用地 </t>
  </si>
  <si>
    <t xml:space="preserve"> 京土整储挂(兴)[2021]089号 </t>
  </si>
  <si>
    <t xml:space="preserve"> 北京大兴宾馆有限责任公司  </t>
  </si>
  <si>
    <t xml:space="preserve"> 北京兴创投资 </t>
  </si>
  <si>
    <t>北京市海淀区西北旺镇永丰产业基地(新)HD00-0403-024地块F3其他类多功能用地</t>
  </si>
  <si>
    <t>京土整储挂(海)[2021] 082号</t>
  </si>
  <si>
    <t xml:space="preserve"> 海淀区永丰产业基地(新)一级开发组团J地块内 </t>
  </si>
  <si>
    <t xml:space="preserve"> 京土整储挂(海)[2021] 082号 </t>
  </si>
  <si>
    <t xml:space="preserve"> 北京永丰数字共享科技有限责任公司  </t>
  </si>
  <si>
    <t>北京市海淀区西北旺镇永丰产业基地(新)HD00-0403-011地块F3其他类多功能用地</t>
  </si>
  <si>
    <t>京土整储挂(海)[2021] 081号</t>
  </si>
  <si>
    <t xml:space="preserve"> 京土整储挂(海)[2021] 081号 </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</si>
  <si>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</si>
  <si>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</si>
  <si>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</si>
  <si>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 </t>
  </si>
  <si>
    <t xml:space="preserve"> 北京市基础设施投资有限公司 、北京首都旅游集团有限责任公司 、北京城建集团有限责任公司  </t>
  </si>
  <si>
    <t xml:space="preserve"> 北京城建集团 </t>
  </si>
  <si>
    <t>北京市石景山区首钢园区东南区土地一级开发项目1612-774地块B4综合性商业金融服务业用地</t>
  </si>
  <si>
    <t>京土整储挂(石)[2021] 079号</t>
  </si>
  <si>
    <t xml:space="preserve"> 石景山区古城南街东侧 </t>
  </si>
  <si>
    <t xml:space="preserve"> 京土整储挂(石)[2021] 079号 </t>
  </si>
  <si>
    <t xml:space="preserve"> 北京首鹰置业有限公司  </t>
  </si>
  <si>
    <t xml:space="preserve"> 北京首鹰置业有限公司 </t>
  </si>
  <si>
    <t>北京市东城区广渠门外大街马圈土地一级开发项目0407-001地块F3其他类多功能用地</t>
  </si>
  <si>
    <t>京土整储挂(东)[2021] 076号</t>
  </si>
  <si>
    <t xml:space="preserve"> 东城区 </t>
  </si>
  <si>
    <t xml:space="preserve"> 劲松 </t>
  </si>
  <si>
    <t xml:space="preserve"> 东城区广渠门外大街22号 </t>
  </si>
  <si>
    <t xml:space="preserve"> F3(其他多功能用地) </t>
  </si>
  <si>
    <t xml:space="preserve"> 京土整储挂(东)[2021] 076号 </t>
  </si>
  <si>
    <t xml:space="preserve"> 福建隆恩建材贸易有限公司  </t>
  </si>
  <si>
    <t>北京市海淀区西北旺镇永丰产业基地(新)HD00-0403-003地块F3其他类多功能用地</t>
  </si>
  <si>
    <t>京土整储挂(海)[2021] 080号</t>
  </si>
  <si>
    <t xml:space="preserve"> 京土整储挂(海)[2021] 080号 </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</si>
  <si>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</si>
  <si>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</si>
  <si>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</si>
  <si>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 </t>
  </si>
  <si>
    <t xml:space="preserve"> B2商务用地 </t>
  </si>
  <si>
    <t xml:space="preserve"> 京土整储挂(通)[2021]032号 </t>
  </si>
  <si>
    <t xml:space="preserve"> ≤3.1 </t>
  </si>
  <si>
    <t xml:space="preserve"> 北京城市副中心投资建设集团有限公司  </t>
  </si>
  <si>
    <t>正常</t>
  </si>
  <si>
    <t>商务金融</t>
    <phoneticPr fontId="3" type="noConversion"/>
  </si>
  <si>
    <r>
      <t>F3</t>
    </r>
    <r>
      <rPr>
        <sz val="11"/>
        <rFont val="宋体"/>
        <family val="3"/>
        <charset val="134"/>
      </rPr>
      <t>其他类多功能用地</t>
    </r>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</si>
  <si>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</si>
  <si>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</si>
  <si>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</si>
  <si>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</si>
  <si>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</si>
  <si>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</si>
  <si>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</si>
  <si>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</si>
  <si>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商务金融</t>
  </si>
  <si>
    <t>B1商业设施用地</t>
    <phoneticPr fontId="3" type="noConversion"/>
  </si>
  <si>
    <t>七通</t>
  </si>
  <si>
    <t>较规则</t>
  </si>
  <si>
    <t>较适宜</t>
  </si>
  <si>
    <t>六通</t>
  </si>
  <si>
    <t>装修</t>
    <phoneticPr fontId="3" type="noConversion"/>
  </si>
  <si>
    <t>成新度</t>
    <phoneticPr fontId="3" type="noConversion"/>
  </si>
  <si>
    <t>毛坯</t>
  </si>
  <si>
    <t>毛坯</t>
    <phoneticPr fontId="24" type="noConversion"/>
  </si>
  <si>
    <t>90%-100%</t>
  </si>
  <si>
    <t>90%-100%</t>
    <phoneticPr fontId="24" type="noConversion"/>
  </si>
  <si>
    <r>
      <t>50</t>
    </r>
    <r>
      <rPr>
        <sz val="11"/>
        <color indexed="8"/>
        <rFont val="宋体"/>
        <family val="3"/>
        <charset val="134"/>
      </rPr>
      <t>年</t>
    </r>
    <phoneticPr fontId="30" type="noConversion"/>
  </si>
  <si>
    <t>现房</t>
  </si>
  <si>
    <t>项目局部</t>
  </si>
  <si>
    <t>郑燚</t>
  </si>
  <si>
    <t>吴薇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</si>
</sst>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font>
    <font>
      <i/>
      <sz val="9"/>
      <color theme="1"/>
      <name val="Arial"/>
      <family val="2"/>
    </font>
    <font>
      <i/>
      <sz val="9"/>
      <color theme="1"/>
      <name val="宋体"/>
      <family val="3"/>
      <charset val="134"/>
    </font>
    <font>
      <sz val="12"/>
      <color theme="1"/>
      <name val="宋体"/>
      <family val="2"/>
      <scheme val="minor"/>
    </font>
    <font>
      <sz val="9"/>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9" fontId="95" fillId="0" borderId="0" applyFont="0" applyFill="0" applyBorder="0" applyAlignment="0" applyProtection="0">
      <alignment vertical="center"/>
    </xf>
    <xf numFmtId="0" fontId="274" fillId="0" borderId="0"/>
  </cellStyleXfs>
  <cellXfs count="35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9" fillId="0" borderId="0" xfId="19" applyFont="1" applyAlignment="1">
      <alignment horizontal="left" vertical="center"/>
    </xf>
    <xf numFmtId="0" fontId="19" fillId="0" borderId="0" xfId="19" applyFont="1" applyAlignment="1">
      <alignment horizontal="left" vertical="center" wrapText="1"/>
    </xf>
    <xf numFmtId="0" fontId="19" fillId="0" borderId="1" xfId="19" applyFont="1" applyBorder="1" applyAlignment="1">
      <alignment horizontal="left" vertical="center"/>
    </xf>
    <xf numFmtId="0" fontId="19" fillId="0" borderId="1" xfId="19" applyFont="1" applyBorder="1" applyAlignment="1">
      <alignment horizontal="left" vertical="center" wrapText="1"/>
    </xf>
    <xf numFmtId="0" fontId="95" fillId="0" borderId="1" xfId="10" applyBorder="1" applyAlignment="1">
      <alignment horizontal="left" vertical="center"/>
    </xf>
    <xf numFmtId="0" fontId="19" fillId="5" borderId="1" xfId="19" applyFont="1" applyFill="1" applyBorder="1" applyAlignment="1">
      <alignment horizontal="left" vertical="center"/>
    </xf>
    <xf numFmtId="0" fontId="19" fillId="5" borderId="0" xfId="19" applyFont="1" applyFill="1" applyAlignment="1">
      <alignment horizontal="left" vertical="center"/>
    </xf>
    <xf numFmtId="0" fontId="19" fillId="0" borderId="1" xfId="19" applyFont="1" applyBorder="1" applyAlignment="1">
      <alignment horizontal="left" vertical="top" wrapText="1"/>
    </xf>
    <xf numFmtId="0" fontId="98" fillId="0" borderId="0" xfId="10" applyFont="1" applyAlignment="1">
      <alignment horizontal="left" vertical="center" wrapText="1"/>
    </xf>
    <xf numFmtId="0" fontId="98" fillId="0" borderId="1" xfId="10" applyFont="1" applyBorder="1" applyAlignment="1">
      <alignment horizontal="left" vertical="center" wrapText="1"/>
    </xf>
    <xf numFmtId="0" fontId="98" fillId="0" borderId="1" xfId="10" applyFont="1" applyBorder="1" applyAlignment="1">
      <alignment vertical="center" wrapText="1"/>
    </xf>
    <xf numFmtId="0" fontId="114" fillId="0" borderId="1" xfId="10" applyFont="1" applyBorder="1" applyAlignment="1">
      <alignment horizontal="left" vertical="center" wrapText="1"/>
    </xf>
    <xf numFmtId="0" fontId="272" fillId="0" borderId="1" xfId="10" applyFont="1" applyBorder="1" applyAlignment="1">
      <alignment horizontal="right" vertical="center" wrapText="1"/>
    </xf>
    <xf numFmtId="0" fontId="98" fillId="22" borderId="1" xfId="10" applyFont="1" applyFill="1" applyBorder="1" applyAlignment="1">
      <alignment horizontal="left" vertical="center" wrapText="1"/>
    </xf>
    <xf numFmtId="0" fontId="98" fillId="23" borderId="1" xfId="10" applyFont="1" applyFill="1" applyBorder="1" applyAlignment="1">
      <alignment vertical="center" wrapText="1"/>
    </xf>
    <xf numFmtId="0" fontId="98" fillId="23" borderId="1" xfId="10" applyFont="1" applyFill="1" applyBorder="1" applyAlignment="1">
      <alignment horizontal="left" vertical="center" wrapText="1"/>
    </xf>
    <xf numFmtId="0" fontId="265" fillId="0" borderId="1" xfId="10" applyFont="1" applyBorder="1" applyAlignment="1">
      <alignment horizontal="right" vertical="center" wrapText="1"/>
    </xf>
    <xf numFmtId="0" fontId="98" fillId="24" borderId="1" xfId="10" applyFont="1" applyFill="1" applyBorder="1" applyAlignment="1">
      <alignment horizontal="left" vertical="center" wrapText="1"/>
    </xf>
    <xf numFmtId="0" fontId="114" fillId="24" borderId="1" xfId="10" applyFont="1" applyFill="1" applyBorder="1" applyAlignment="1">
      <alignment horizontal="left" vertical="center" wrapText="1"/>
    </xf>
    <xf numFmtId="181" fontId="98" fillId="0" borderId="1" xfId="20" applyNumberFormat="1" applyFont="1" applyBorder="1" applyAlignment="1">
      <alignment horizontal="left" vertical="center" wrapText="1"/>
    </xf>
    <xf numFmtId="0" fontId="265" fillId="0" borderId="0" xfId="21" applyFont="1" applyAlignment="1">
      <alignment horizontal="left" vertical="center"/>
    </xf>
    <xf numFmtId="0" fontId="265" fillId="0" borderId="0" xfId="21" applyFont="1" applyAlignment="1">
      <alignment horizontal="left" vertical="center" wrapText="1"/>
    </xf>
    <xf numFmtId="0" fontId="265" fillId="0" borderId="1" xfId="21" applyFont="1" applyBorder="1" applyAlignment="1">
      <alignment horizontal="left" vertical="center" wrapText="1"/>
    </xf>
    <xf numFmtId="0" fontId="265" fillId="14" borderId="1" xfId="21" applyFont="1" applyFill="1" applyBorder="1" applyAlignment="1">
      <alignment horizontal="left" vertical="center" wrapText="1"/>
    </xf>
    <xf numFmtId="0" fontId="275" fillId="14" borderId="1" xfId="21" applyFont="1" applyFill="1" applyBorder="1" applyAlignment="1">
      <alignment horizontal="left" vertical="center" wrapText="1"/>
    </xf>
    <xf numFmtId="0" fontId="265" fillId="9" borderId="1" xfId="21" applyFont="1" applyFill="1" applyBorder="1" applyAlignment="1">
      <alignment horizontal="left" vertical="center" wrapText="1"/>
    </xf>
    <xf numFmtId="0" fontId="265" fillId="0" borderId="1" xfId="21" applyFont="1" applyBorder="1" applyAlignment="1">
      <alignment horizontal="left" vertical="center"/>
    </xf>
    <xf numFmtId="14" fontId="265" fillId="0" borderId="1" xfId="21" applyNumberFormat="1" applyFont="1" applyBorder="1" applyAlignment="1">
      <alignment horizontal="left" vertical="center"/>
    </xf>
    <xf numFmtId="0" fontId="265" fillId="14" borderId="1" xfId="21" applyFont="1" applyFill="1" applyBorder="1" applyAlignment="1">
      <alignment horizontal="left" vertical="center"/>
    </xf>
    <xf numFmtId="0" fontId="275" fillId="14" borderId="1" xfId="21" applyFont="1" applyFill="1" applyBorder="1" applyAlignment="1">
      <alignment horizontal="left" vertical="center"/>
    </xf>
    <xf numFmtId="0" fontId="265" fillId="9" borderId="1" xfId="21" applyFont="1" applyFill="1" applyBorder="1" applyAlignment="1">
      <alignment horizontal="left" vertical="center"/>
    </xf>
    <xf numFmtId="0" fontId="265" fillId="25" borderId="1" xfId="21" applyFont="1" applyFill="1" applyBorder="1" applyAlignment="1">
      <alignment horizontal="left" vertical="center" wrapText="1"/>
    </xf>
    <xf numFmtId="0" fontId="265" fillId="25" borderId="1" xfId="21" applyFont="1" applyFill="1" applyBorder="1" applyAlignment="1">
      <alignment horizontal="left" vertical="center"/>
    </xf>
    <xf numFmtId="14" fontId="265" fillId="25" borderId="1" xfId="21" applyNumberFormat="1" applyFont="1" applyFill="1" applyBorder="1" applyAlignment="1">
      <alignment horizontal="left" vertical="center"/>
    </xf>
    <xf numFmtId="0" fontId="265" fillId="25" borderId="0" xfId="21" applyFont="1" applyFill="1" applyAlignment="1">
      <alignment horizontal="left" vertical="center"/>
    </xf>
    <xf numFmtId="0" fontId="265" fillId="7" borderId="1" xfId="21" applyFont="1" applyFill="1" applyBorder="1" applyAlignment="1">
      <alignment horizontal="left" vertical="center" wrapText="1"/>
    </xf>
    <xf numFmtId="0" fontId="265" fillId="7" borderId="1" xfId="21" applyFont="1" applyFill="1" applyBorder="1" applyAlignment="1">
      <alignment horizontal="left" vertical="center"/>
    </xf>
    <xf numFmtId="14" fontId="265" fillId="7" borderId="1" xfId="21" applyNumberFormat="1" applyFont="1" applyFill="1" applyBorder="1" applyAlignment="1">
      <alignment horizontal="left" vertical="center"/>
    </xf>
    <xf numFmtId="0" fontId="265" fillId="7" borderId="0" xfId="21" applyFont="1" applyFill="1" applyAlignment="1">
      <alignment horizontal="left" vertical="center"/>
    </xf>
    <xf numFmtId="0" fontId="265" fillId="14" borderId="0" xfId="21" applyFont="1" applyFill="1" applyAlignment="1">
      <alignment horizontal="left" vertical="center"/>
    </xf>
    <xf numFmtId="0" fontId="275" fillId="14" borderId="0" xfId="21" applyFont="1" applyFill="1" applyAlignment="1">
      <alignment horizontal="left" vertical="center"/>
    </xf>
    <xf numFmtId="0" fontId="265" fillId="9" borderId="0" xfId="21" applyFont="1" applyFill="1" applyAlignment="1">
      <alignment horizontal="left" vertical="center"/>
    </xf>
    <xf numFmtId="0" fontId="275" fillId="25" borderId="1" xfId="21" applyFont="1" applyFill="1" applyBorder="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5" fillId="0" borderId="1" xfId="21" applyFont="1" applyBorder="1" applyAlignment="1">
      <alignment horizontal="left" vertical="center"/>
    </xf>
    <xf numFmtId="179" fontId="44" fillId="9" borderId="23" xfId="0" applyNumberFormat="1" applyFont="1" applyFill="1" applyBorder="1" applyAlignment="1" applyProtection="1">
      <alignment horizontal="center" vertical="center"/>
      <protection locked="0"/>
    </xf>
    <xf numFmtId="9" fontId="47" fillId="9" borderId="5" xfId="0" applyNumberFormat="1" applyFont="1" applyFill="1" applyBorder="1" applyAlignment="1" applyProtection="1">
      <alignment horizontal="center" vertical="center"/>
      <protection locked="0"/>
    </xf>
    <xf numFmtId="177" fontId="47" fillId="9" borderId="1" xfId="1" applyNumberFormat="1" applyFont="1" applyFill="1" applyBorder="1" applyAlignment="1" applyProtection="1">
      <alignment horizontal="center" vertical="center"/>
      <protection locked="0"/>
    </xf>
    <xf numFmtId="181" fontId="47" fillId="9" borderId="49" xfId="0" applyNumberFormat="1" applyFont="1" applyFill="1" applyBorder="1" applyAlignment="1" applyProtection="1">
      <alignment horizontal="center" vertical="center"/>
      <protection locked="0"/>
    </xf>
    <xf numFmtId="181" fontId="47" fillId="9" borderId="8" xfId="0" applyNumberFormat="1" applyFont="1" applyFill="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65" fillId="0" borderId="0" xfId="21" applyFont="1" applyAlignment="1">
      <alignment horizontal="left" vertical="center" wrapText="1"/>
    </xf>
    <xf numFmtId="0" fontId="265" fillId="0" borderId="0" xfId="21" applyFont="1" applyAlignment="1">
      <alignment horizontal="left" vertical="center"/>
    </xf>
    <xf numFmtId="0" fontId="98" fillId="0" borderId="1" xfId="10" applyFont="1" applyBorder="1" applyAlignment="1">
      <alignment horizontal="left" vertical="center" wrapText="1"/>
    </xf>
    <xf numFmtId="0" fontId="98" fillId="0" borderId="1" xfId="10" applyFont="1" applyBorder="1" applyAlignment="1">
      <alignment horizontal="center" vertical="center" wrapText="1"/>
    </xf>
    <xf numFmtId="0" fontId="114" fillId="22" borderId="1" xfId="10" applyFont="1" applyFill="1" applyBorder="1" applyAlignment="1">
      <alignment horizontal="left" vertical="center" wrapText="1"/>
    </xf>
    <xf numFmtId="0" fontId="98" fillId="22" borderId="1" xfId="10" applyFont="1" applyFill="1" applyBorder="1" applyAlignment="1">
      <alignment horizontal="left" vertical="center" wrapText="1"/>
    </xf>
    <xf numFmtId="0" fontId="98" fillId="24" borderId="1" xfId="10" applyFont="1" applyFill="1" applyBorder="1" applyAlignment="1">
      <alignment horizontal="left" vertical="center" wrapText="1"/>
    </xf>
    <xf numFmtId="0" fontId="19" fillId="0" borderId="0" xfId="19" applyFont="1" applyAlignment="1">
      <alignment horizontal="left" vertical="center"/>
    </xf>
    <xf numFmtId="0" fontId="19" fillId="0" borderId="35" xfId="19" applyFont="1" applyBorder="1" applyAlignment="1">
      <alignment horizontal="left" vertical="center"/>
    </xf>
    <xf numFmtId="0" fontId="19" fillId="0" borderId="0" xfId="19" applyFont="1" applyAlignment="1">
      <alignment horizontal="left" vertical="center" wrapText="1"/>
    </xf>
    <xf numFmtId="0" fontId="19" fillId="0" borderId="35" xfId="19" applyFont="1" applyBorder="1" applyAlignment="1">
      <alignment horizontal="left" vertical="center" wrapText="1"/>
    </xf>
    <xf numFmtId="0" fontId="19" fillId="0" borderId="1" xfId="19" applyFont="1" applyBorder="1" applyAlignment="1">
      <alignment horizontal="left" vertical="center"/>
    </xf>
    <xf numFmtId="0" fontId="98" fillId="0" borderId="0" xfId="1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14CE2A3-3FBE-4CE2-8D6E-AF3020931901}"/>
    <cellStyle name="常规" xfId="0" builtinId="0"/>
    <cellStyle name="常规 10" xfId="19" xr:uid="{2F225ABC-587A-4085-A9A6-422BB8C155DC}"/>
    <cellStyle name="常规 11" xfId="18" xr:uid="{00000000-0005-0000-0000-000003000000}"/>
    <cellStyle name="常规 12" xfId="21" xr:uid="{B1AFED1E-4465-4CE0-AF6B-05CCF65085B8}"/>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43</xdr:row>
      <xdr:rowOff>142875</xdr:rowOff>
    </xdr:from>
    <xdr:to>
      <xdr:col>21</xdr:col>
      <xdr:colOff>379524</xdr:colOff>
      <xdr:row>53</xdr:row>
      <xdr:rowOff>152180</xdr:rowOff>
    </xdr:to>
    <xdr:pic>
      <xdr:nvPicPr>
        <xdr:cNvPr id="2" name="图片 1">
          <a:extLst>
            <a:ext uri="{FF2B5EF4-FFF2-40B4-BE49-F238E27FC236}">
              <a16:creationId xmlns:a16="http://schemas.microsoft.com/office/drawing/2014/main" id="{E17D5BB8-D3B6-47A8-A4EE-D34A66239DA6}"/>
            </a:ext>
          </a:extLst>
        </xdr:cNvPr>
        <xdr:cNvPicPr>
          <a:picLocks noChangeAspect="1"/>
        </xdr:cNvPicPr>
      </xdr:nvPicPr>
      <xdr:blipFill>
        <a:blip xmlns:r="http://schemas.openxmlformats.org/officeDocument/2006/relationships" r:embed="rId1"/>
        <a:stretch>
          <a:fillRect/>
        </a:stretch>
      </xdr:blipFill>
      <xdr:spPr>
        <a:xfrm>
          <a:off x="7134225" y="7267575"/>
          <a:ext cx="11809524" cy="1761905"/>
        </a:xfrm>
        <a:prstGeom prst="rect">
          <a:avLst/>
        </a:prstGeom>
      </xdr:spPr>
    </xdr:pic>
    <xdr:clientData/>
  </xdr:twoCellAnchor>
  <xdr:twoCellAnchor editAs="oneCell">
    <xdr:from>
      <xdr:col>6</xdr:col>
      <xdr:colOff>76200</xdr:colOff>
      <xdr:row>39</xdr:row>
      <xdr:rowOff>57150</xdr:rowOff>
    </xdr:from>
    <xdr:to>
      <xdr:col>10</xdr:col>
      <xdr:colOff>285368</xdr:colOff>
      <xdr:row>44</xdr:row>
      <xdr:rowOff>76092</xdr:rowOff>
    </xdr:to>
    <xdr:pic>
      <xdr:nvPicPr>
        <xdr:cNvPr id="3" name="图片 2">
          <a:extLst>
            <a:ext uri="{FF2B5EF4-FFF2-40B4-BE49-F238E27FC236}">
              <a16:creationId xmlns:a16="http://schemas.microsoft.com/office/drawing/2014/main" id="{0C2FA497-8686-486C-9CA4-5031756059A5}"/>
            </a:ext>
          </a:extLst>
        </xdr:cNvPr>
        <xdr:cNvPicPr>
          <a:picLocks noChangeAspect="1"/>
        </xdr:cNvPicPr>
      </xdr:nvPicPr>
      <xdr:blipFill>
        <a:blip xmlns:r="http://schemas.openxmlformats.org/officeDocument/2006/relationships" r:embed="rId2"/>
        <a:stretch>
          <a:fillRect/>
        </a:stretch>
      </xdr:blipFill>
      <xdr:spPr>
        <a:xfrm>
          <a:off x="7162800" y="6515100"/>
          <a:ext cx="3057143" cy="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13</xdr:col>
      <xdr:colOff>284405</xdr:colOff>
      <xdr:row>89</xdr:row>
      <xdr:rowOff>104094</xdr:rowOff>
    </xdr:to>
    <xdr:pic>
      <xdr:nvPicPr>
        <xdr:cNvPr id="2" name="图片 1">
          <a:extLst>
            <a:ext uri="{FF2B5EF4-FFF2-40B4-BE49-F238E27FC236}">
              <a16:creationId xmlns:a16="http://schemas.microsoft.com/office/drawing/2014/main" id="{938AC7FC-3420-4403-B045-B9908F314231}"/>
            </a:ext>
          </a:extLst>
        </xdr:cNvPr>
        <xdr:cNvPicPr>
          <a:picLocks noChangeAspect="1"/>
        </xdr:cNvPicPr>
      </xdr:nvPicPr>
      <xdr:blipFill>
        <a:blip xmlns:r="http://schemas.openxmlformats.org/officeDocument/2006/relationships" r:embed="rId1"/>
        <a:stretch>
          <a:fillRect/>
        </a:stretch>
      </xdr:blipFill>
      <xdr:spPr>
        <a:xfrm>
          <a:off x="0" y="17811750"/>
          <a:ext cx="10761905" cy="5447619"/>
        </a:xfrm>
        <a:prstGeom prst="rect">
          <a:avLst/>
        </a:prstGeom>
      </xdr:spPr>
    </xdr:pic>
    <xdr:clientData/>
  </xdr:twoCellAnchor>
  <xdr:twoCellAnchor>
    <xdr:from>
      <xdr:col>6</xdr:col>
      <xdr:colOff>990600</xdr:colOff>
      <xdr:row>73</xdr:row>
      <xdr:rowOff>47625</xdr:rowOff>
    </xdr:from>
    <xdr:to>
      <xdr:col>7</xdr:col>
      <xdr:colOff>0</xdr:colOff>
      <xdr:row>75</xdr:row>
      <xdr:rowOff>28575</xdr:rowOff>
    </xdr:to>
    <xdr:sp macro="" textlink="">
      <xdr:nvSpPr>
        <xdr:cNvPr id="3" name="六角星 4">
          <a:extLst>
            <a:ext uri="{FF2B5EF4-FFF2-40B4-BE49-F238E27FC236}">
              <a16:creationId xmlns:a16="http://schemas.microsoft.com/office/drawing/2014/main" id="{6A98EA25-17FE-4360-BEC1-D1D0FFB90268}"/>
            </a:ext>
          </a:extLst>
        </xdr:cNvPr>
        <xdr:cNvSpPr/>
      </xdr:nvSpPr>
      <xdr:spPr>
        <a:xfrm>
          <a:off x="6381750" y="206121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342900</xdr:colOff>
      <xdr:row>73</xdr:row>
      <xdr:rowOff>47625</xdr:rowOff>
    </xdr:from>
    <xdr:to>
      <xdr:col>6</xdr:col>
      <xdr:colOff>628650</xdr:colOff>
      <xdr:row>75</xdr:row>
      <xdr:rowOff>28575</xdr:rowOff>
    </xdr:to>
    <xdr:sp macro="" textlink="">
      <xdr:nvSpPr>
        <xdr:cNvPr id="4" name="六角星 5">
          <a:extLst>
            <a:ext uri="{FF2B5EF4-FFF2-40B4-BE49-F238E27FC236}">
              <a16:creationId xmlns:a16="http://schemas.microsoft.com/office/drawing/2014/main" id="{B954B9D0-097C-4D88-8C61-4469FAE87015}"/>
            </a:ext>
          </a:extLst>
        </xdr:cNvPr>
        <xdr:cNvSpPr/>
      </xdr:nvSpPr>
      <xdr:spPr>
        <a:xfrm>
          <a:off x="5734050" y="206121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952500</xdr:colOff>
      <xdr:row>75</xdr:row>
      <xdr:rowOff>28575</xdr:rowOff>
    </xdr:from>
    <xdr:to>
      <xdr:col>6</xdr:col>
      <xdr:colOff>1238250</xdr:colOff>
      <xdr:row>77</xdr:row>
      <xdr:rowOff>9525</xdr:rowOff>
    </xdr:to>
    <xdr:sp macro="" textlink="">
      <xdr:nvSpPr>
        <xdr:cNvPr id="5" name="六角星 6">
          <a:extLst>
            <a:ext uri="{FF2B5EF4-FFF2-40B4-BE49-F238E27FC236}">
              <a16:creationId xmlns:a16="http://schemas.microsoft.com/office/drawing/2014/main" id="{07126A85-31E6-4BF6-B81E-83C1689292DE}"/>
            </a:ext>
          </a:extLst>
        </xdr:cNvPr>
        <xdr:cNvSpPr/>
      </xdr:nvSpPr>
      <xdr:spPr>
        <a:xfrm>
          <a:off x="6343650" y="209169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76200</xdr:colOff>
      <xdr:row>65</xdr:row>
      <xdr:rowOff>28575</xdr:rowOff>
    </xdr:from>
    <xdr:to>
      <xdr:col>2</xdr:col>
      <xdr:colOff>361950</xdr:colOff>
      <xdr:row>67</xdr:row>
      <xdr:rowOff>9525</xdr:rowOff>
    </xdr:to>
    <xdr:sp macro="" textlink="">
      <xdr:nvSpPr>
        <xdr:cNvPr id="6" name="六角星 7">
          <a:extLst>
            <a:ext uri="{FF2B5EF4-FFF2-40B4-BE49-F238E27FC236}">
              <a16:creationId xmlns:a16="http://schemas.microsoft.com/office/drawing/2014/main" id="{F3CC274C-B13F-467C-BDCA-0A1FD0E9077C}"/>
            </a:ext>
          </a:extLst>
        </xdr:cNvPr>
        <xdr:cNvSpPr/>
      </xdr:nvSpPr>
      <xdr:spPr>
        <a:xfrm>
          <a:off x="4800600" y="19297650"/>
          <a:ext cx="285750" cy="304800"/>
        </a:xfrm>
        <a:prstGeom prst="star6">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7</xdr:col>
      <xdr:colOff>1152525</xdr:colOff>
      <xdr:row>56</xdr:row>
      <xdr:rowOff>66675</xdr:rowOff>
    </xdr:from>
    <xdr:to>
      <xdr:col>22</xdr:col>
      <xdr:colOff>312610</xdr:colOff>
      <xdr:row>82</xdr:row>
      <xdr:rowOff>69069</xdr:rowOff>
    </xdr:to>
    <xdr:pic>
      <xdr:nvPicPr>
        <xdr:cNvPr id="10" name="图片 9">
          <a:extLst>
            <a:ext uri="{FF2B5EF4-FFF2-40B4-BE49-F238E27FC236}">
              <a16:creationId xmlns:a16="http://schemas.microsoft.com/office/drawing/2014/main" id="{2E4EC803-5C58-6420-DBD2-8FF771A80C80}"/>
            </a:ext>
          </a:extLst>
        </xdr:cNvPr>
        <xdr:cNvPicPr>
          <a:picLocks noChangeAspect="1"/>
        </xdr:cNvPicPr>
      </xdr:nvPicPr>
      <xdr:blipFill rotWithShape="1">
        <a:blip xmlns:r="http://schemas.openxmlformats.org/officeDocument/2006/relationships" r:embed="rId2"/>
        <a:srcRect l="10868" t="6905" r="-456" b="11087"/>
        <a:stretch/>
      </xdr:blipFill>
      <xdr:spPr>
        <a:xfrm>
          <a:off x="7820025" y="17878425"/>
          <a:ext cx="8751760" cy="4212444"/>
        </a:xfrm>
        <a:prstGeom prst="rect">
          <a:avLst/>
        </a:prstGeom>
      </xdr:spPr>
    </xdr:pic>
    <xdr:clientData/>
  </xdr:twoCellAnchor>
  <xdr:twoCellAnchor>
    <xdr:from>
      <xdr:col>13</xdr:col>
      <xdr:colOff>219075</xdr:colOff>
      <xdr:row>60</xdr:row>
      <xdr:rowOff>85725</xdr:rowOff>
    </xdr:from>
    <xdr:to>
      <xdr:col>13</xdr:col>
      <xdr:colOff>504825</xdr:colOff>
      <xdr:row>62</xdr:row>
      <xdr:rowOff>66675</xdr:rowOff>
    </xdr:to>
    <xdr:sp macro="" textlink="">
      <xdr:nvSpPr>
        <xdr:cNvPr id="11" name="六角星 7">
          <a:extLst>
            <a:ext uri="{FF2B5EF4-FFF2-40B4-BE49-F238E27FC236}">
              <a16:creationId xmlns:a16="http://schemas.microsoft.com/office/drawing/2014/main" id="{C467B8F6-8D44-4D2E-A1A0-1ACD06D42764}"/>
            </a:ext>
          </a:extLst>
        </xdr:cNvPr>
        <xdr:cNvSpPr/>
      </xdr:nvSpPr>
      <xdr:spPr>
        <a:xfrm>
          <a:off x="10696575" y="18545175"/>
          <a:ext cx="285750" cy="304800"/>
        </a:xfrm>
        <a:prstGeom prst="star6">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1028700</xdr:colOff>
      <xdr:row>67</xdr:row>
      <xdr:rowOff>57150</xdr:rowOff>
    </xdr:from>
    <xdr:to>
      <xdr:col>12</xdr:col>
      <xdr:colOff>1314450</xdr:colOff>
      <xdr:row>69</xdr:row>
      <xdr:rowOff>38100</xdr:rowOff>
    </xdr:to>
    <xdr:sp macro="" textlink="">
      <xdr:nvSpPr>
        <xdr:cNvPr id="12" name="六角星 5">
          <a:extLst>
            <a:ext uri="{FF2B5EF4-FFF2-40B4-BE49-F238E27FC236}">
              <a16:creationId xmlns:a16="http://schemas.microsoft.com/office/drawing/2014/main" id="{1F79B132-7A67-421C-AEEF-08A6CAF95837}"/>
            </a:ext>
          </a:extLst>
        </xdr:cNvPr>
        <xdr:cNvSpPr/>
      </xdr:nvSpPr>
      <xdr:spPr>
        <a:xfrm>
          <a:off x="9791700" y="1965007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457200</xdr:colOff>
      <xdr:row>75</xdr:row>
      <xdr:rowOff>0</xdr:rowOff>
    </xdr:from>
    <xdr:to>
      <xdr:col>16</xdr:col>
      <xdr:colOff>228600</xdr:colOff>
      <xdr:row>76</xdr:row>
      <xdr:rowOff>142875</xdr:rowOff>
    </xdr:to>
    <xdr:sp macro="" textlink="">
      <xdr:nvSpPr>
        <xdr:cNvPr id="13" name="六角星 5">
          <a:extLst>
            <a:ext uri="{FF2B5EF4-FFF2-40B4-BE49-F238E27FC236}">
              <a16:creationId xmlns:a16="http://schemas.microsoft.com/office/drawing/2014/main" id="{680B0F7F-D78F-48E2-B4D4-F401870409A7}"/>
            </a:ext>
          </a:extLst>
        </xdr:cNvPr>
        <xdr:cNvSpPr/>
      </xdr:nvSpPr>
      <xdr:spPr>
        <a:xfrm>
          <a:off x="12401550" y="2088832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504825</xdr:colOff>
      <xdr:row>73</xdr:row>
      <xdr:rowOff>19050</xdr:rowOff>
    </xdr:from>
    <xdr:to>
      <xdr:col>16</xdr:col>
      <xdr:colOff>276225</xdr:colOff>
      <xdr:row>75</xdr:row>
      <xdr:rowOff>0</xdr:rowOff>
    </xdr:to>
    <xdr:sp macro="" textlink="">
      <xdr:nvSpPr>
        <xdr:cNvPr id="14" name="六角星 5">
          <a:extLst>
            <a:ext uri="{FF2B5EF4-FFF2-40B4-BE49-F238E27FC236}">
              <a16:creationId xmlns:a16="http://schemas.microsoft.com/office/drawing/2014/main" id="{0F6DEBE5-6F2C-4DDC-BD34-3741B32570BC}"/>
            </a:ext>
          </a:extLst>
        </xdr:cNvPr>
        <xdr:cNvSpPr/>
      </xdr:nvSpPr>
      <xdr:spPr>
        <a:xfrm>
          <a:off x="12449175" y="2058352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160</xdr:row>
      <xdr:rowOff>152399</xdr:rowOff>
    </xdr:from>
    <xdr:to>
      <xdr:col>25</xdr:col>
      <xdr:colOff>541525</xdr:colOff>
      <xdr:row>196</xdr:row>
      <xdr:rowOff>150697</xdr:rowOff>
    </xdr:to>
    <xdr:grpSp>
      <xdr:nvGrpSpPr>
        <xdr:cNvPr id="20" name="组合 19">
          <a:extLst>
            <a:ext uri="{FF2B5EF4-FFF2-40B4-BE49-F238E27FC236}">
              <a16:creationId xmlns:a16="http://schemas.microsoft.com/office/drawing/2014/main" id="{7A25BB65-79E6-6368-95F8-D6724B747FCA}"/>
            </a:ext>
          </a:extLst>
        </xdr:cNvPr>
        <xdr:cNvGrpSpPr/>
      </xdr:nvGrpSpPr>
      <xdr:grpSpPr>
        <a:xfrm>
          <a:off x="0" y="35196779"/>
          <a:ext cx="17305525" cy="5759018"/>
          <a:chOff x="0" y="34804349"/>
          <a:chExt cx="19181950" cy="5827598"/>
        </a:xfrm>
      </xdr:grpSpPr>
      <xdr:pic>
        <xdr:nvPicPr>
          <xdr:cNvPr id="9" name="图片 8">
            <a:extLst>
              <a:ext uri="{FF2B5EF4-FFF2-40B4-BE49-F238E27FC236}">
                <a16:creationId xmlns:a16="http://schemas.microsoft.com/office/drawing/2014/main" id="{94A63604-7768-408F-8CAD-27EB14A15289}"/>
              </a:ext>
            </a:extLst>
          </xdr:cNvPr>
          <xdr:cNvPicPr>
            <a:picLocks noChangeAspect="1"/>
          </xdr:cNvPicPr>
        </xdr:nvPicPr>
        <xdr:blipFill>
          <a:blip xmlns:r="http://schemas.openxmlformats.org/officeDocument/2006/relationships" r:embed="rId3"/>
          <a:stretch>
            <a:fillRect/>
          </a:stretch>
        </xdr:blipFill>
        <xdr:spPr>
          <a:xfrm>
            <a:off x="0" y="34804349"/>
            <a:ext cx="8616228" cy="5809223"/>
          </a:xfrm>
          <a:prstGeom prst="rect">
            <a:avLst/>
          </a:prstGeom>
        </xdr:spPr>
      </xdr:pic>
      <xdr:pic>
        <xdr:nvPicPr>
          <xdr:cNvPr id="15" name="图片 14">
            <a:extLst>
              <a:ext uri="{FF2B5EF4-FFF2-40B4-BE49-F238E27FC236}">
                <a16:creationId xmlns:a16="http://schemas.microsoft.com/office/drawing/2014/main" id="{9ECDAB9F-4D90-7904-E360-B033BB61783C}"/>
              </a:ext>
            </a:extLst>
          </xdr:cNvPr>
          <xdr:cNvPicPr>
            <a:picLocks noChangeAspect="1"/>
          </xdr:cNvPicPr>
        </xdr:nvPicPr>
        <xdr:blipFill>
          <a:blip xmlns:r="http://schemas.openxmlformats.org/officeDocument/2006/relationships" r:embed="rId4"/>
          <a:stretch>
            <a:fillRect/>
          </a:stretch>
        </xdr:blipFill>
        <xdr:spPr>
          <a:xfrm>
            <a:off x="8439150" y="35013901"/>
            <a:ext cx="10742800" cy="5618046"/>
          </a:xfrm>
          <a:prstGeom prst="rect">
            <a:avLst/>
          </a:prstGeom>
        </xdr:spPr>
      </xdr:pic>
    </xdr:grpSp>
    <xdr:clientData/>
  </xdr:twoCellAnchor>
  <xdr:twoCellAnchor>
    <xdr:from>
      <xdr:col>0</xdr:col>
      <xdr:colOff>0</xdr:colOff>
      <xdr:row>124</xdr:row>
      <xdr:rowOff>55601</xdr:rowOff>
    </xdr:from>
    <xdr:to>
      <xdr:col>22</xdr:col>
      <xdr:colOff>112787</xdr:colOff>
      <xdr:row>159</xdr:row>
      <xdr:rowOff>103747</xdr:rowOff>
    </xdr:to>
    <xdr:grpSp>
      <xdr:nvGrpSpPr>
        <xdr:cNvPr id="17" name="组合 16">
          <a:extLst>
            <a:ext uri="{FF2B5EF4-FFF2-40B4-BE49-F238E27FC236}">
              <a16:creationId xmlns:a16="http://schemas.microsoft.com/office/drawing/2014/main" id="{9BA30FA6-20E5-8AC5-D41B-0809843FF42B}"/>
            </a:ext>
          </a:extLst>
        </xdr:cNvPr>
        <xdr:cNvGrpSpPr/>
      </xdr:nvGrpSpPr>
      <xdr:grpSpPr>
        <a:xfrm>
          <a:off x="0" y="29339261"/>
          <a:ext cx="14743187" cy="5648846"/>
          <a:chOff x="0" y="28840151"/>
          <a:chExt cx="16371962" cy="5715521"/>
        </a:xfrm>
      </xdr:grpSpPr>
      <xdr:pic>
        <xdr:nvPicPr>
          <xdr:cNvPr id="8" name="图片 7">
            <a:extLst>
              <a:ext uri="{FF2B5EF4-FFF2-40B4-BE49-F238E27FC236}">
                <a16:creationId xmlns:a16="http://schemas.microsoft.com/office/drawing/2014/main" id="{30379B36-A6B4-414E-A198-2A9C483005BB}"/>
              </a:ext>
            </a:extLst>
          </xdr:cNvPr>
          <xdr:cNvPicPr>
            <a:picLocks noChangeAspect="1"/>
          </xdr:cNvPicPr>
        </xdr:nvPicPr>
        <xdr:blipFill>
          <a:blip xmlns:r="http://schemas.openxmlformats.org/officeDocument/2006/relationships" r:embed="rId5"/>
          <a:stretch>
            <a:fillRect/>
          </a:stretch>
        </xdr:blipFill>
        <xdr:spPr>
          <a:xfrm>
            <a:off x="0" y="28840151"/>
            <a:ext cx="8477250" cy="5715521"/>
          </a:xfrm>
          <a:prstGeom prst="rect">
            <a:avLst/>
          </a:prstGeom>
        </xdr:spPr>
      </xdr:pic>
      <xdr:pic>
        <xdr:nvPicPr>
          <xdr:cNvPr id="16" name="图片 15">
            <a:extLst>
              <a:ext uri="{FF2B5EF4-FFF2-40B4-BE49-F238E27FC236}">
                <a16:creationId xmlns:a16="http://schemas.microsoft.com/office/drawing/2014/main" id="{03A25185-2C36-4C2A-24ED-8B4AA7BE5241}"/>
              </a:ext>
            </a:extLst>
          </xdr:cNvPr>
          <xdr:cNvPicPr>
            <a:picLocks noChangeAspect="1"/>
          </xdr:cNvPicPr>
        </xdr:nvPicPr>
        <xdr:blipFill>
          <a:blip xmlns:r="http://schemas.openxmlformats.org/officeDocument/2006/relationships" r:embed="rId6"/>
          <a:stretch>
            <a:fillRect/>
          </a:stretch>
        </xdr:blipFill>
        <xdr:spPr>
          <a:xfrm>
            <a:off x="6629400" y="30411234"/>
            <a:ext cx="9742562" cy="4116252"/>
          </a:xfrm>
          <a:prstGeom prst="rect">
            <a:avLst/>
          </a:prstGeom>
        </xdr:spPr>
      </xdr:pic>
    </xdr:grpSp>
    <xdr:clientData/>
  </xdr:twoCellAnchor>
  <xdr:twoCellAnchor>
    <xdr:from>
      <xdr:col>0</xdr:col>
      <xdr:colOff>0</xdr:colOff>
      <xdr:row>89</xdr:row>
      <xdr:rowOff>19050</xdr:rowOff>
    </xdr:from>
    <xdr:to>
      <xdr:col>23</xdr:col>
      <xdr:colOff>84433</xdr:colOff>
      <xdr:row>125</xdr:row>
      <xdr:rowOff>27548</xdr:rowOff>
    </xdr:to>
    <xdr:grpSp>
      <xdr:nvGrpSpPr>
        <xdr:cNvPr id="19" name="组合 18">
          <a:extLst>
            <a:ext uri="{FF2B5EF4-FFF2-40B4-BE49-F238E27FC236}">
              <a16:creationId xmlns:a16="http://schemas.microsoft.com/office/drawing/2014/main" id="{336DE57B-9AC4-D31F-DDCF-6F17D6E120CC}"/>
            </a:ext>
          </a:extLst>
        </xdr:cNvPr>
        <xdr:cNvGrpSpPr/>
      </xdr:nvGrpSpPr>
      <xdr:grpSpPr>
        <a:xfrm>
          <a:off x="0" y="23702010"/>
          <a:ext cx="15354913" cy="5769218"/>
          <a:chOff x="0" y="23174325"/>
          <a:chExt cx="17057983" cy="5837798"/>
        </a:xfrm>
      </xdr:grpSpPr>
      <xdr:pic>
        <xdr:nvPicPr>
          <xdr:cNvPr id="7" name="图片 6">
            <a:extLst>
              <a:ext uri="{FF2B5EF4-FFF2-40B4-BE49-F238E27FC236}">
                <a16:creationId xmlns:a16="http://schemas.microsoft.com/office/drawing/2014/main" id="{23B4F653-DB4A-4CFA-A2E1-3CA895ADC0F5}"/>
              </a:ext>
            </a:extLst>
          </xdr:cNvPr>
          <xdr:cNvPicPr>
            <a:picLocks noChangeAspect="1"/>
          </xdr:cNvPicPr>
        </xdr:nvPicPr>
        <xdr:blipFill>
          <a:blip xmlns:r="http://schemas.openxmlformats.org/officeDocument/2006/relationships" r:embed="rId7"/>
          <a:stretch>
            <a:fillRect/>
          </a:stretch>
        </xdr:blipFill>
        <xdr:spPr>
          <a:xfrm>
            <a:off x="0" y="23174325"/>
            <a:ext cx="8658611" cy="5837798"/>
          </a:xfrm>
          <a:prstGeom prst="rect">
            <a:avLst/>
          </a:prstGeom>
        </xdr:spPr>
      </xdr:pic>
      <xdr:pic>
        <xdr:nvPicPr>
          <xdr:cNvPr id="18" name="图片 17">
            <a:extLst>
              <a:ext uri="{FF2B5EF4-FFF2-40B4-BE49-F238E27FC236}">
                <a16:creationId xmlns:a16="http://schemas.microsoft.com/office/drawing/2014/main" id="{A95CA122-C353-B010-F8DC-C8B589DAF1C3}"/>
              </a:ext>
            </a:extLst>
          </xdr:cNvPr>
          <xdr:cNvPicPr>
            <a:picLocks noChangeAspect="1"/>
          </xdr:cNvPicPr>
        </xdr:nvPicPr>
        <xdr:blipFill>
          <a:blip xmlns:r="http://schemas.openxmlformats.org/officeDocument/2006/relationships" r:embed="rId8"/>
          <a:stretch>
            <a:fillRect/>
          </a:stretch>
        </xdr:blipFill>
        <xdr:spPr>
          <a:xfrm>
            <a:off x="6724650" y="24403050"/>
            <a:ext cx="10333333" cy="457142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郑燚（注册号：1120070131)、吴薇（注册号：1419970001)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估价对象为北京市房地产，为所有。根据《国有土地使用证》[]，估价对象（分摊）出让国有建设用地使用权面积为891.05平方米，建筑面积为1232.79平方米。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估价对象为北京市房地产,属开发建设的，该项目尚在开发建设中。根据《国有土地使用证》[]，估价对象（分摊）出让国有建设用地使用权面积为891.05平方米，规划建筑面积为1232.79平方米。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2025年3月12日</v>
      </c>
    </row>
    <row r="13" spans="1:2">
      <c r="A13" s="1116" t="s">
        <v>529</v>
      </c>
      <c r="B13" s="1117" t="str">
        <f>'预评函-1'!A18</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ht="31.2">
      <c r="A42" s="1116" t="s">
        <v>590</v>
      </c>
      <c r="B42" s="1117" t="str">
        <f>'预评函-3'!B2</f>
        <v>建筑面积</v>
      </c>
    </row>
    <row r="43" spans="1:2">
      <c r="A43" s="1116" t="s">
        <v>591</v>
      </c>
      <c r="B43" s="1117">
        <f>'预评函-3'!B4</f>
        <v>1232.79</v>
      </c>
    </row>
    <row r="44" spans="1:2" ht="31.2">
      <c r="A44" s="1116" t="s">
        <v>575</v>
      </c>
      <c r="B44" s="1117" t="str">
        <f>'预评函-3'!C2</f>
        <v>(分摊)土地面积</v>
      </c>
    </row>
    <row r="45" spans="1:2">
      <c r="A45" s="1116" t="s">
        <v>547</v>
      </c>
      <c r="B45" s="1117">
        <f>'预评函-3'!C4</f>
        <v>891.05</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1120070131</v>
      </c>
    </row>
    <row r="72" spans="1:2">
      <c r="A72" s="1116" t="s">
        <v>564</v>
      </c>
      <c r="B72" s="1124" t="str">
        <f>'预评函-4'!A5</f>
        <v>吴薇</v>
      </c>
    </row>
    <row r="73" spans="1:2" s="1112" customFormat="1" ht="16.2" thickBot="1">
      <c r="A73" s="1119" t="s">
        <v>565</v>
      </c>
      <c r="B73" s="1120">
        <f ca="1">'预评函-4'!B5</f>
        <v>1419970001</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53" t="s">
        <v>956</v>
      </c>
      <c r="B15" s="3248" t="s">
        <v>109</v>
      </c>
      <c r="C15" s="3249"/>
    </row>
    <row r="16" spans="1:7" ht="14.4">
      <c r="A16" s="3254"/>
      <c r="B16" s="3248" t="s">
        <v>42</v>
      </c>
      <c r="C16" s="3249"/>
    </row>
    <row r="17" spans="1:3" ht="14.4">
      <c r="A17" s="3254"/>
      <c r="B17" s="3251" t="s">
        <v>957</v>
      </c>
      <c r="C17" s="1426" t="s">
        <v>956</v>
      </c>
    </row>
    <row r="18" spans="1:3" ht="14.4">
      <c r="A18" s="3254"/>
      <c r="B18" s="3251"/>
      <c r="C18" s="1426" t="s">
        <v>958</v>
      </c>
    </row>
    <row r="19" spans="1:3" ht="14.4">
      <c r="A19" s="3254"/>
      <c r="B19" s="3251"/>
      <c r="C19" s="1426" t="s">
        <v>959</v>
      </c>
    </row>
    <row r="20" spans="1:3" ht="14.4">
      <c r="A20" s="3255"/>
      <c r="B20" s="3250" t="s">
        <v>960</v>
      </c>
      <c r="C20" s="3249"/>
    </row>
    <row r="21" spans="1:3" ht="14.4">
      <c r="A21" s="1427" t="s">
        <v>961</v>
      </c>
      <c r="B21" s="1428"/>
      <c r="C21" s="1429"/>
    </row>
    <row r="22" spans="1:3" ht="14.4">
      <c r="A22" s="3252" t="s">
        <v>962</v>
      </c>
      <c r="B22" s="3250" t="s">
        <v>963</v>
      </c>
      <c r="C22" s="3249"/>
    </row>
    <row r="23" spans="1:3" ht="14.4">
      <c r="A23" s="3252"/>
      <c r="B23" s="3250" t="s">
        <v>964</v>
      </c>
      <c r="C23" s="3249"/>
    </row>
    <row r="24" spans="1:3" ht="14.4">
      <c r="A24" s="3252"/>
      <c r="B24" s="3250" t="s">
        <v>965</v>
      </c>
      <c r="C24" s="3249"/>
    </row>
    <row r="25" spans="1:3" ht="14.4">
      <c r="A25" s="3252"/>
      <c r="B25" s="3251" t="s">
        <v>966</v>
      </c>
      <c r="C25" s="1426" t="s">
        <v>967</v>
      </c>
    </row>
    <row r="26" spans="1:3" ht="14.4">
      <c r="A26" s="3252"/>
      <c r="B26" s="3251"/>
      <c r="C26" s="1426" t="s">
        <v>968</v>
      </c>
    </row>
    <row r="27" spans="1:3" ht="14.4">
      <c r="A27" s="3252"/>
      <c r="B27" s="3251"/>
      <c r="C27" s="1426" t="s">
        <v>969</v>
      </c>
    </row>
    <row r="28" spans="1:3" ht="14.4">
      <c r="A28" s="3252"/>
      <c r="B28" s="3251"/>
      <c r="C28" s="1426" t="s">
        <v>970</v>
      </c>
    </row>
    <row r="29" spans="1:3" ht="14.4">
      <c r="A29" s="3252"/>
      <c r="B29" s="3251"/>
      <c r="C29" s="1426" t="s">
        <v>971</v>
      </c>
    </row>
    <row r="30" spans="1:3" ht="14.4">
      <c r="A30" s="3252"/>
      <c r="B30" s="3251"/>
      <c r="C30" s="1426" t="s">
        <v>972</v>
      </c>
    </row>
    <row r="31" spans="1:3" ht="14.4">
      <c r="A31" s="3252"/>
      <c r="B31" s="3251"/>
      <c r="C31" s="1426" t="s">
        <v>973</v>
      </c>
    </row>
    <row r="32" spans="1:3" ht="14.4">
      <c r="A32" s="3252"/>
      <c r="B32" s="3251"/>
      <c r="C32" s="1426" t="s">
        <v>974</v>
      </c>
    </row>
    <row r="33" spans="1:3" ht="14.4">
      <c r="A33" s="3252"/>
      <c r="B33" s="3251"/>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2136</v>
      </c>
      <c r="B2" s="2154">
        <f ca="1">TODAY()</f>
        <v>45729</v>
      </c>
      <c r="C2" s="2155" t="s">
        <v>2137</v>
      </c>
      <c r="D2" s="2155"/>
      <c r="E2" s="2155"/>
      <c r="F2" s="2151"/>
      <c r="G2" s="2151"/>
      <c r="H2" s="2151"/>
    </row>
    <row r="3" spans="1:8" ht="24" customHeight="1">
      <c r="A3" s="2156" t="s">
        <v>2138</v>
      </c>
      <c r="B3" s="1216" t="s">
        <v>2139</v>
      </c>
      <c r="C3" s="1216" t="s">
        <v>2140</v>
      </c>
      <c r="D3" s="2157" t="s">
        <v>2141</v>
      </c>
      <c r="E3" s="2158" t="s">
        <v>2142</v>
      </c>
      <c r="F3" s="1216" t="s">
        <v>2143</v>
      </c>
      <c r="G3" s="1216" t="s">
        <v>2140</v>
      </c>
      <c r="H3" s="2157" t="s">
        <v>2144</v>
      </c>
    </row>
    <row r="4" spans="1:8" ht="24" customHeight="1">
      <c r="A4" s="1216" t="s">
        <v>2145</v>
      </c>
      <c r="B4" s="1216">
        <f ca="1">IF(C4&lt;B2,"已过期",1119970066)</f>
        <v>1119970066</v>
      </c>
      <c r="C4" s="2159">
        <v>45937</v>
      </c>
      <c r="D4" s="2160" t="str">
        <f ca="1">A4&amp;"（注册号："&amp;B4&amp;"）"</f>
        <v>梁津（注册号：1119970066）</v>
      </c>
      <c r="E4" s="2161" t="s">
        <v>2145</v>
      </c>
      <c r="F4" s="1216">
        <f ca="1">IF(G4&lt;B2,"已过期",96010014)</f>
        <v>96010014</v>
      </c>
      <c r="G4" s="2162">
        <v>47118</v>
      </c>
      <c r="H4" s="2163" t="str">
        <f ca="1">E4&amp;"（注册号："&amp;F4&amp;"）"</f>
        <v>梁津（注册号：96010014）</v>
      </c>
    </row>
    <row r="5" spans="1:8" ht="24" customHeight="1">
      <c r="A5" s="1216" t="s">
        <v>2146</v>
      </c>
      <c r="B5" s="1216">
        <f ca="1">IF(C5&lt;B2,"已过期",1119970111)</f>
        <v>1119970111</v>
      </c>
      <c r="C5" s="2159">
        <v>45937</v>
      </c>
      <c r="D5" s="2160" t="str">
        <f t="shared" ref="D5:D15" ca="1" si="0">A5&amp;"（注册号："&amp;B5&amp;"）"</f>
        <v>叶凌（注册号：1119970111）</v>
      </c>
      <c r="E5" s="2161" t="s">
        <v>2146</v>
      </c>
      <c r="F5" s="1216">
        <f ca="1">IF(G5&lt;B2,"已过期",94010078)</f>
        <v>94010078</v>
      </c>
      <c r="G5" s="2162">
        <v>46387</v>
      </c>
      <c r="H5" s="2163" t="str">
        <f t="shared" ref="H5:H16" ca="1" si="1">E5&amp;"（注册号："&amp;F5&amp;"）"</f>
        <v>叶凌（注册号：94010078）</v>
      </c>
    </row>
    <row r="6" spans="1:8" ht="24" customHeight="1">
      <c r="A6" s="1216" t="s">
        <v>2147</v>
      </c>
      <c r="B6" s="1216" t="str">
        <f ca="1">IF(C6&lt;B2,"已过期",1120050019)</f>
        <v>已过期</v>
      </c>
      <c r="C6" s="2159">
        <v>45410</v>
      </c>
      <c r="D6" s="2160" t="str">
        <f t="shared" ca="1" si="0"/>
        <v>王鹏（注册号：已过期）</v>
      </c>
      <c r="E6" s="2161" t="s">
        <v>2147</v>
      </c>
      <c r="F6" s="1216">
        <f ca="1">IF(G6&lt;B2,"已过期",2002110030)</f>
        <v>2002110030</v>
      </c>
      <c r="G6" s="2162">
        <v>46387</v>
      </c>
      <c r="H6" s="2163" t="str">
        <f t="shared" ca="1" si="1"/>
        <v>王鹏（注册号：2002110030）</v>
      </c>
    </row>
    <row r="7" spans="1:8" ht="24" customHeight="1">
      <c r="A7" s="1216" t="s">
        <v>2148</v>
      </c>
      <c r="B7" s="1216">
        <f ca="1">IF(C7&lt;B2,"已过期",1120000080)</f>
        <v>1120000080</v>
      </c>
      <c r="C7" s="2159">
        <v>45937</v>
      </c>
      <c r="D7" s="2160" t="str">
        <f t="shared" ca="1" si="0"/>
        <v>欧红伟（注册号：1120000080）</v>
      </c>
      <c r="E7" s="2161" t="s">
        <v>2148</v>
      </c>
      <c r="F7" s="1216">
        <f ca="1">IF(G7&lt;B2,"已过期",2000110082)</f>
        <v>2000110082</v>
      </c>
      <c r="G7" s="2162">
        <v>46387</v>
      </c>
      <c r="H7" s="2163" t="str">
        <f t="shared" ca="1" si="1"/>
        <v>欧红伟（注册号：2000110082）</v>
      </c>
    </row>
    <row r="8" spans="1:8" ht="24" customHeight="1">
      <c r="A8" s="1216" t="s">
        <v>2149</v>
      </c>
      <c r="B8" s="1216">
        <f ca="1">IF(C8&lt;B2,"已过期",1419970001)</f>
        <v>1419970001</v>
      </c>
      <c r="C8" s="2159">
        <v>45937</v>
      </c>
      <c r="D8" s="2160" t="str">
        <f t="shared" ca="1" si="0"/>
        <v>吴薇（注册号：1419970001）</v>
      </c>
      <c r="E8" s="2161" t="s">
        <v>2149</v>
      </c>
      <c r="F8" s="1216">
        <f ca="1">IF(G8&lt;B2,"已过期",2002110125)</f>
        <v>2002110125</v>
      </c>
      <c r="G8" s="2162">
        <v>47118</v>
      </c>
      <c r="H8" s="2163" t="str">
        <f t="shared" ca="1" si="1"/>
        <v>吴薇（注册号：2002110125）</v>
      </c>
    </row>
    <row r="9" spans="1:8" ht="24" customHeight="1">
      <c r="A9" s="1216" t="s">
        <v>2150</v>
      </c>
      <c r="B9" s="1216" t="str">
        <f ca="1">IF(C9&lt;B2,"已过期",1120060040)</f>
        <v>已过期</v>
      </c>
      <c r="C9" s="2164">
        <v>45592</v>
      </c>
      <c r="D9" s="2160" t="str">
        <f t="shared" ca="1" si="0"/>
        <v>陈颖（注册号：已过期）</v>
      </c>
      <c r="E9" s="2161" t="s">
        <v>2150</v>
      </c>
      <c r="F9" s="1216">
        <f ca="1">IF(G9&lt;B2,"已过期",2004110096)</f>
        <v>2004110096</v>
      </c>
      <c r="G9" s="2162">
        <v>47118</v>
      </c>
      <c r="H9" s="2163" t="str">
        <f t="shared" ca="1" si="1"/>
        <v>陈颖（注册号：2004110096）</v>
      </c>
    </row>
    <row r="10" spans="1:8" ht="24" customHeight="1">
      <c r="A10" s="1216" t="s">
        <v>2151</v>
      </c>
      <c r="B10" s="1216">
        <f ca="1">IF(C10&lt;B2,"已过期",1120100036)</f>
        <v>1120100036</v>
      </c>
      <c r="C10" s="2164">
        <v>45752</v>
      </c>
      <c r="D10" s="2160" t="str">
        <f t="shared" ca="1" si="0"/>
        <v>崔锴（注册号：1120100036）</v>
      </c>
      <c r="E10" s="2161" t="s">
        <v>2151</v>
      </c>
      <c r="F10" s="1216">
        <f ca="1">IF(G10&lt;B2,"已过期",2010110070)</f>
        <v>2010110070</v>
      </c>
      <c r="G10" s="2162">
        <v>47907</v>
      </c>
      <c r="H10" s="2163" t="str">
        <f t="shared" ca="1" si="1"/>
        <v>崔锴（注册号：2010110070）</v>
      </c>
    </row>
    <row r="11" spans="1:8" ht="24" customHeight="1">
      <c r="A11" s="1216" t="s">
        <v>2152</v>
      </c>
      <c r="B11" s="1216">
        <f ca="1">IF(C11&lt;B2,"已过期",1120070131)</f>
        <v>1120070131</v>
      </c>
      <c r="C11" s="2159">
        <v>45937</v>
      </c>
      <c r="D11" s="2160" t="str">
        <f t="shared" ca="1" si="0"/>
        <v>郑燚（注册号：1120070131）</v>
      </c>
      <c r="E11" s="2161" t="s">
        <v>2152</v>
      </c>
      <c r="F11" s="1216">
        <f ca="1">IF(G11&lt;B2,"已过期",2014110011)</f>
        <v>2014110011</v>
      </c>
      <c r="G11" s="2162">
        <v>49302</v>
      </c>
      <c r="H11" s="2163" t="str">
        <f t="shared" ca="1" si="1"/>
        <v>郑燚（注册号：2014110011）</v>
      </c>
    </row>
    <row r="12" spans="1:8" ht="24" customHeight="1">
      <c r="A12" s="1216" t="s">
        <v>2153</v>
      </c>
      <c r="B12" s="1216">
        <f ca="1">IF(C12&lt;B2,"已过期",1120040230)</f>
        <v>1120040230</v>
      </c>
      <c r="C12" s="2164">
        <v>45937</v>
      </c>
      <c r="D12" s="2160" t="str">
        <f t="shared" ca="1" si="0"/>
        <v>苏海（注册号：1120040230）</v>
      </c>
      <c r="E12" s="2161" t="s">
        <v>2153</v>
      </c>
      <c r="F12" s="1216">
        <f ca="1">IF(G12&lt;B2,"已过期",98030020)</f>
        <v>98030020</v>
      </c>
      <c r="G12" s="2162">
        <v>47118</v>
      </c>
      <c r="H12" s="2163" t="str">
        <f t="shared" ca="1" si="1"/>
        <v>苏海（注册号：98030020）</v>
      </c>
    </row>
    <row r="13" spans="1:8" ht="24" customHeight="1">
      <c r="A13" s="1216" t="s">
        <v>2154</v>
      </c>
      <c r="B13" s="1216" t="str">
        <f ca="1">IF(C13&lt;B2,"已过期",1120020033)</f>
        <v>已过期</v>
      </c>
      <c r="C13" s="2159">
        <v>45375</v>
      </c>
      <c r="D13" s="2160" t="str">
        <f t="shared" ca="1" si="0"/>
        <v>刘敬东（注册号：已过期）</v>
      </c>
      <c r="E13" s="2161" t="s">
        <v>2154</v>
      </c>
      <c r="F13" s="1216">
        <f ca="1">IF(G13&lt;B2,"已过期",2000110137)</f>
        <v>2000110137</v>
      </c>
      <c r="G13" s="2162">
        <v>46387</v>
      </c>
      <c r="H13" s="2163" t="str">
        <f t="shared" ca="1" si="1"/>
        <v>刘敬东（注册号：2000110137）</v>
      </c>
    </row>
    <row r="14" spans="1:8" ht="24" customHeight="1">
      <c r="A14" s="1216" t="s">
        <v>2155</v>
      </c>
      <c r="B14" s="1216" t="str">
        <f ca="1">IF(C14&lt;B2,"已过期",1119980106)</f>
        <v>已过期</v>
      </c>
      <c r="C14" s="2164">
        <v>44969</v>
      </c>
      <c r="D14" s="2160" t="str">
        <f t="shared" ca="1" si="0"/>
        <v>刘俊财（注册号：已过期）</v>
      </c>
      <c r="E14" s="2161" t="s">
        <v>2155</v>
      </c>
      <c r="F14" s="1216">
        <f ca="1">IF(G14&lt;B2,"已过期",96010063)</f>
        <v>96010063</v>
      </c>
      <c r="G14" s="2162">
        <v>47483</v>
      </c>
      <c r="H14" s="2163" t="str">
        <f t="shared" ca="1" si="1"/>
        <v>刘俊财（注册号：96010063）</v>
      </c>
    </row>
    <row r="15" spans="1:8" ht="24" customHeight="1">
      <c r="A15" s="1216" t="s">
        <v>2425</v>
      </c>
      <c r="B15" s="1216">
        <v>1120210056</v>
      </c>
      <c r="C15" s="2164">
        <v>45410</v>
      </c>
      <c r="D15" s="2160" t="str">
        <f t="shared" si="0"/>
        <v>宁小鳗（注册号：1120210056）</v>
      </c>
      <c r="E15" s="2161" t="s">
        <v>2156</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56" t="s">
        <v>2157</v>
      </c>
      <c r="B17" s="3256"/>
      <c r="C17" s="3256"/>
      <c r="D17" s="3256"/>
      <c r="E17" s="3256"/>
      <c r="F17" s="3256"/>
      <c r="G17" s="3256"/>
      <c r="H17" s="3256"/>
    </row>
    <row r="18" spans="1:8" ht="24" customHeight="1">
      <c r="A18" s="3257" t="s">
        <v>2158</v>
      </c>
      <c r="B18" s="3257"/>
      <c r="C18" s="3257"/>
      <c r="D18" s="2157"/>
      <c r="E18" s="3258" t="s">
        <v>2159</v>
      </c>
      <c r="F18" s="3257"/>
      <c r="G18" s="3257"/>
    </row>
    <row r="19" spans="1:8" s="2167" customFormat="1" ht="24" customHeight="1">
      <c r="A19" s="2166" t="s">
        <v>2160</v>
      </c>
      <c r="B19" s="1216" t="s">
        <v>2161</v>
      </c>
      <c r="C19" s="1216" t="s">
        <v>2140</v>
      </c>
      <c r="D19" s="2157"/>
      <c r="E19" s="2161" t="s">
        <v>2160</v>
      </c>
      <c r="F19" s="1216" t="s">
        <v>2161</v>
      </c>
      <c r="G19" s="1216" t="s">
        <v>2140</v>
      </c>
    </row>
    <row r="20" spans="1:8" s="2167" customFormat="1" ht="24" customHeight="1">
      <c r="A20" s="2168" t="s">
        <v>2162</v>
      </c>
      <c r="B20" s="2168" t="s">
        <v>2163</v>
      </c>
      <c r="C20" s="2162">
        <v>45898</v>
      </c>
      <c r="D20" s="2169"/>
      <c r="E20" s="2170" t="s">
        <v>2164</v>
      </c>
      <c r="F20" s="2173" t="s">
        <v>2426</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3338</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3324</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3325</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3326</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3327</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3328</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3329</v>
      </c>
    </row>
    <row r="8" spans="1:23">
      <c r="A8" s="1438" t="s">
        <v>1026</v>
      </c>
      <c r="B8" s="1438" t="s">
        <v>1027</v>
      </c>
      <c r="C8" s="1439" t="s">
        <v>319</v>
      </c>
      <c r="F8" s="1440" t="s">
        <v>1028</v>
      </c>
      <c r="H8" s="1440" t="s">
        <v>2565</v>
      </c>
      <c r="I8" s="1440" t="s">
        <v>3330</v>
      </c>
    </row>
    <row r="9" spans="1:23">
      <c r="A9" s="1438" t="s">
        <v>1029</v>
      </c>
      <c r="B9" s="1438" t="s">
        <v>1030</v>
      </c>
      <c r="C9" s="1439" t="s">
        <v>320</v>
      </c>
      <c r="F9" s="1440" t="s">
        <v>1031</v>
      </c>
      <c r="H9" s="1440"/>
      <c r="I9" s="1442" t="s">
        <v>3331</v>
      </c>
    </row>
    <row r="10" spans="1:23">
      <c r="A10" s="1438" t="s">
        <v>1032</v>
      </c>
      <c r="B10" s="1438" t="s">
        <v>1033</v>
      </c>
      <c r="C10" s="1439" t="s">
        <v>321</v>
      </c>
      <c r="F10" s="1440" t="s">
        <v>2566</v>
      </c>
      <c r="I10" s="1442" t="s">
        <v>3332</v>
      </c>
    </row>
    <row r="11" spans="1:23">
      <c r="A11" s="1438" t="s">
        <v>1034</v>
      </c>
      <c r="B11" s="1438" t="s">
        <v>1035</v>
      </c>
      <c r="C11" s="1439" t="s">
        <v>322</v>
      </c>
      <c r="F11" s="1440" t="s">
        <v>13</v>
      </c>
      <c r="I11" s="1442" t="s">
        <v>3333</v>
      </c>
    </row>
    <row r="12" spans="1:23">
      <c r="A12" s="1438" t="s">
        <v>1036</v>
      </c>
      <c r="B12" s="1438" t="s">
        <v>1037</v>
      </c>
      <c r="C12" s="1439" t="s">
        <v>323</v>
      </c>
      <c r="I12" s="1442" t="s">
        <v>3334</v>
      </c>
    </row>
    <row r="13" spans="1:23">
      <c r="A13" s="1438" t="s">
        <v>1038</v>
      </c>
      <c r="B13" s="1438" t="s">
        <v>1039</v>
      </c>
      <c r="C13" s="1439" t="s">
        <v>324</v>
      </c>
      <c r="I13" s="1442" t="s">
        <v>3335</v>
      </c>
    </row>
    <row r="14" spans="1:23">
      <c r="A14" s="1438" t="s">
        <v>1040</v>
      </c>
      <c r="B14" s="1438" t="s">
        <v>1041</v>
      </c>
      <c r="C14" s="1440" t="s">
        <v>13</v>
      </c>
      <c r="I14" s="1442" t="s">
        <v>3336</v>
      </c>
    </row>
    <row r="15" spans="1:23">
      <c r="A15" s="1438" t="s">
        <v>1042</v>
      </c>
      <c r="B15" s="1438" t="s">
        <v>1043</v>
      </c>
      <c r="C15" s="1439"/>
      <c r="I15" s="1442" t="s">
        <v>3337</v>
      </c>
    </row>
    <row r="16" spans="1:23">
      <c r="A16" s="1438" t="s">
        <v>1044</v>
      </c>
      <c r="B16" s="1438" t="s">
        <v>312</v>
      </c>
      <c r="C16" s="1439"/>
    </row>
    <row r="17" spans="1:3">
      <c r="A17" s="1438" t="s">
        <v>1045</v>
      </c>
      <c r="B17" s="1438" t="s">
        <v>2281</v>
      </c>
      <c r="C17" s="1439"/>
    </row>
    <row r="18" spans="1:3">
      <c r="A18" s="1438" t="s">
        <v>1046</v>
      </c>
      <c r="B18" s="1438" t="s">
        <v>2421</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5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444" t="s">
        <v>385</v>
      </c>
      <c r="C54" s="1442" t="s">
        <v>583</v>
      </c>
    </row>
    <row r="55" spans="1:4">
      <c r="A55" s="3259"/>
      <c r="B55" s="1444" t="s">
        <v>386</v>
      </c>
      <c r="C55" s="1442" t="s">
        <v>584</v>
      </c>
    </row>
    <row r="56" spans="1:4">
      <c r="A56" s="3259"/>
      <c r="B56" s="1444" t="s">
        <v>387</v>
      </c>
      <c r="C56" s="1442" t="s">
        <v>588</v>
      </c>
    </row>
    <row r="57" spans="1:4">
      <c r="A57" s="325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2488</v>
      </c>
      <c r="B1" s="2754"/>
      <c r="C1" s="2754"/>
      <c r="D1" s="2754"/>
      <c r="E1" s="2754"/>
      <c r="F1" s="2755"/>
      <c r="I1" s="3132" t="s">
        <v>2581</v>
      </c>
      <c r="J1" s="2780"/>
      <c r="K1" s="2780"/>
      <c r="L1" s="2780"/>
      <c r="M1" s="2780"/>
      <c r="N1" s="2965"/>
      <c r="O1" s="2965"/>
      <c r="P1" s="2965"/>
      <c r="Q1" s="2965"/>
      <c r="R1" s="2965"/>
    </row>
    <row r="2" spans="1:18">
      <c r="A2" s="2757"/>
      <c r="B2" s="2758"/>
      <c r="C2" s="2758"/>
      <c r="D2" s="2758"/>
      <c r="E2" s="2758"/>
      <c r="F2" s="2759"/>
      <c r="I2" s="3260" t="s">
        <v>2568</v>
      </c>
      <c r="J2" s="3260"/>
      <c r="K2" s="3260"/>
      <c r="L2" s="3260"/>
      <c r="M2" s="3260"/>
      <c r="N2" s="3260"/>
      <c r="O2" s="3260"/>
      <c r="P2" s="3260"/>
      <c r="Q2" s="3260"/>
      <c r="R2" s="3260"/>
    </row>
    <row r="3" spans="1:18">
      <c r="A3" s="2760" t="s">
        <v>2489</v>
      </c>
      <c r="B3" s="2761">
        <f>项目基本情况!D3</f>
        <v>45728</v>
      </c>
      <c r="C3" s="2763"/>
      <c r="D3" s="2763"/>
      <c r="E3" s="2763"/>
      <c r="F3" s="2759"/>
      <c r="I3" s="2775"/>
      <c r="J3" s="2775" t="s">
        <v>2572</v>
      </c>
      <c r="K3" s="2775" t="s">
        <v>2573</v>
      </c>
      <c r="L3" s="2775" t="s">
        <v>2574</v>
      </c>
      <c r="M3" s="2775" t="s">
        <v>2575</v>
      </c>
      <c r="N3" s="3133" t="s">
        <v>2576</v>
      </c>
      <c r="O3" s="3133" t="s">
        <v>2577</v>
      </c>
      <c r="P3" s="3133" t="s">
        <v>2578</v>
      </c>
      <c r="Q3" s="3133" t="s">
        <v>2579</v>
      </c>
      <c r="R3" s="3133" t="s">
        <v>2580</v>
      </c>
    </row>
    <row r="4" spans="1:18">
      <c r="A4" s="2760" t="s">
        <v>2490</v>
      </c>
      <c r="B4" s="2763" t="s">
        <v>2491</v>
      </c>
      <c r="C4" s="2763" t="s">
        <v>2492</v>
      </c>
      <c r="D4" s="2763" t="s">
        <v>2493</v>
      </c>
      <c r="E4" s="2763" t="s">
        <v>2494</v>
      </c>
      <c r="F4" s="2759"/>
      <c r="I4" s="2775" t="s">
        <v>2569</v>
      </c>
      <c r="J4" s="2775">
        <v>80</v>
      </c>
      <c r="K4" s="2775">
        <v>70</v>
      </c>
      <c r="L4" s="2775">
        <v>20</v>
      </c>
      <c r="M4" s="2775">
        <v>30</v>
      </c>
      <c r="N4" s="2763">
        <v>45</v>
      </c>
      <c r="O4" s="2763">
        <v>60</v>
      </c>
      <c r="P4" s="2763">
        <v>50</v>
      </c>
      <c r="Q4" s="2763">
        <v>20</v>
      </c>
      <c r="R4" s="2763">
        <v>375</v>
      </c>
    </row>
    <row r="5" spans="1:18">
      <c r="A5" s="2764">
        <v>40</v>
      </c>
      <c r="B5" s="2761">
        <v>46375</v>
      </c>
      <c r="C5" s="2763">
        <f>ROUNDDOWN(MIN((B5-B3)/365,A5),2)</f>
        <v>1.77</v>
      </c>
      <c r="D5" s="2765">
        <f>IF(ISERROR(ROUND(POWER(1+E5,A5-C5)*(POWER(1+E5,C5)-1)/(POWER(1+E5,A5)-1),3)),0,ROUND(POWER(1+E5,A5-C5)*(POWER(1+E5,C5)-1)/(POWER(1+E5,A5)-1),4))</f>
        <v>8.4699999999999998E-2</v>
      </c>
      <c r="E5" s="2766">
        <v>0.04</v>
      </c>
      <c r="F5" s="2759"/>
      <c r="I5" s="2775" t="s">
        <v>2570</v>
      </c>
      <c r="J5" s="2775">
        <v>70</v>
      </c>
      <c r="K5" s="2775">
        <v>60</v>
      </c>
      <c r="L5" s="2775">
        <v>15</v>
      </c>
      <c r="M5" s="2775">
        <v>25</v>
      </c>
      <c r="N5" s="2763">
        <v>40</v>
      </c>
      <c r="O5" s="2763">
        <v>50</v>
      </c>
      <c r="P5" s="2763">
        <v>40</v>
      </c>
      <c r="Q5" s="2763">
        <v>15</v>
      </c>
      <c r="R5" s="2763">
        <v>315</v>
      </c>
    </row>
    <row r="6" spans="1:18">
      <c r="A6" s="2764">
        <v>50</v>
      </c>
      <c r="B6" s="2761">
        <v>50028</v>
      </c>
      <c r="C6" s="2763">
        <f>ROUNDDOWN(MIN((B6-B3)/365,A6),2)</f>
        <v>11.78</v>
      </c>
      <c r="D6" s="2765">
        <f>IF(ISERROR(ROUND(POWER(1+E6,A6-C6)*(POWER(1+E6,C6)-1)/(POWER(1+E6,A6)-1),3)),0,ROUND(POWER(1+E6,A6-C6)*(POWER(1+E6,C6)-1)/(POWER(1+E6,A6)-1),4))</f>
        <v>0.43059999999999998</v>
      </c>
      <c r="E6" s="2766">
        <v>0.04</v>
      </c>
      <c r="F6" s="2759"/>
      <c r="I6" s="2775" t="s">
        <v>2571</v>
      </c>
      <c r="J6" s="2775">
        <v>60</v>
      </c>
      <c r="K6" s="2775">
        <v>50</v>
      </c>
      <c r="L6" s="2775">
        <v>10</v>
      </c>
      <c r="M6" s="2775">
        <v>20</v>
      </c>
      <c r="N6" s="2763">
        <v>35</v>
      </c>
      <c r="O6" s="2763">
        <v>40</v>
      </c>
      <c r="P6" s="2763">
        <v>30</v>
      </c>
      <c r="Q6" s="2763">
        <v>10</v>
      </c>
      <c r="R6" s="2763">
        <v>255</v>
      </c>
    </row>
    <row r="7" spans="1:18">
      <c r="A7" s="2764">
        <v>70</v>
      </c>
      <c r="B7" s="2761">
        <v>57333</v>
      </c>
      <c r="C7" s="2763">
        <f>ROUNDDOWN(MIN((B7-B3)/365,A7),2)</f>
        <v>31.79</v>
      </c>
      <c r="D7" s="2765">
        <f>IF(ISERROR(ROUND(POWER(1+E7,A7-C7)*(POWER(1+E7,C7)-1)/(POWER(1+E7,A7)-1),3)),0,ROUND(POWER(1+E7,A7-C7)*(POWER(1+E7,C7)-1)/(POWER(1+E7,A7)-1),4))</f>
        <v>0.76149999999999995</v>
      </c>
      <c r="E7" s="2766">
        <v>0.04</v>
      </c>
      <c r="F7" s="2759"/>
    </row>
    <row r="8" spans="1:18">
      <c r="A8" s="2757"/>
      <c r="B8" s="2758"/>
      <c r="C8" s="2758"/>
      <c r="D8" s="2758"/>
      <c r="E8" s="2758"/>
      <c r="F8" s="2759"/>
    </row>
    <row r="9" spans="1:18">
      <c r="A9" s="2760" t="s">
        <v>2495</v>
      </c>
      <c r="B9" s="2763"/>
      <c r="C9" s="2763"/>
      <c r="D9" s="2763"/>
      <c r="E9" s="2763"/>
      <c r="F9" s="2767"/>
    </row>
    <row r="10" spans="1:18">
      <c r="A10" s="2760" t="s">
        <v>2496</v>
      </c>
      <c r="B10" s="2763"/>
      <c r="C10" s="2763"/>
      <c r="D10" s="2763" t="s">
        <v>2494</v>
      </c>
      <c r="E10" s="2763"/>
      <c r="F10" s="2767" t="s">
        <v>2493</v>
      </c>
    </row>
    <row r="11" spans="1:18">
      <c r="A11" s="2760" t="s">
        <v>2497</v>
      </c>
      <c r="B11" s="2768">
        <v>70</v>
      </c>
      <c r="C11" s="2763" t="s">
        <v>2498</v>
      </c>
      <c r="D11" s="2768">
        <v>4.4999999999999998E-2</v>
      </c>
      <c r="E11" s="2763" t="s">
        <v>2499</v>
      </c>
      <c r="F11" s="2769">
        <f>ROUND(1-(1/(POWER(1+D11,B11))),4)</f>
        <v>0.95409999999999995</v>
      </c>
    </row>
    <row r="12" spans="1:18">
      <c r="A12" s="2760" t="s">
        <v>2500</v>
      </c>
      <c r="B12" s="2768">
        <v>40</v>
      </c>
      <c r="C12" s="2763" t="s">
        <v>2501</v>
      </c>
      <c r="D12" s="2768">
        <v>4.4999999999999998E-2</v>
      </c>
      <c r="E12" s="2763" t="s">
        <v>2502</v>
      </c>
      <c r="F12" s="2769">
        <f>ROUND(1-(1/(POWER(1+D12,B12))),4)</f>
        <v>0.82809999999999995</v>
      </c>
    </row>
    <row r="13" spans="1:18">
      <c r="A13" s="2760" t="s">
        <v>2503</v>
      </c>
      <c r="B13" s="2763"/>
      <c r="C13" s="2763"/>
      <c r="D13" s="2758"/>
      <c r="E13" s="2758"/>
      <c r="F13" s="2759"/>
    </row>
    <row r="14" spans="1:18">
      <c r="A14" s="2760" t="s">
        <v>2504</v>
      </c>
      <c r="B14" s="2768">
        <v>5000</v>
      </c>
      <c r="C14" s="2762"/>
      <c r="D14" s="2758"/>
      <c r="E14" s="2758"/>
      <c r="F14" s="2759"/>
    </row>
    <row r="15" spans="1:18">
      <c r="A15" s="2760" t="s">
        <v>2505</v>
      </c>
      <c r="B15" s="2763">
        <f>ROUND(B14*F12/F11,2)</f>
        <v>4339.6899999999996</v>
      </c>
      <c r="C15" s="2763">
        <f>ROUND(F12/F11,4)</f>
        <v>0.8679</v>
      </c>
      <c r="D15" s="2758"/>
      <c r="E15" s="2758"/>
      <c r="F15" s="2759"/>
    </row>
    <row r="16" spans="1:18">
      <c r="A16" s="2760" t="s">
        <v>2506</v>
      </c>
      <c r="B16" s="2763"/>
      <c r="C16" s="2763"/>
      <c r="D16" s="2758"/>
      <c r="E16" s="2758"/>
      <c r="F16" s="2759"/>
    </row>
    <row r="17" spans="1:14">
      <c r="A17" s="2760" t="s">
        <v>2505</v>
      </c>
      <c r="B17" s="2768">
        <v>4810</v>
      </c>
      <c r="C17" s="2762"/>
      <c r="D17" s="2758"/>
      <c r="E17" s="2758"/>
      <c r="F17" s="2759"/>
    </row>
    <row r="18" spans="1:14" ht="15" thickBot="1">
      <c r="A18" s="2770" t="s">
        <v>2504</v>
      </c>
      <c r="B18" s="2771">
        <f>ROUND(B17*F11/F12,2)</f>
        <v>5541.87</v>
      </c>
      <c r="C18" s="2771">
        <f>ROUND(F11/F12,4)</f>
        <v>1.1521999999999999</v>
      </c>
      <c r="D18" s="2772"/>
      <c r="E18" s="2772"/>
      <c r="F18" s="2773"/>
    </row>
    <row r="19" spans="1:14" ht="15" thickBot="1"/>
    <row r="20" spans="1:14" s="2806" customFormat="1" ht="15" thickTop="1">
      <c r="A20" s="2803" t="s">
        <v>2507</v>
      </c>
      <c r="B20" s="2804"/>
      <c r="C20" s="2804"/>
      <c r="D20" s="2804"/>
      <c r="E20" s="2804"/>
      <c r="F20" s="2804"/>
      <c r="G20" s="2805"/>
      <c r="I20" s="2807" t="s">
        <v>2552</v>
      </c>
      <c r="J20" s="2807" t="s">
        <v>2557</v>
      </c>
      <c r="K20" s="2807"/>
      <c r="L20" s="2807"/>
      <c r="M20" s="2807"/>
    </row>
    <row r="21" spans="1:14">
      <c r="A21" s="2774"/>
      <c r="B21" s="2775" t="s">
        <v>2508</v>
      </c>
      <c r="C21" s="2775" t="s">
        <v>2509</v>
      </c>
      <c r="D21" s="2775" t="s">
        <v>2510</v>
      </c>
      <c r="E21" s="2775" t="s">
        <v>2511</v>
      </c>
      <c r="F21" s="2775" t="s">
        <v>2512</v>
      </c>
      <c r="G21" s="2776" t="s">
        <v>2513</v>
      </c>
      <c r="I21" s="2797">
        <v>5</v>
      </c>
      <c r="J21" s="2797">
        <v>54.2</v>
      </c>
    </row>
    <row r="22" spans="1:14">
      <c r="A22" s="2774" t="s">
        <v>2514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2555</v>
      </c>
      <c r="N23" s="3150" t="s">
        <v>2556</v>
      </c>
    </row>
    <row r="24" spans="1:14">
      <c r="A24" s="2774" t="s">
        <v>2516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2554</v>
      </c>
      <c r="N24" s="3150">
        <v>10</v>
      </c>
    </row>
    <row r="25" spans="1:14">
      <c r="A25" s="2774" t="s">
        <v>2517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2558</v>
      </c>
      <c r="N25" s="3150">
        <v>8</v>
      </c>
    </row>
    <row r="26" spans="1:14">
      <c r="A26" s="2779"/>
      <c r="B26" s="2780"/>
      <c r="C26" s="2780"/>
      <c r="D26" s="2780"/>
      <c r="E26" s="2780"/>
      <c r="F26" s="2780"/>
      <c r="G26" s="2781"/>
      <c r="I26" s="2797">
        <v>30</v>
      </c>
      <c r="J26" s="2797">
        <v>90.5</v>
      </c>
      <c r="K26" s="2797">
        <f t="shared" si="2"/>
        <v>4.2000000000000028</v>
      </c>
      <c r="L26" s="2797" t="s">
        <v>2559</v>
      </c>
      <c r="N26" s="3150">
        <v>5</v>
      </c>
    </row>
    <row r="27" spans="1:14">
      <c r="A27" s="2779" t="s">
        <v>2518</v>
      </c>
      <c r="B27" s="2780"/>
      <c r="C27" s="2780"/>
      <c r="D27" s="2780"/>
      <c r="E27" s="2780"/>
      <c r="F27" s="2780"/>
      <c r="G27" s="2781"/>
      <c r="I27" s="2797">
        <v>35</v>
      </c>
      <c r="J27" s="2797">
        <v>93.8</v>
      </c>
      <c r="K27" s="2797">
        <f t="shared" si="2"/>
        <v>3.2999999999999972</v>
      </c>
      <c r="L27" s="2797" t="s">
        <v>2560</v>
      </c>
      <c r="N27" s="3150">
        <v>3</v>
      </c>
    </row>
    <row r="28" spans="1:14">
      <c r="A28" s="2779" t="s">
        <v>2519</v>
      </c>
      <c r="B28" s="2780"/>
      <c r="C28" s="2780"/>
      <c r="D28" s="2780"/>
      <c r="E28" s="2780"/>
      <c r="F28" s="2780"/>
      <c r="G28" s="2781"/>
      <c r="I28" s="2797">
        <v>40</v>
      </c>
      <c r="J28" s="2797">
        <v>96.4</v>
      </c>
      <c r="K28" s="2797">
        <f t="shared" si="2"/>
        <v>2.6000000000000085</v>
      </c>
      <c r="L28" s="2797" t="s">
        <v>2561</v>
      </c>
      <c r="N28" s="3150">
        <v>2</v>
      </c>
    </row>
    <row r="29" spans="1:14">
      <c r="A29" s="2779" t="s">
        <v>2520</v>
      </c>
      <c r="B29" s="2780"/>
      <c r="C29" s="2780"/>
      <c r="D29" s="2780"/>
      <c r="E29" s="2780"/>
      <c r="F29" s="2780"/>
      <c r="G29" s="2781"/>
      <c r="I29" s="2797">
        <v>45</v>
      </c>
      <c r="J29" s="2797">
        <v>98.4</v>
      </c>
      <c r="K29" s="2797">
        <f t="shared" si="2"/>
        <v>2</v>
      </c>
    </row>
    <row r="30" spans="1:14">
      <c r="A30" s="2779" t="s">
        <v>2521</v>
      </c>
      <c r="B30" s="2780"/>
      <c r="C30" s="2780"/>
      <c r="D30" s="2780"/>
      <c r="E30" s="2780"/>
      <c r="F30" s="2780"/>
      <c r="G30" s="2781"/>
      <c r="I30" s="2797">
        <v>50</v>
      </c>
      <c r="J30" s="2797">
        <v>100</v>
      </c>
      <c r="K30" s="2797">
        <f t="shared" si="2"/>
        <v>1.5999999999999943</v>
      </c>
    </row>
    <row r="31" spans="1:14">
      <c r="A31" s="2779" t="s">
        <v>2522</v>
      </c>
      <c r="B31" s="2780"/>
      <c r="C31" s="2780"/>
      <c r="D31" s="2780"/>
      <c r="E31" s="2780"/>
      <c r="F31" s="2780"/>
      <c r="G31" s="2781"/>
      <c r="I31" s="2797" t="s">
        <v>2553</v>
      </c>
    </row>
    <row r="32" spans="1:14">
      <c r="A32" s="2779" t="s">
        <v>2523</v>
      </c>
      <c r="B32" s="2780"/>
      <c r="C32" s="2780"/>
      <c r="D32" s="2780"/>
      <c r="E32" s="2780"/>
      <c r="F32" s="2780"/>
      <c r="G32" s="2781"/>
    </row>
    <row r="33" spans="1:14">
      <c r="A33" s="2779" t="s">
        <v>2524</v>
      </c>
      <c r="B33" s="2780"/>
      <c r="C33" s="2780"/>
      <c r="D33" s="2780"/>
      <c r="E33" s="2780"/>
      <c r="F33" s="2780"/>
      <c r="G33" s="2781"/>
      <c r="I33" s="2797" t="s">
        <v>2552</v>
      </c>
      <c r="J33" s="2797" t="s">
        <v>2562</v>
      </c>
    </row>
    <row r="34" spans="1:14">
      <c r="A34" s="2779" t="s">
        <v>2525</v>
      </c>
      <c r="B34" s="2780"/>
      <c r="C34" s="2780"/>
      <c r="D34" s="2780"/>
      <c r="E34" s="2780"/>
      <c r="F34" s="2780"/>
      <c r="G34" s="2781"/>
      <c r="I34" s="2797">
        <v>5</v>
      </c>
      <c r="J34" s="2797">
        <v>55.1</v>
      </c>
    </row>
    <row r="35" spans="1:14">
      <c r="A35" s="2779" t="s">
        <v>2526</v>
      </c>
      <c r="B35" s="2780"/>
      <c r="C35" s="2780"/>
      <c r="D35" s="2780"/>
      <c r="E35" s="2780"/>
      <c r="F35" s="2780"/>
      <c r="G35" s="2781"/>
      <c r="I35" s="2797">
        <v>10</v>
      </c>
      <c r="J35" s="2797">
        <v>67</v>
      </c>
      <c r="K35" s="2797">
        <f>J35-J34</f>
        <v>11.899999999999999</v>
      </c>
    </row>
    <row r="36" spans="1:14">
      <c r="A36" s="2779" t="s">
        <v>2527</v>
      </c>
      <c r="B36" s="2780"/>
      <c r="C36" s="2780"/>
      <c r="D36" s="2780"/>
      <c r="E36" s="2780"/>
      <c r="F36" s="2780"/>
      <c r="G36" s="2781"/>
      <c r="I36" s="2797">
        <v>15</v>
      </c>
      <c r="J36" s="2797">
        <v>76.3</v>
      </c>
      <c r="K36" s="2797">
        <f t="shared" ref="K36:K41" si="3">J36-J35</f>
        <v>9.2999999999999972</v>
      </c>
      <c r="L36" s="2797" t="s">
        <v>2555</v>
      </c>
      <c r="N36" s="3150" t="s">
        <v>2556</v>
      </c>
    </row>
    <row r="37" spans="1:14">
      <c r="A37" s="2779" t="s">
        <v>2528</v>
      </c>
      <c r="B37" s="2780"/>
      <c r="C37" s="2780"/>
      <c r="D37" s="2780"/>
      <c r="E37" s="2780"/>
      <c r="F37" s="2780"/>
      <c r="G37" s="2781"/>
      <c r="I37" s="2797">
        <v>20</v>
      </c>
      <c r="J37" s="2797">
        <v>83.6</v>
      </c>
      <c r="K37" s="2797">
        <f t="shared" si="3"/>
        <v>7.2999999999999972</v>
      </c>
      <c r="L37" s="2797" t="s">
        <v>2554</v>
      </c>
      <c r="N37" s="3150">
        <v>10</v>
      </c>
    </row>
    <row r="38" spans="1:14">
      <c r="A38" s="2779" t="s">
        <v>2529</v>
      </c>
      <c r="B38" s="2780"/>
      <c r="C38" s="2780"/>
      <c r="D38" s="2780"/>
      <c r="E38" s="2780"/>
      <c r="F38" s="2780"/>
      <c r="G38" s="2781"/>
      <c r="I38" s="2797">
        <v>25</v>
      </c>
      <c r="J38" s="2797">
        <v>89.3</v>
      </c>
      <c r="K38" s="2797">
        <f t="shared" si="3"/>
        <v>5.7000000000000028</v>
      </c>
      <c r="L38" s="2797" t="s">
        <v>2558</v>
      </c>
      <c r="N38" s="3150">
        <v>8</v>
      </c>
    </row>
    <row r="39" spans="1:14">
      <c r="A39" s="2779"/>
      <c r="B39" s="2780"/>
      <c r="C39" s="2780"/>
      <c r="D39" s="2780"/>
      <c r="E39" s="2780"/>
      <c r="F39" s="2780"/>
      <c r="G39" s="2781"/>
      <c r="I39" s="2797">
        <v>30</v>
      </c>
      <c r="J39" s="2797">
        <v>93.8</v>
      </c>
      <c r="K39" s="2797">
        <f t="shared" si="3"/>
        <v>4.5</v>
      </c>
      <c r="L39" s="2797" t="s">
        <v>2559</v>
      </c>
      <c r="N39" s="3150">
        <v>6</v>
      </c>
    </row>
    <row r="40" spans="1:14">
      <c r="A40" s="2782" t="s">
        <v>2530</v>
      </c>
      <c r="B40" s="2783"/>
      <c r="C40" s="2783"/>
      <c r="D40" s="2783"/>
      <c r="E40" s="2783"/>
      <c r="F40" s="2783"/>
      <c r="G40" s="2784"/>
      <c r="I40" s="2797">
        <v>35</v>
      </c>
      <c r="J40" s="2797">
        <v>97.2</v>
      </c>
      <c r="K40" s="2797">
        <f t="shared" si="3"/>
        <v>3.4000000000000057</v>
      </c>
      <c r="L40" s="2797" t="s">
        <v>2560</v>
      </c>
      <c r="N40" s="3150">
        <v>3</v>
      </c>
    </row>
    <row r="41" spans="1:14">
      <c r="A41" s="2785" t="s">
        <v>2531</v>
      </c>
      <c r="B41" s="2786" t="s">
        <v>2532</v>
      </c>
      <c r="C41" s="2787" t="s">
        <v>2533</v>
      </c>
      <c r="D41" s="2787" t="s">
        <v>2534</v>
      </c>
      <c r="E41" s="2788"/>
      <c r="F41" s="2789"/>
      <c r="G41" s="2790"/>
      <c r="I41" s="2797">
        <v>40</v>
      </c>
      <c r="J41" s="2797">
        <v>100</v>
      </c>
      <c r="K41" s="2797">
        <f t="shared" si="3"/>
        <v>2.7999999999999972</v>
      </c>
    </row>
    <row r="42" spans="1:14">
      <c r="A42" s="2785" t="s">
        <v>2535</v>
      </c>
      <c r="B42" s="2786" t="s">
        <v>2536</v>
      </c>
      <c r="C42" s="2787" t="s">
        <v>2537</v>
      </c>
      <c r="D42" s="2791" t="s">
        <v>2538</v>
      </c>
      <c r="E42" s="2783" t="s">
        <v>2539</v>
      </c>
      <c r="F42" s="2783"/>
      <c r="G42" s="2784"/>
    </row>
    <row r="43" spans="1:14">
      <c r="A43" s="2785" t="s">
        <v>2540</v>
      </c>
      <c r="B43" s="2786" t="s">
        <v>2541</v>
      </c>
      <c r="C43" s="2787" t="s">
        <v>2542</v>
      </c>
      <c r="D43" s="2787" t="s">
        <v>2543</v>
      </c>
      <c r="E43" s="2788" t="s">
        <v>2544</v>
      </c>
      <c r="F43" s="2789"/>
      <c r="G43" s="2790"/>
      <c r="I43" s="2797" t="s">
        <v>2552</v>
      </c>
      <c r="J43" s="2797" t="s">
        <v>2563</v>
      </c>
    </row>
    <row r="44" spans="1:14">
      <c r="A44" s="2785" t="s">
        <v>2545</v>
      </c>
      <c r="B44" s="2786" t="s">
        <v>2546</v>
      </c>
      <c r="C44" s="2787" t="s">
        <v>2547</v>
      </c>
      <c r="D44" s="2791">
        <v>0.5</v>
      </c>
      <c r="E44" s="2788" t="s">
        <v>2548</v>
      </c>
      <c r="F44" s="2789"/>
      <c r="G44" s="2790"/>
      <c r="I44" s="2797">
        <v>30</v>
      </c>
      <c r="J44" s="2797">
        <v>81.7</v>
      </c>
    </row>
    <row r="45" spans="1:14" ht="15" thickBot="1">
      <c r="A45" s="2792" t="s">
        <v>2549</v>
      </c>
      <c r="B45" s="2793" t="s">
        <v>2536</v>
      </c>
      <c r="C45" s="2794" t="s">
        <v>2536</v>
      </c>
      <c r="D45" s="2794" t="s">
        <v>2550</v>
      </c>
      <c r="E45" s="2795" t="s">
        <v>2551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3377</v>
      </c>
    </row>
    <row r="50" spans="1:4">
      <c r="A50" s="3142" t="s">
        <v>3378</v>
      </c>
      <c r="B50" s="3142" t="s">
        <v>3379</v>
      </c>
      <c r="C50" s="3142" t="s">
        <v>3380</v>
      </c>
      <c r="D50" s="3142" t="s">
        <v>3381</v>
      </c>
    </row>
    <row r="51" spans="1:4">
      <c r="A51" s="3142" t="s">
        <v>3382</v>
      </c>
      <c r="B51" s="2762">
        <f>B52+B53</f>
        <v>15000</v>
      </c>
      <c r="C51" s="3143">
        <f>D51/B51</f>
        <v>2666.6666666666665</v>
      </c>
      <c r="D51" s="2762">
        <f>D52+D53</f>
        <v>40000000</v>
      </c>
    </row>
    <row r="52" spans="1:4">
      <c r="A52" s="3144" t="s">
        <v>3383</v>
      </c>
      <c r="B52" s="3145">
        <v>10000</v>
      </c>
      <c r="C52" s="3145">
        <v>1500</v>
      </c>
      <c r="D52" s="3146">
        <f>C52*B52</f>
        <v>15000000</v>
      </c>
    </row>
    <row r="53" spans="1:4">
      <c r="A53" s="3144" t="s">
        <v>3384</v>
      </c>
      <c r="B53" s="3145">
        <v>5000</v>
      </c>
      <c r="C53" s="3145">
        <v>5000</v>
      </c>
      <c r="D53" s="3146">
        <f>C53*B53</f>
        <v>25000000</v>
      </c>
    </row>
    <row r="54" spans="1:4">
      <c r="A54" s="3142" t="s">
        <v>3385</v>
      </c>
      <c r="B54" s="2762">
        <f>B51</f>
        <v>15000</v>
      </c>
      <c r="C54" s="2768">
        <v>700</v>
      </c>
      <c r="D54" s="2762">
        <f t="shared" ref="D54:D55" si="5">C54*B54</f>
        <v>10500000</v>
      </c>
    </row>
    <row r="55" spans="1:4">
      <c r="A55" s="3142" t="s">
        <v>3386</v>
      </c>
      <c r="B55" s="2762">
        <f>B51</f>
        <v>15000</v>
      </c>
      <c r="C55" s="2768">
        <v>1500</v>
      </c>
      <c r="D55" s="2762">
        <f t="shared" si="5"/>
        <v>22500000</v>
      </c>
    </row>
    <row r="56" spans="1:4">
      <c r="A56" s="3142" t="s">
        <v>3387</v>
      </c>
      <c r="B56" s="2762">
        <f>B51</f>
        <v>15000</v>
      </c>
      <c r="C56" s="3147">
        <f>C51+C54+C55</f>
        <v>4866.6666666666661</v>
      </c>
      <c r="D56" s="2762">
        <f>D51+D54+D55</f>
        <v>73000000</v>
      </c>
    </row>
    <row r="58" spans="1:4">
      <c r="A58" s="3142" t="s">
        <v>3388</v>
      </c>
      <c r="B58" s="3148">
        <v>0.05</v>
      </c>
      <c r="C58" s="2762">
        <f>C56*(1+B58)</f>
        <v>5110</v>
      </c>
      <c r="D58" s="2762">
        <f>D56*B58</f>
        <v>3650000</v>
      </c>
    </row>
    <row r="60" spans="1:4">
      <c r="A60" s="3142" t="s">
        <v>3389</v>
      </c>
      <c r="B60" s="2768">
        <v>3500</v>
      </c>
      <c r="C60" s="2768">
        <f>C53</f>
        <v>5000</v>
      </c>
      <c r="D60" s="2762">
        <f>C60*B60</f>
        <v>17500000</v>
      </c>
    </row>
    <row r="62" spans="1:4">
      <c r="A62" s="3142" t="s">
        <v>3390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6" sqref="E6"/>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2165</v>
      </c>
      <c r="B1" s="3261" t="str">
        <f>IF(B10="北京市","北京市",C10)&amp;F10&amp;IF(结果表!G1="在建","出让国有建设用地使用权及在建建筑物",IF(结果表!G1="土地","出让国有建设用地使用权",))&amp;B9&amp;"预评估"</f>
        <v>北京市房地产抵押价值预评估</v>
      </c>
      <c r="C1" s="3262"/>
      <c r="D1" s="3262"/>
      <c r="E1" s="3262"/>
      <c r="F1" s="3262"/>
      <c r="G1" s="3262"/>
      <c r="H1" s="3262"/>
      <c r="I1" s="3263"/>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2166</v>
      </c>
      <c r="B2" s="120"/>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2167</v>
      </c>
      <c r="B3" s="2182">
        <v>45730</v>
      </c>
      <c r="C3" s="2183" t="s">
        <v>2168</v>
      </c>
      <c r="D3" s="2182">
        <v>45728</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8" thickBot="1">
      <c r="A4" s="1025" t="s">
        <v>2169</v>
      </c>
      <c r="B4" s="2184" t="s">
        <v>4069</v>
      </c>
      <c r="C4" s="2185">
        <f ca="1">SUMIF(注册房地产估价师,B4,估价师及机构信息!B3:B24)</f>
        <v>1120070131</v>
      </c>
      <c r="D4" s="2184" t="s">
        <v>4070</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2"/>
      <c r="K4" s="2186" t="str">
        <f ca="1">CONCATENATE(B4,"（注册号：",C4,")、",D4,"（注册号：",E4,")")</f>
        <v>郑燚（注册号：1120070131)、吴薇（注册号：1419970001)</v>
      </c>
      <c r="L4" s="2181"/>
      <c r="M4" s="2181"/>
      <c r="N4" s="2179"/>
      <c r="O4" s="1463"/>
      <c r="P4" s="2179"/>
      <c r="Q4" s="2179"/>
      <c r="R4" s="2179"/>
      <c r="S4" s="1558"/>
      <c r="T4" s="1615"/>
      <c r="U4" s="1615"/>
      <c r="V4" s="1615"/>
      <c r="W4" s="1615"/>
      <c r="X4" s="1615"/>
      <c r="Y4" s="1615"/>
      <c r="Z4" s="1615"/>
      <c r="AA4" s="1615"/>
      <c r="AB4" s="1615"/>
    </row>
    <row r="5" spans="1:30" ht="13.8" thickTop="1">
      <c r="A5" s="2187" t="s">
        <v>2170</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2171</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2172</v>
      </c>
      <c r="B7" s="2195"/>
      <c r="C7" s="2193"/>
      <c r="D7" s="2194"/>
      <c r="E7" s="2438"/>
      <c r="F7" s="2439"/>
      <c r="G7" s="2439"/>
      <c r="H7" s="2439"/>
      <c r="I7" s="2439"/>
      <c r="J7" s="2242"/>
      <c r="K7" s="2399"/>
      <c r="L7" s="2396"/>
      <c r="M7" s="2396"/>
      <c r="N7" s="2242"/>
      <c r="O7" s="1667"/>
      <c r="P7" s="2242"/>
      <c r="Q7" s="2242"/>
      <c r="R7" s="2242"/>
    </row>
    <row r="8" spans="1:30">
      <c r="A8" s="2196" t="s">
        <v>2173</v>
      </c>
      <c r="B8" s="2197" t="s">
        <v>3392</v>
      </c>
      <c r="C8" s="2198"/>
      <c r="D8" s="3264" t="s">
        <v>2174</v>
      </c>
      <c r="E8" s="2199" t="s">
        <v>3393</v>
      </c>
      <c r="F8" s="2200"/>
      <c r="G8" s="2439"/>
      <c r="H8" s="2439"/>
      <c r="I8" s="2439"/>
      <c r="J8" s="2242"/>
      <c r="K8" s="2397"/>
      <c r="L8" s="2396"/>
      <c r="M8" s="2396"/>
      <c r="N8" s="2242"/>
      <c r="O8" s="1667"/>
      <c r="P8" s="2242"/>
      <c r="Q8" s="2242"/>
      <c r="R8" s="2242"/>
    </row>
    <row r="9" spans="1:30" ht="13.8" thickBot="1">
      <c r="A9" s="2201" t="s">
        <v>2175</v>
      </c>
      <c r="B9" s="2202" t="s">
        <v>3393</v>
      </c>
      <c r="C9" s="2203"/>
      <c r="D9" s="3265"/>
      <c r="E9" s="2202" t="s">
        <v>43</v>
      </c>
      <c r="F9" s="2204"/>
      <c r="G9" s="2440"/>
      <c r="H9" s="2440"/>
      <c r="I9" s="2440"/>
      <c r="J9" s="2242"/>
      <c r="K9" s="2399"/>
      <c r="L9" s="2396"/>
      <c r="M9" s="2396"/>
      <c r="N9" s="2242"/>
      <c r="O9" s="1667"/>
      <c r="P9" s="2242"/>
      <c r="Q9" s="2242"/>
      <c r="R9" s="2242"/>
    </row>
    <row r="10" spans="1:30" ht="13.8" thickTop="1">
      <c r="A10" s="2205" t="s">
        <v>2176</v>
      </c>
      <c r="B10" s="2206" t="s">
        <v>3394</v>
      </c>
      <c r="C10" s="2207"/>
      <c r="D10" s="2190"/>
      <c r="E10" s="2208" t="s">
        <v>2177</v>
      </c>
      <c r="F10" s="2441"/>
      <c r="G10" s="2442"/>
      <c r="H10" s="2443"/>
      <c r="I10" s="2444"/>
      <c r="J10" s="2242"/>
      <c r="K10" s="2399"/>
      <c r="L10" s="2396"/>
      <c r="M10" s="2396"/>
      <c r="N10" s="2242"/>
      <c r="O10" s="1667"/>
      <c r="P10" s="2242"/>
      <c r="Q10" s="2242"/>
      <c r="R10" s="2242"/>
    </row>
    <row r="11" spans="1:30">
      <c r="A11" s="2209" t="s">
        <v>2178</v>
      </c>
      <c r="B11" s="2210" t="s">
        <v>3395</v>
      </c>
      <c r="C11" s="2211"/>
      <c r="D11" s="2212"/>
      <c r="E11" s="2179"/>
      <c r="F11" s="2179"/>
      <c r="G11" s="2179"/>
      <c r="H11" s="2179"/>
      <c r="I11" s="2179"/>
      <c r="J11" s="2799"/>
      <c r="K11" s="2396"/>
      <c r="L11" s="2396"/>
      <c r="M11" s="2396"/>
      <c r="N11" s="2242"/>
      <c r="O11" s="1667"/>
      <c r="P11" s="2242"/>
      <c r="Q11" s="2242"/>
      <c r="R11" s="2242"/>
    </row>
    <row r="12" spans="1:30">
      <c r="A12" s="2213" t="s">
        <v>2179</v>
      </c>
      <c r="B12" s="313" t="s">
        <v>2180</v>
      </c>
      <c r="C12" s="2214" t="s">
        <v>2181</v>
      </c>
      <c r="D12" s="2214" t="s">
        <v>2182</v>
      </c>
      <c r="E12" s="2214" t="s">
        <v>2183</v>
      </c>
      <c r="F12" s="2214" t="s">
        <v>2184</v>
      </c>
      <c r="G12" s="2214" t="s">
        <v>2185</v>
      </c>
      <c r="H12" s="2214" t="s">
        <v>2186</v>
      </c>
      <c r="I12" s="2798" t="s">
        <v>2564</v>
      </c>
      <c r="J12" s="2800"/>
      <c r="K12" s="2396"/>
      <c r="L12" s="2396"/>
      <c r="M12" s="2242"/>
      <c r="N12" s="1667"/>
      <c r="O12" s="2242"/>
      <c r="P12" s="2242"/>
      <c r="Q12" s="2242"/>
      <c r="AD12" s="1615"/>
    </row>
    <row r="13" spans="1:30">
      <c r="A13" s="3119" t="s">
        <v>3319</v>
      </c>
      <c r="B13" s="2215" t="s">
        <v>2187</v>
      </c>
      <c r="C13" s="801"/>
      <c r="D13" s="801"/>
      <c r="E13" s="801">
        <v>58567</v>
      </c>
      <c r="F13" s="801">
        <v>58567</v>
      </c>
      <c r="G13" s="801">
        <v>58567</v>
      </c>
      <c r="H13" s="801"/>
      <c r="I13" s="801"/>
      <c r="J13" s="2800"/>
      <c r="K13" s="2396"/>
      <c r="L13" s="2396"/>
      <c r="M13" s="2242"/>
      <c r="N13" s="1667"/>
      <c r="O13" s="2242"/>
      <c r="P13" s="2242"/>
      <c r="Q13" s="2242"/>
      <c r="AD13" s="1615"/>
    </row>
    <row r="14" spans="1:30">
      <c r="A14" s="1016"/>
      <c r="B14" s="2215" t="s">
        <v>2188</v>
      </c>
      <c r="C14" s="2216"/>
      <c r="D14" s="2216"/>
      <c r="E14" s="2216">
        <v>50</v>
      </c>
      <c r="F14" s="2216">
        <v>50</v>
      </c>
      <c r="G14" s="2216">
        <v>50</v>
      </c>
      <c r="H14" s="2216"/>
      <c r="I14" s="2216"/>
      <c r="J14" s="2801"/>
      <c r="K14" s="2396"/>
      <c r="L14" s="2396"/>
      <c r="M14" s="2242"/>
      <c r="N14" s="1667"/>
      <c r="O14" s="2242"/>
      <c r="P14" s="2242"/>
      <c r="Q14" s="2242"/>
      <c r="AD14" s="1615"/>
    </row>
    <row r="15" spans="1:30">
      <c r="A15" s="310"/>
      <c r="B15" s="2217" t="s">
        <v>2189</v>
      </c>
      <c r="C15" s="2218" t="str">
        <f>IF(A13="出让",IF(C13="","",ROUNDDOWN(MIN((C13-$D$3)/365,C14),2)),C14)</f>
        <v/>
      </c>
      <c r="D15" s="2218" t="str">
        <f>IF(A13="出让",IF(D13="","",ROUNDDOWN(MIN((D13-$D$3)/365,D14),2)),D14)</f>
        <v/>
      </c>
      <c r="E15" s="2218">
        <f>IF(A13="出让",IF(E13="","",ROUNDDOWN(MIN((E13-$D$3)/365,E14),2)),E14)</f>
        <v>35.17</v>
      </c>
      <c r="F15" s="2218">
        <f>IF(A13="出让",IF(F13="","",ROUNDDOWN(MIN((F13-$D$3)/365,F14),2)),F14)</f>
        <v>35.17</v>
      </c>
      <c r="G15" s="2218">
        <f>IF(A13="出让",IF(G13="","",ROUNDDOWN(MIN((G13-$D$3)/365,G14),2)),G14)</f>
        <v>35.17</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2190</v>
      </c>
      <c r="B16" s="3271"/>
      <c r="C16" s="3272"/>
      <c r="D16" s="3273"/>
      <c r="E16" s="2219" t="s">
        <v>2191</v>
      </c>
      <c r="F16" s="3274"/>
      <c r="G16" s="3275"/>
      <c r="H16" s="3275"/>
      <c r="I16" s="3276"/>
      <c r="J16" s="2242"/>
      <c r="K16" s="2400"/>
      <c r="L16" s="1667"/>
      <c r="M16" s="1667"/>
      <c r="N16" s="2242"/>
      <c r="O16" s="1667"/>
      <c r="P16" s="2242"/>
      <c r="Q16" s="2242"/>
      <c r="R16" s="2242"/>
    </row>
    <row r="17" spans="1:28">
      <c r="A17" s="303" t="s">
        <v>2192</v>
      </c>
      <c r="B17" s="292" t="s">
        <v>2193</v>
      </c>
      <c r="C17" s="8">
        <f>'数据-汇总表'!E3</f>
        <v>1232.79</v>
      </c>
      <c r="D17" s="1253" t="s">
        <v>2194</v>
      </c>
      <c r="E17" s="3277" t="s">
        <v>2195</v>
      </c>
      <c r="F17" s="3278"/>
      <c r="G17" s="3278"/>
      <c r="H17" s="3278"/>
      <c r="I17" s="3279"/>
      <c r="J17" s="2242"/>
      <c r="K17" s="2401"/>
      <c r="L17" s="1667"/>
      <c r="M17" s="1667"/>
      <c r="N17" s="2242"/>
      <c r="O17" s="1667"/>
      <c r="P17" s="2242"/>
      <c r="Q17" s="2242"/>
      <c r="R17" s="2242"/>
      <c r="S17" s="2242"/>
      <c r="T17" s="2242"/>
      <c r="U17" s="2242"/>
      <c r="V17" s="2242"/>
    </row>
    <row r="18" spans="1:28" ht="24.6" thickBot="1">
      <c r="A18" s="2220" t="s">
        <v>2196</v>
      </c>
      <c r="B18" s="1025" t="s">
        <v>2197</v>
      </c>
      <c r="C18" s="2221">
        <f>'数据-汇总表'!D3</f>
        <v>891.05</v>
      </c>
      <c r="D18" s="1027" t="s">
        <v>2198</v>
      </c>
      <c r="E18" s="3280" t="s">
        <v>2199</v>
      </c>
      <c r="F18" s="3281"/>
      <c r="G18" s="3281"/>
      <c r="H18" s="3281"/>
      <c r="I18" s="3282"/>
      <c r="J18" s="2242"/>
      <c r="K18" s="2401"/>
      <c r="L18" s="1667"/>
      <c r="M18" s="1667"/>
      <c r="N18" s="2242"/>
      <c r="O18" s="1667"/>
      <c r="P18" s="2242"/>
      <c r="Q18" s="2242"/>
      <c r="R18" s="2242"/>
      <c r="S18" s="2242"/>
      <c r="T18" s="2242"/>
      <c r="U18" s="2242"/>
      <c r="V18" s="2242"/>
    </row>
    <row r="19" spans="1:28" ht="37.200000000000003" thickTop="1" thickBot="1">
      <c r="A19" s="317" t="s">
        <v>1055</v>
      </c>
      <c r="B19" s="297" t="s">
        <v>2200</v>
      </c>
      <c r="C19" s="1452"/>
      <c r="D19" s="1453" t="s">
        <v>2201</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2202</v>
      </c>
      <c r="B20" s="3267" t="s">
        <v>2203</v>
      </c>
      <c r="C20" s="3268"/>
      <c r="D20" s="3269" t="s">
        <v>2204</v>
      </c>
      <c r="E20" s="3270"/>
      <c r="F20" s="2427" t="s">
        <v>1056</v>
      </c>
      <c r="G20" s="2439"/>
      <c r="H20" s="2439"/>
      <c r="I20" s="2439"/>
      <c r="J20" s="2242"/>
      <c r="K20" s="3266"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4"/>
      <c r="B21" s="2415" t="s">
        <v>2206</v>
      </c>
      <c r="C21" s="2293" t="s">
        <v>1057</v>
      </c>
      <c r="D21" s="1457" t="s">
        <v>2207</v>
      </c>
      <c r="E21" s="2416" t="s">
        <v>1057</v>
      </c>
      <c r="F21" s="2428"/>
      <c r="G21" s="2439"/>
      <c r="H21" s="2439"/>
      <c r="I21" s="2439"/>
      <c r="J21" s="2242"/>
      <c r="K21" s="326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4"/>
      <c r="B22" s="2417" t="s">
        <v>2208</v>
      </c>
      <c r="C22" s="2293" t="s">
        <v>1058</v>
      </c>
      <c r="D22" s="2439"/>
      <c r="E22" s="2439"/>
      <c r="F22" s="2439"/>
      <c r="G22" s="2439"/>
      <c r="H22" s="2439"/>
      <c r="I22" s="2439"/>
      <c r="J22" s="2242"/>
      <c r="K22" s="326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2209</v>
      </c>
      <c r="B23" s="2290" t="s">
        <v>2210</v>
      </c>
      <c r="C23" s="2419"/>
      <c r="D23" s="2420" t="s">
        <v>2210</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8" thickTop="1">
      <c r="A27" s="3284" t="s">
        <v>2211</v>
      </c>
      <c r="B27" s="310" t="s">
        <v>2212</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84"/>
      <c r="B28" s="292" t="s">
        <v>2213</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84"/>
      <c r="B29" s="292" t="s">
        <v>2214</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85"/>
      <c r="B30" s="292" t="s">
        <v>2215</v>
      </c>
      <c r="C30" s="3286"/>
      <c r="D30" s="3287"/>
      <c r="E30" s="2439"/>
      <c r="F30" s="2439"/>
      <c r="G30" s="2439"/>
      <c r="H30" s="2439"/>
      <c r="I30" s="2439"/>
      <c r="J30" s="2242"/>
      <c r="K30" s="2399"/>
      <c r="L30" s="2396"/>
      <c r="M30" s="2396"/>
      <c r="N30" s="2242"/>
      <c r="O30" s="1667"/>
      <c r="P30" s="2242"/>
      <c r="Q30" s="2242"/>
      <c r="R30" s="2242"/>
      <c r="S30" s="2242"/>
      <c r="T30" s="2242"/>
      <c r="U30" s="2242"/>
      <c r="V30" s="2242"/>
    </row>
    <row r="31" spans="1:28">
      <c r="A31" s="3288" t="s">
        <v>2216</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89"/>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89"/>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2217</v>
      </c>
      <c r="B34" s="1867"/>
      <c r="C34" s="1867"/>
      <c r="D34" s="1867"/>
      <c r="E34" s="1867"/>
      <c r="F34" s="1867"/>
      <c r="G34" s="1867"/>
      <c r="H34" s="1867"/>
      <c r="I34" s="2439"/>
      <c r="J34" s="2242"/>
      <c r="K34" s="8">
        <f>COUNTIF(B34:H34,"——")</f>
        <v>0</v>
      </c>
      <c r="L34" s="313" t="s">
        <v>2218</v>
      </c>
      <c r="M34" s="313" t="s">
        <v>2219</v>
      </c>
      <c r="N34" s="313" t="s">
        <v>2220</v>
      </c>
      <c r="O34" s="313" t="s">
        <v>2221</v>
      </c>
      <c r="P34" s="313" t="s">
        <v>2222</v>
      </c>
      <c r="Q34" s="313" t="s">
        <v>2223</v>
      </c>
      <c r="R34" s="313" t="s">
        <v>2224</v>
      </c>
      <c r="S34" s="3283" t="s">
        <v>2225</v>
      </c>
      <c r="T34" s="313" t="str">
        <f>NUMBERSTRING(7-K34,1)&amp;"通"</f>
        <v>七通</v>
      </c>
      <c r="U34" s="2242"/>
      <c r="V34" s="2242"/>
    </row>
    <row r="35" spans="1:30">
      <c r="A35" s="2233"/>
      <c r="B35" s="3283" t="s">
        <v>2226</v>
      </c>
      <c r="C35" s="3283"/>
      <c r="D35" s="3283"/>
      <c r="E35" s="3283"/>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83"/>
      <c r="T35" s="136" t="str">
        <f>IF(T34="一通",L35,IF(T34="二通",M35,IF(T34="三通",N35,IF(T34="四通",O35,IF(T34="五通",P35,IF(T34="六通",Q35,R35))))))</f>
        <v>、、、、、、</v>
      </c>
      <c r="U35" s="2242"/>
      <c r="V35" s="2242"/>
    </row>
    <row r="36" spans="1:30">
      <c r="A36" s="2180"/>
      <c r="B36" s="8" t="s">
        <v>2182</v>
      </c>
      <c r="C36" s="8" t="s">
        <v>2183</v>
      </c>
      <c r="D36" s="8" t="s">
        <v>2181</v>
      </c>
      <c r="E36" s="8" t="s">
        <v>2186</v>
      </c>
      <c r="F36" s="2798" t="s">
        <v>2567</v>
      </c>
      <c r="G36" s="2439"/>
      <c r="H36" s="2439"/>
      <c r="I36" s="2439"/>
      <c r="J36" s="2242"/>
      <c r="K36" s="2399"/>
      <c r="L36" s="2396"/>
      <c r="M36" s="2396"/>
      <c r="N36" s="2242"/>
      <c r="O36" s="1667"/>
      <c r="P36" s="2242"/>
      <c r="Q36" s="2242"/>
      <c r="R36" s="2242"/>
      <c r="S36" s="2242"/>
      <c r="T36" s="2242"/>
      <c r="U36" s="2242"/>
      <c r="V36" s="2242"/>
    </row>
    <row r="37" spans="1:30">
      <c r="A37" s="2412" t="s">
        <v>2227</v>
      </c>
      <c r="B37" s="2234"/>
      <c r="C37" s="2234" t="s">
        <v>305</v>
      </c>
      <c r="D37" s="2234"/>
      <c r="E37" s="2234"/>
      <c r="F37" s="2234"/>
      <c r="G37" s="2439"/>
      <c r="H37" s="2439"/>
      <c r="I37" s="2439"/>
      <c r="J37" s="2242"/>
      <c r="K37" s="2399"/>
      <c r="L37" s="2396"/>
      <c r="M37" s="2396"/>
      <c r="N37" s="2242"/>
      <c r="O37" s="1667"/>
      <c r="P37" s="2242"/>
      <c r="Q37" s="2242"/>
      <c r="R37" s="2242"/>
      <c r="S37" s="2242"/>
      <c r="T37" s="2242"/>
      <c r="U37" s="2242"/>
      <c r="V37" s="2242"/>
    </row>
    <row r="38" spans="1:30" ht="13.8" thickBot="1">
      <c r="A38" s="2413" t="s">
        <v>2228</v>
      </c>
      <c r="B38" s="2235"/>
      <c r="C38" s="2235" t="s">
        <v>289</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4" thickTop="1" thickBot="1">
      <c r="A39" s="2236" t="s">
        <v>2229</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2230</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2">
      <c r="A42" s="313" t="s">
        <v>2231</v>
      </c>
      <c r="B42" s="8" t="s">
        <v>2232</v>
      </c>
      <c r="C42" s="8" t="s">
        <v>2233</v>
      </c>
      <c r="D42" s="8" t="s">
        <v>2234</v>
      </c>
      <c r="E42" s="8" t="s">
        <v>2235</v>
      </c>
      <c r="F42" s="8" t="s">
        <v>2236</v>
      </c>
      <c r="G42" s="8" t="s">
        <v>2237</v>
      </c>
      <c r="H42" s="8" t="s">
        <v>2238</v>
      </c>
      <c r="I42" s="8" t="s">
        <v>2239</v>
      </c>
      <c r="J42" s="2408" t="s">
        <v>2240</v>
      </c>
      <c r="K42" s="2409" t="s">
        <v>2241</v>
      </c>
      <c r="L42" s="2409" t="s">
        <v>2242</v>
      </c>
      <c r="M42" s="2409" t="s">
        <v>2243</v>
      </c>
      <c r="N42" s="2402" t="s">
        <v>2244</v>
      </c>
      <c r="O42" s="2402" t="s">
        <v>2245</v>
      </c>
      <c r="P42" s="2402" t="s">
        <v>2246</v>
      </c>
      <c r="Q42" s="2403" t="s">
        <v>2247</v>
      </c>
      <c r="R42" s="2403" t="s">
        <v>2248</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7" sqref="O27"/>
    </sheetView>
  </sheetViews>
  <sheetFormatPr defaultColWidth="8.88671875" defaultRowHeight="13.8"/>
  <cols>
    <col min="1" max="1" width="10.6640625" style="1460" customWidth="1"/>
    <col min="2" max="2" width="11" style="1460" customWidth="1"/>
    <col min="3" max="3" width="23.441406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v>21560.34</v>
      </c>
      <c r="B3" s="11">
        <f>IF(C3="否",G5-AT5,G5)</f>
        <v>29829.400000000009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29829.400000000009</v>
      </c>
      <c r="H5" s="13">
        <f t="shared" ref="H5:AT5" si="0">SUM(H13:H656)</f>
        <v>29829.400000000009</v>
      </c>
      <c r="I5" s="13">
        <f t="shared" si="0"/>
        <v>15418.45</v>
      </c>
      <c r="J5" s="13">
        <f t="shared" si="0"/>
        <v>0</v>
      </c>
      <c r="K5" s="13">
        <f t="shared" si="0"/>
        <v>14410.950000000003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1232.79</v>
      </c>
      <c r="BA5" s="15">
        <f t="shared" si="1"/>
        <v>1232.79</v>
      </c>
      <c r="BB5" s="15">
        <f t="shared" si="1"/>
        <v>742.75</v>
      </c>
      <c r="BC5" s="15">
        <f t="shared" si="1"/>
        <v>490.04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21560.34</v>
      </c>
      <c r="F6" s="13" t="s">
        <v>0</v>
      </c>
      <c r="G6" s="13" t="s">
        <v>1</v>
      </c>
      <c r="H6" s="17">
        <f>SUMIF(I$12:AB$12,"总值",I6:AB6)</f>
        <v>21560.34</v>
      </c>
      <c r="I6" s="13">
        <f t="shared" ref="I6:AB6" si="2">ROUND($A$3*I5/$B$3,2)</f>
        <v>11144.27</v>
      </c>
      <c r="J6" s="13">
        <f t="shared" si="2"/>
        <v>0</v>
      </c>
      <c r="K6" s="13">
        <f t="shared" si="2"/>
        <v>10416.07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891.05</v>
      </c>
      <c r="AZ6" s="13" t="s">
        <v>2</v>
      </c>
      <c r="BA6" s="13">
        <f>ROUND($AY$6*BA5/$AZ$5,2)</f>
        <v>891.05</v>
      </c>
      <c r="BB6" s="13">
        <f>ROUND($AY$6*BB5/$AZ$5,2)</f>
        <v>536.85</v>
      </c>
      <c r="BC6" s="13">
        <f t="shared" ref="BC6:BH6" si="4">ROUND($AY$6*BC5/$AZ$5,2)</f>
        <v>354.2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5"/>
      <c r="H9" s="1487" t="s">
        <v>1091</v>
      </c>
      <c r="I9" s="1488" t="s">
        <v>3478</v>
      </c>
      <c r="J9" s="759"/>
      <c r="K9" s="1488" t="s">
        <v>3479</v>
      </c>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3.2">
      <c r="A10" s="1479"/>
      <c r="B10" s="1479"/>
      <c r="C10" s="1479"/>
      <c r="D10" s="1479"/>
      <c r="E10" s="1479"/>
      <c r="F10" s="1479"/>
      <c r="G10" s="1005"/>
      <c r="H10" s="25"/>
      <c r="I10" s="1488"/>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f>I10</f>
        <v>0</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4.25" customHeight="1">
      <c r="A13" s="626"/>
      <c r="B13" s="626"/>
      <c r="C13" s="626" t="str">
        <f>Sheet1!B4</f>
        <v>昌平区顺沙路58号院1号</v>
      </c>
      <c r="D13" s="1510" t="s">
        <v>3477</v>
      </c>
      <c r="E13" s="13">
        <f>IF($C$3="是",ROUND($A$3*G13/$B$3,2),ROUND($A$3*(G13-AT13)/$B$3,2))</f>
        <v>1379.54</v>
      </c>
      <c r="F13" s="29"/>
      <c r="G13" s="30">
        <f>H13+AC13+AT13</f>
        <v>1908.63</v>
      </c>
      <c r="H13" s="17">
        <f>SUMIF(I$12:AB$12,"总值",I13:AB13)</f>
        <v>1908.63</v>
      </c>
      <c r="I13" s="1511">
        <f>Sheet1!D4</f>
        <v>1118.68</v>
      </c>
      <c r="J13" s="1511"/>
      <c r="K13" s="1511">
        <f>Sheet1!E4</f>
        <v>789.95</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昌平区顺沙路58号院1号</v>
      </c>
      <c r="AY13" s="125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4.25" customHeight="1">
      <c r="A14" s="626"/>
      <c r="B14" s="626"/>
      <c r="C14" s="626" t="str">
        <f>Sheet1!B5</f>
        <v>昌平区顺沙路58号院2号</v>
      </c>
      <c r="D14" s="1510" t="s">
        <v>3477</v>
      </c>
      <c r="E14" s="13">
        <f>IF($C$3="是",ROUND($A$3*G14/$B$3,2),ROUND($A$3*(G14-AT14)/$B$3,2))</f>
        <v>891.05</v>
      </c>
      <c r="F14" s="29"/>
      <c r="G14" s="30">
        <f>H14+AC14+AT14</f>
        <v>1232.79</v>
      </c>
      <c r="H14" s="17">
        <f>SUMIF(I$12:AB$12,"总值",I14:AB14)</f>
        <v>1232.79</v>
      </c>
      <c r="I14" s="1511">
        <f>Sheet1!D5</f>
        <v>742.75</v>
      </c>
      <c r="J14" s="1511"/>
      <c r="K14" s="1511">
        <f>Sheet1!E5</f>
        <v>490.04</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昌平区顺沙路58号院2号</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4.25" customHeight="1">
      <c r="A15" s="626"/>
      <c r="B15" s="626"/>
      <c r="C15" s="626" t="str">
        <f>Sheet1!B6</f>
        <v>昌平区顺沙路58号院3号</v>
      </c>
      <c r="D15" s="1510" t="s">
        <v>3477</v>
      </c>
      <c r="E15" s="13">
        <f>IF($C$3="是",ROUND($A$3*G15/$B$3,2),ROUND($A$3*(G15-AT15)/$B$3,2))</f>
        <v>890.3</v>
      </c>
      <c r="F15" s="29"/>
      <c r="G15" s="30">
        <f>H15+AC15+AT15</f>
        <v>1231.76</v>
      </c>
      <c r="H15" s="17">
        <f>SUMIF(I$12:AB$12,"总值",I15:AB15)</f>
        <v>1231.76</v>
      </c>
      <c r="I15" s="1511">
        <f>Sheet1!D6</f>
        <v>742.75</v>
      </c>
      <c r="J15" s="1511"/>
      <c r="K15" s="1511">
        <f>Sheet1!E6</f>
        <v>489.01</v>
      </c>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t="str">
        <f t="shared" si="6"/>
        <v>昌平区顺沙路58号院3号</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4.25" customHeight="1">
      <c r="A16" s="626"/>
      <c r="B16" s="626"/>
      <c r="C16" s="626" t="str">
        <f>Sheet1!B7</f>
        <v>昌平区顺沙路58号院4号</v>
      </c>
      <c r="D16" s="1510" t="s">
        <v>3477</v>
      </c>
      <c r="E16" s="13">
        <f>IF($C$3="是",ROUND($A$3*G16/$B$3,2),ROUND($A$3*(G16-AT16)/$B$3,2))</f>
        <v>485.51</v>
      </c>
      <c r="F16" s="29"/>
      <c r="G16" s="30">
        <f>H16+AC16+AT16</f>
        <v>671.72</v>
      </c>
      <c r="H16" s="17">
        <f>SUMIF(I$12:AB$12,"总值",I16:AB16)</f>
        <v>671.72</v>
      </c>
      <c r="I16" s="1511">
        <f>Sheet1!D7</f>
        <v>671.72</v>
      </c>
      <c r="J16" s="1511"/>
      <c r="K16" s="1511">
        <f>Sheet1!E7</f>
        <v>0</v>
      </c>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t="str">
        <f t="shared" si="6"/>
        <v>昌平区顺沙路58号院4号</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4.25" customHeight="1">
      <c r="A17" s="626"/>
      <c r="B17" s="626"/>
      <c r="C17" s="626" t="str">
        <f>Sheet1!B8</f>
        <v>昌平区顺沙路58号院5号</v>
      </c>
      <c r="D17" s="1510" t="s">
        <v>3477</v>
      </c>
      <c r="E17" s="13">
        <f>IF($C$3="是",ROUND($A$3*G17/$B$3,2),ROUND($A$3*(G17-AT17)/$B$3,2))</f>
        <v>709.65</v>
      </c>
      <c r="F17" s="29"/>
      <c r="G17" s="30">
        <f>H17+AC17+AT17</f>
        <v>981.81999999999994</v>
      </c>
      <c r="H17" s="17">
        <f>SUMIF(I$12:AB$12,"总值",I17:AB17)</f>
        <v>981.81999999999994</v>
      </c>
      <c r="I17" s="1511">
        <f>Sheet1!D8</f>
        <v>598.38</v>
      </c>
      <c r="J17" s="1511"/>
      <c r="K17" s="1511">
        <f>Sheet1!E8</f>
        <v>383.44</v>
      </c>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t="str">
        <f t="shared" si="6"/>
        <v>昌平区顺沙路58号院5号</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25" customHeight="1">
      <c r="A18" s="6"/>
      <c r="B18" s="31"/>
      <c r="C18" s="626" t="str">
        <f>Sheet1!B9</f>
        <v>昌平区顺沙路58号院6号</v>
      </c>
      <c r="D18" s="1510" t="s">
        <v>3477</v>
      </c>
      <c r="E18" s="32">
        <f t="shared" ref="E18:E112" si="7">IF($C$3="是",ROUND($A$3*G18/$B$3,2),ROUND($A$3*(G18-AT18)/$B$3,2))</f>
        <v>891.05</v>
      </c>
      <c r="F18" s="33"/>
      <c r="G18" s="34">
        <f t="shared" ref="G18:G109" si="8">H18+AC18+AT18</f>
        <v>1232.79</v>
      </c>
      <c r="H18" s="35">
        <f t="shared" ref="H18:H109" si="9">SUMIF(I$12:AB$12,"总值",I18:AB18)</f>
        <v>1232.79</v>
      </c>
      <c r="I18" s="1511">
        <f>Sheet1!D9</f>
        <v>742.75</v>
      </c>
      <c r="J18" s="36"/>
      <c r="K18" s="1511">
        <f>Sheet1!E9</f>
        <v>490.04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t="str">
        <f t="shared" ref="AX18:AX112" si="13">C18</f>
        <v>昌平区顺沙路58号院6号</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25" customHeight="1">
      <c r="A19" s="6"/>
      <c r="B19" s="31"/>
      <c r="C19" s="626" t="str">
        <f>Sheet1!B10</f>
        <v>昌平区顺沙路58号院7号</v>
      </c>
      <c r="D19" s="1510" t="s">
        <v>3477</v>
      </c>
      <c r="E19" s="32">
        <f t="shared" si="7"/>
        <v>891.05</v>
      </c>
      <c r="F19" s="33"/>
      <c r="G19" s="34">
        <f t="shared" si="8"/>
        <v>1232.79</v>
      </c>
      <c r="H19" s="35">
        <f t="shared" si="9"/>
        <v>1232.79</v>
      </c>
      <c r="I19" s="1511">
        <f>Sheet1!D10</f>
        <v>742.75</v>
      </c>
      <c r="J19" s="36"/>
      <c r="K19" s="1511">
        <f>Sheet1!E10</f>
        <v>490.04</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t="str">
        <f t="shared" si="13"/>
        <v>昌平区顺沙路58号院7号</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4.25" customHeight="1">
      <c r="A20" s="6"/>
      <c r="B20" s="31"/>
      <c r="C20" s="626" t="str">
        <f>Sheet1!B11</f>
        <v>昌平区顺沙路58号院8号</v>
      </c>
      <c r="D20" s="1510" t="s">
        <v>3477</v>
      </c>
      <c r="E20" s="32">
        <f t="shared" si="7"/>
        <v>1379.54</v>
      </c>
      <c r="F20" s="33"/>
      <c r="G20" s="34">
        <f t="shared" si="8"/>
        <v>1908.63</v>
      </c>
      <c r="H20" s="35">
        <f t="shared" si="9"/>
        <v>1908.63</v>
      </c>
      <c r="I20" s="1511">
        <f>Sheet1!D11</f>
        <v>1118.68</v>
      </c>
      <c r="J20" s="36"/>
      <c r="K20" s="1511">
        <f>Sheet1!E11</f>
        <v>789.95</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t="str">
        <f t="shared" si="13"/>
        <v>昌平区顺沙路58号院8号</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4.25" customHeight="1">
      <c r="A21" s="6"/>
      <c r="B21" s="31"/>
      <c r="C21" s="626" t="str">
        <f>Sheet1!B12</f>
        <v>昌平区顺沙路58号院9号</v>
      </c>
      <c r="D21" s="1510" t="s">
        <v>3477</v>
      </c>
      <c r="E21" s="32">
        <f t="shared" si="7"/>
        <v>1379.54</v>
      </c>
      <c r="F21" s="33"/>
      <c r="G21" s="34">
        <f t="shared" si="8"/>
        <v>1908.63</v>
      </c>
      <c r="H21" s="35">
        <f t="shared" si="9"/>
        <v>1908.63</v>
      </c>
      <c r="I21" s="1511">
        <f>Sheet1!D12</f>
        <v>1118.68</v>
      </c>
      <c r="J21" s="36"/>
      <c r="K21" s="1511">
        <f>Sheet1!E12</f>
        <v>789.95</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t="str">
        <f t="shared" si="13"/>
        <v>昌平区顺沙路58号院9号</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14.25" customHeight="1">
      <c r="A22" s="6"/>
      <c r="B22" s="31"/>
      <c r="C22" s="626" t="str">
        <f>Sheet1!B13</f>
        <v>昌平区顺沙路58号院10号</v>
      </c>
      <c r="D22" s="1510" t="s">
        <v>3477</v>
      </c>
      <c r="E22" s="32">
        <f t="shared" si="7"/>
        <v>891.05</v>
      </c>
      <c r="F22" s="33"/>
      <c r="G22" s="34">
        <f t="shared" si="8"/>
        <v>1232.79</v>
      </c>
      <c r="H22" s="35">
        <f t="shared" si="9"/>
        <v>1232.79</v>
      </c>
      <c r="I22" s="1511">
        <f>Sheet1!D13</f>
        <v>742.75</v>
      </c>
      <c r="J22" s="36"/>
      <c r="K22" s="1511">
        <f>Sheet1!E13</f>
        <v>490.04</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t="str">
        <f t="shared" si="13"/>
        <v>昌平区顺沙路58号院10号</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ht="14.25" customHeight="1">
      <c r="A23" s="6"/>
      <c r="B23" s="31"/>
      <c r="C23" s="626" t="str">
        <f>Sheet1!B14</f>
        <v>昌平区顺沙路58号院11号</v>
      </c>
      <c r="D23" s="1513" t="s">
        <v>3476</v>
      </c>
      <c r="E23" s="32">
        <f t="shared" si="7"/>
        <v>891.05</v>
      </c>
      <c r="F23" s="33"/>
      <c r="G23" s="34">
        <f t="shared" si="8"/>
        <v>1232.79</v>
      </c>
      <c r="H23" s="35">
        <f t="shared" si="9"/>
        <v>1232.79</v>
      </c>
      <c r="I23" s="1511">
        <f>Sheet1!D14</f>
        <v>742.75</v>
      </c>
      <c r="J23" s="36"/>
      <c r="K23" s="1511">
        <f>Sheet1!E14</f>
        <v>490.04</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t="str">
        <f t="shared" si="13"/>
        <v>昌平区顺沙路58号院11号</v>
      </c>
      <c r="AY23" s="38">
        <f t="shared" si="14"/>
        <v>891.05</v>
      </c>
      <c r="AZ23" s="32">
        <f t="shared" si="15"/>
        <v>1232.79</v>
      </c>
      <c r="BA23" s="32">
        <f t="shared" si="16"/>
        <v>1232.79</v>
      </c>
      <c r="BB23" s="32">
        <f t="shared" si="17"/>
        <v>742.75</v>
      </c>
      <c r="BC23" s="32">
        <f t="shared" si="18"/>
        <v>490.04</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ht="14.25" customHeight="1">
      <c r="A24" s="6"/>
      <c r="B24" s="31"/>
      <c r="C24" s="626" t="str">
        <f>Sheet1!B15</f>
        <v>昌平区顺沙路58号院12号</v>
      </c>
      <c r="D24" s="1513" t="s">
        <v>3477</v>
      </c>
      <c r="E24" s="32">
        <f t="shared" si="7"/>
        <v>891.05</v>
      </c>
      <c r="F24" s="33"/>
      <c r="G24" s="34">
        <f t="shared" si="8"/>
        <v>1232.79</v>
      </c>
      <c r="H24" s="35">
        <f t="shared" si="9"/>
        <v>1232.79</v>
      </c>
      <c r="I24" s="1511">
        <f>Sheet1!D15</f>
        <v>742.75</v>
      </c>
      <c r="J24" s="36"/>
      <c r="K24" s="1511">
        <f>Sheet1!E15</f>
        <v>490.04</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t="str">
        <f t="shared" si="13"/>
        <v>昌平区顺沙路58号院12号</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ht="14.25" customHeight="1">
      <c r="A25" s="6"/>
      <c r="B25" s="31"/>
      <c r="C25" s="626" t="str">
        <f>Sheet1!B16</f>
        <v>昌平区顺沙路58号院13号</v>
      </c>
      <c r="D25" s="1513" t="s">
        <v>3477</v>
      </c>
      <c r="E25" s="32">
        <f t="shared" si="7"/>
        <v>891.05</v>
      </c>
      <c r="F25" s="33"/>
      <c r="G25" s="34">
        <f t="shared" si="8"/>
        <v>1232.79</v>
      </c>
      <c r="H25" s="35">
        <f t="shared" si="9"/>
        <v>1232.79</v>
      </c>
      <c r="I25" s="1511">
        <f>Sheet1!D16</f>
        <v>742.75</v>
      </c>
      <c r="J25" s="36"/>
      <c r="K25" s="1511">
        <f>Sheet1!E16</f>
        <v>490.04</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t="str">
        <f t="shared" si="13"/>
        <v>昌平区顺沙路58号院13号</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ht="14.25" customHeight="1">
      <c r="A26" s="6"/>
      <c r="B26" s="31"/>
      <c r="C26" s="626" t="str">
        <f>Sheet1!B17</f>
        <v>昌平区顺沙路58号院14号</v>
      </c>
      <c r="D26" s="1513" t="s">
        <v>3477</v>
      </c>
      <c r="E26" s="32">
        <f t="shared" si="7"/>
        <v>891.05</v>
      </c>
      <c r="F26" s="33"/>
      <c r="G26" s="34">
        <f t="shared" si="8"/>
        <v>1232.79</v>
      </c>
      <c r="H26" s="35">
        <f t="shared" si="9"/>
        <v>1232.79</v>
      </c>
      <c r="I26" s="1511">
        <f>Sheet1!D17</f>
        <v>742.75</v>
      </c>
      <c r="J26" s="36"/>
      <c r="K26" s="1511">
        <f>Sheet1!E17</f>
        <v>490.04</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t="str">
        <f t="shared" si="13"/>
        <v>昌平区顺沙路58号院14号</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ht="14.25" customHeight="1">
      <c r="A27" s="6"/>
      <c r="B27" s="31"/>
      <c r="C27" s="626" t="str">
        <f>Sheet1!B18</f>
        <v>昌平区顺沙路58号院15号</v>
      </c>
      <c r="D27" s="1513" t="s">
        <v>3477</v>
      </c>
      <c r="E27" s="32">
        <f t="shared" si="7"/>
        <v>891.05</v>
      </c>
      <c r="F27" s="33"/>
      <c r="G27" s="34">
        <f t="shared" si="8"/>
        <v>1232.79</v>
      </c>
      <c r="H27" s="35">
        <f t="shared" si="9"/>
        <v>1232.79</v>
      </c>
      <c r="I27" s="1511">
        <f>Sheet1!D18</f>
        <v>742.75</v>
      </c>
      <c r="J27" s="36"/>
      <c r="K27" s="1511">
        <f>Sheet1!E18</f>
        <v>490.04</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t="str">
        <f t="shared" si="13"/>
        <v>昌平区顺沙路58号院15号</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ht="14.25" customHeight="1">
      <c r="A28" s="6"/>
      <c r="B28" s="31"/>
      <c r="C28" s="626" t="str">
        <f>Sheet1!B19</f>
        <v>昌平区顺沙路58号院16号</v>
      </c>
      <c r="D28" s="1513" t="s">
        <v>3477</v>
      </c>
      <c r="E28" s="32">
        <f t="shared" si="7"/>
        <v>1348.81</v>
      </c>
      <c r="F28" s="33"/>
      <c r="G28" s="34">
        <f t="shared" si="8"/>
        <v>1866.1200000000001</v>
      </c>
      <c r="H28" s="35">
        <f t="shared" si="9"/>
        <v>1866.1200000000001</v>
      </c>
      <c r="I28" s="1511">
        <f>Sheet1!D19</f>
        <v>1129.8800000000001</v>
      </c>
      <c r="J28" s="36"/>
      <c r="K28" s="1511">
        <f>Sheet1!E19</f>
        <v>736.24</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t="str">
        <f t="shared" si="13"/>
        <v>昌平区顺沙路58号院16号</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ht="14.25" customHeight="1">
      <c r="A29" s="6"/>
      <c r="B29" s="31"/>
      <c r="C29" s="626" t="str">
        <f>Sheet1!B20</f>
        <v>昌平区顺沙路58号院17号</v>
      </c>
      <c r="D29" s="1513" t="s">
        <v>3477</v>
      </c>
      <c r="E29" s="32">
        <f t="shared" si="7"/>
        <v>890.14</v>
      </c>
      <c r="F29" s="33"/>
      <c r="G29" s="34">
        <f t="shared" si="8"/>
        <v>1231.54</v>
      </c>
      <c r="H29" s="35">
        <f t="shared" si="9"/>
        <v>1231.54</v>
      </c>
      <c r="I29" s="1511">
        <f>Sheet1!D20</f>
        <v>742.75</v>
      </c>
      <c r="J29" s="36"/>
      <c r="K29" s="1511">
        <f>Sheet1!E20</f>
        <v>488.79</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t="str">
        <f t="shared" si="13"/>
        <v>昌平区顺沙路58号院17号</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ht="14.25" customHeight="1">
      <c r="A30" s="6"/>
      <c r="B30" s="31"/>
      <c r="C30" s="626" t="str">
        <f>Sheet1!B21</f>
        <v>昌平区顺沙路58号院18号</v>
      </c>
      <c r="D30" s="1513" t="s">
        <v>3477</v>
      </c>
      <c r="E30" s="32">
        <f t="shared" si="7"/>
        <v>890.14</v>
      </c>
      <c r="F30" s="33"/>
      <c r="G30" s="34">
        <f t="shared" si="8"/>
        <v>1231.54</v>
      </c>
      <c r="H30" s="35">
        <f t="shared" si="9"/>
        <v>1231.54</v>
      </c>
      <c r="I30" s="1511">
        <f>Sheet1!D21</f>
        <v>742.75</v>
      </c>
      <c r="J30" s="36"/>
      <c r="K30" s="1511">
        <f>Sheet1!E21</f>
        <v>488.79</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t="str">
        <f t="shared" si="13"/>
        <v>昌平区顺沙路58号院18号</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ht="14.25" customHeight="1">
      <c r="A31" s="6"/>
      <c r="B31" s="31"/>
      <c r="C31" s="626" t="str">
        <f>Sheet1!B22</f>
        <v>昌平区顺沙路58号院19号</v>
      </c>
      <c r="D31" s="1513" t="s">
        <v>3477</v>
      </c>
      <c r="E31" s="32">
        <f t="shared" si="7"/>
        <v>895.87</v>
      </c>
      <c r="F31" s="33"/>
      <c r="G31" s="34">
        <f t="shared" si="8"/>
        <v>1239.47</v>
      </c>
      <c r="H31" s="35">
        <f t="shared" si="9"/>
        <v>1239.47</v>
      </c>
      <c r="I31" s="1511">
        <f>Sheet1!D22</f>
        <v>749.43</v>
      </c>
      <c r="J31" s="36"/>
      <c r="K31" s="1511">
        <f>Sheet1!E22</f>
        <v>490.04</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t="str">
        <f t="shared" si="13"/>
        <v>昌平区顺沙路58号院19号</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ht="28.5" customHeight="1">
      <c r="A32" s="6"/>
      <c r="B32" s="31"/>
      <c r="C32" s="626" t="str">
        <f>Sheet1!B23</f>
        <v>昌平区顺沙路58号院B101
至B121、B1001至B1029号</v>
      </c>
      <c r="D32" s="1513" t="s">
        <v>3477</v>
      </c>
      <c r="E32" s="32">
        <f t="shared" si="7"/>
        <v>3291.89</v>
      </c>
      <c r="F32" s="33"/>
      <c r="G32" s="34">
        <f t="shared" si="8"/>
        <v>4554.43</v>
      </c>
      <c r="H32" s="35">
        <f t="shared" si="9"/>
        <v>4554.43</v>
      </c>
      <c r="I32" s="1511">
        <f>Sheet1!D23</f>
        <v>0</v>
      </c>
      <c r="J32" s="36"/>
      <c r="K32" s="1511">
        <f>Sheet1!E23</f>
        <v>4554.43</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t="str">
        <f t="shared" si="13"/>
        <v>昌平区顺沙路58号院B101
至B121、B1001至B1029号</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ht="14.25" customHeight="1">
      <c r="A33" s="6"/>
      <c r="B33" s="31"/>
      <c r="C33" s="626"/>
      <c r="D33" s="1513"/>
      <c r="E33" s="32">
        <f t="shared" si="7"/>
        <v>0</v>
      </c>
      <c r="F33" s="33"/>
      <c r="G33" s="34">
        <f t="shared" si="8"/>
        <v>0</v>
      </c>
      <c r="H33" s="35">
        <f t="shared" si="9"/>
        <v>0</v>
      </c>
      <c r="I33" s="36"/>
      <c r="J33" s="36"/>
      <c r="K33" s="1511"/>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ht="14.25" customHeight="1">
      <c r="A34" s="6"/>
      <c r="B34" s="31"/>
      <c r="C34" s="626"/>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ht="14.25" customHeight="1">
      <c r="A35" s="6"/>
      <c r="B35" s="31"/>
      <c r="C35" s="626"/>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ht="14.25" customHeight="1">
      <c r="A36" s="6"/>
      <c r="B36" s="31"/>
      <c r="C36" s="626"/>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ht="14.25" customHeight="1">
      <c r="A37" s="6"/>
      <c r="B37" s="31"/>
      <c r="C37" s="626"/>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ht="14.25" customHeight="1">
      <c r="A38" s="6"/>
      <c r="B38" s="31"/>
      <c r="C38" s="626"/>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ht="14.25" customHeight="1">
      <c r="A39" s="6"/>
      <c r="B39" s="31"/>
      <c r="C39" s="626"/>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ht="14.25" customHeight="1">
      <c r="A40" s="6"/>
      <c r="B40" s="31"/>
      <c r="C40" s="626"/>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ht="14.25" customHeight="1">
      <c r="A41" s="6"/>
      <c r="B41" s="31"/>
      <c r="C41" s="626"/>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ht="14.25" customHeight="1">
      <c r="A42" s="6"/>
      <c r="B42" s="31"/>
      <c r="C42" s="626"/>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ht="14.25" customHeight="1">
      <c r="A43" s="6"/>
      <c r="B43" s="31"/>
      <c r="C43" s="626"/>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ht="14.25" customHeight="1">
      <c r="A44" s="6"/>
      <c r="B44" s="31"/>
      <c r="C44" s="626"/>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626"/>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626"/>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626"/>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626"/>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T34" sqref="T34"/>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9"/>
      <c r="C1" s="1069"/>
      <c r="D1" s="1069"/>
      <c r="E1" s="1069"/>
      <c r="F1" s="1069"/>
      <c r="G1" s="1069"/>
      <c r="H1" s="1069"/>
      <c r="I1" s="1069"/>
      <c r="J1" s="1069"/>
      <c r="K1" s="1069"/>
      <c r="L1" s="1069"/>
      <c r="M1" s="1069"/>
      <c r="N1" s="1069"/>
      <c r="O1" s="1069"/>
      <c r="P1" s="1069"/>
    </row>
    <row r="2" spans="1:16" ht="14.4">
      <c r="A2" s="3299" t="s">
        <v>1131</v>
      </c>
      <c r="B2" s="3299"/>
      <c r="C2" s="3299"/>
      <c r="D2" s="746" t="s">
        <v>1107</v>
      </c>
      <c r="E2" s="1520" t="s">
        <v>1108</v>
      </c>
      <c r="F2" s="2436"/>
      <c r="G2" s="2429"/>
      <c r="H2" s="2430"/>
      <c r="I2" s="2143" t="s">
        <v>1132</v>
      </c>
      <c r="J2" s="2436"/>
      <c r="K2" s="2436"/>
      <c r="L2" s="2436"/>
      <c r="M2" s="2436"/>
      <c r="N2" s="2437"/>
      <c r="O2" s="2436"/>
      <c r="P2" s="2436"/>
    </row>
    <row r="3" spans="1:16" ht="15" thickBot="1">
      <c r="A3" s="3300" t="s">
        <v>1105</v>
      </c>
      <c r="B3" s="3300"/>
      <c r="C3" s="3300"/>
      <c r="D3" s="41">
        <f>'数据-基础表'!AY6</f>
        <v>891.05</v>
      </c>
      <c r="E3" s="41">
        <f>'数据-基础表'!AZ5</f>
        <v>1232.79</v>
      </c>
      <c r="F3" s="2436"/>
      <c r="G3" s="42"/>
      <c r="H3" s="43" t="s">
        <v>1106</v>
      </c>
      <c r="I3" s="800">
        <f>ROUND('数据-基础表'!B3/'数据-基础表'!A3,2)</f>
        <v>1.38</v>
      </c>
      <c r="J3" s="2436"/>
      <c r="K3" s="2436"/>
      <c r="L3" s="2436"/>
      <c r="M3" s="2436"/>
      <c r="N3" s="2437"/>
      <c r="O3" s="2436"/>
      <c r="P3" s="2436"/>
    </row>
    <row r="4" spans="1:16" ht="14.4">
      <c r="A4" s="3301"/>
      <c r="B4" s="3302"/>
      <c r="C4" s="3303"/>
      <c r="D4" s="1521" t="s">
        <v>1107</v>
      </c>
      <c r="E4" s="1522" t="s">
        <v>1108</v>
      </c>
      <c r="F4" s="2436"/>
      <c r="G4" s="2431" t="s">
        <v>1133</v>
      </c>
      <c r="H4" s="43" t="s">
        <v>1113</v>
      </c>
      <c r="I4" s="800">
        <f>ROUND(SUMIF('数据-基础表'!I9:AS9,"地上",'数据-基础表'!I5:AS5)/'数据-基础表'!A3,2)</f>
        <v>0.72</v>
      </c>
      <c r="J4" s="2436"/>
      <c r="K4" s="2436"/>
      <c r="L4" s="2436"/>
      <c r="M4" s="2436"/>
      <c r="N4" s="2437"/>
      <c r="O4" s="2436"/>
      <c r="P4" s="2436"/>
    </row>
    <row r="5" spans="1:16" ht="14.4">
      <c r="A5" s="42" t="s">
        <v>1109</v>
      </c>
      <c r="B5" s="3304" t="s">
        <v>1110</v>
      </c>
      <c r="C5" s="3304"/>
      <c r="D5" s="43">
        <f>ROUND($D$3*E5/$E$3,2)</f>
        <v>0</v>
      </c>
      <c r="E5" s="44">
        <f>SUMIF('数据-基础表'!$11:$11,"住宅",'数据-基础表'!$5:$5)</f>
        <v>0</v>
      </c>
      <c r="F5" s="2436"/>
      <c r="G5" s="42"/>
      <c r="H5" s="43" t="s">
        <v>1106</v>
      </c>
      <c r="I5" s="800">
        <f>ROUND(E31/D31,2)</f>
        <v>1.38</v>
      </c>
      <c r="J5" s="2436"/>
      <c r="K5" s="2436"/>
      <c r="L5" s="2436"/>
      <c r="M5" s="2436"/>
      <c r="N5" s="2436"/>
      <c r="O5" s="2436"/>
      <c r="P5" s="2436"/>
    </row>
    <row r="6" spans="1:16" ht="15" thickBot="1">
      <c r="A6" s="1524"/>
      <c r="B6" s="3304" t="s">
        <v>1111</v>
      </c>
      <c r="C6" s="3304"/>
      <c r="D6" s="43">
        <f>ROUND($D$3*E6/$E$3,2)</f>
        <v>891.05</v>
      </c>
      <c r="E6" s="44">
        <f>E3-E5</f>
        <v>1232.79</v>
      </c>
      <c r="F6" s="2436"/>
      <c r="G6" s="1526" t="s">
        <v>1112</v>
      </c>
      <c r="H6" s="45" t="s">
        <v>1113</v>
      </c>
      <c r="I6" s="2432">
        <f>ROUND(F31/D31,2)</f>
        <v>0.83</v>
      </c>
      <c r="J6" s="2436"/>
      <c r="K6" s="2436"/>
      <c r="L6" s="2436"/>
      <c r="M6" s="2436"/>
      <c r="N6" s="2436"/>
      <c r="O6" s="2436"/>
      <c r="P6" s="2436"/>
    </row>
    <row r="7" spans="1:16" ht="15" thickBot="1">
      <c r="A7" s="3296"/>
      <c r="B7" s="3297"/>
      <c r="C7" s="3298"/>
      <c r="D7" s="1521" t="s">
        <v>1107</v>
      </c>
      <c r="E7" s="1525" t="s">
        <v>1114</v>
      </c>
      <c r="F7" s="2436"/>
      <c r="G7" s="2433" t="s">
        <v>1115</v>
      </c>
      <c r="H7" s="95"/>
      <c r="I7" s="2434">
        <v>1</v>
      </c>
      <c r="J7" s="2436"/>
      <c r="K7" s="2436"/>
      <c r="L7" s="2436"/>
      <c r="M7" s="2436"/>
      <c r="N7" s="2436"/>
      <c r="O7" s="2436"/>
      <c r="P7" s="2436"/>
    </row>
    <row r="8" spans="1:16" ht="14.4">
      <c r="A8" s="42" t="s">
        <v>1116</v>
      </c>
      <c r="B8" s="45" t="s">
        <v>1117</v>
      </c>
      <c r="C8" s="43" t="s">
        <v>1118</v>
      </c>
      <c r="D8" s="43">
        <f t="shared" ref="D8:D15" si="0">ROUND($D$3*E8/$E$3,2)</f>
        <v>536.85</v>
      </c>
      <c r="E8" s="46">
        <f>SUMIF('数据-基础表'!BB10:BK10,"地上",'数据-基础表'!BB5:BK5)</f>
        <v>742.75</v>
      </c>
      <c r="F8" s="2436"/>
      <c r="G8" s="2436"/>
      <c r="H8" s="2436"/>
      <c r="I8" s="2436"/>
      <c r="J8" s="2436"/>
      <c r="K8" s="2436"/>
      <c r="L8" s="2436"/>
      <c r="M8" s="2436"/>
      <c r="N8" s="2436"/>
      <c r="O8" s="2436"/>
      <c r="P8" s="2436"/>
    </row>
    <row r="9" spans="1:16" ht="14.4">
      <c r="A9" s="1526"/>
      <c r="B9" s="1527"/>
      <c r="C9" s="43" t="s">
        <v>1119</v>
      </c>
      <c r="D9" s="43">
        <f t="shared" si="0"/>
        <v>0</v>
      </c>
      <c r="E9" s="47">
        <v>0</v>
      </c>
      <c r="F9" s="2436"/>
      <c r="G9" s="2436"/>
      <c r="H9" s="2436"/>
      <c r="I9" s="2436"/>
      <c r="J9" s="2436"/>
      <c r="K9" s="2436"/>
      <c r="L9" s="2436"/>
      <c r="M9" s="2436"/>
      <c r="N9" s="2436"/>
      <c r="O9" s="2436"/>
      <c r="P9" s="2436"/>
    </row>
    <row r="10" spans="1:16" ht="14.4">
      <c r="A10" s="1526"/>
      <c r="B10" s="1527"/>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4"/>
      <c r="B16" s="1527"/>
      <c r="C16" s="45" t="s">
        <v>1123</v>
      </c>
      <c r="D16" s="45">
        <f>SUM(D8:D15)</f>
        <v>536.85</v>
      </c>
      <c r="E16" s="48">
        <f>SUM(E8:E15)</f>
        <v>742.75</v>
      </c>
      <c r="F16" s="2436"/>
      <c r="G16" s="2436"/>
      <c r="H16" s="1528" t="s">
        <v>1135</v>
      </c>
      <c r="I16" s="1529"/>
      <c r="J16" s="1069"/>
      <c r="K16" s="3293" t="s">
        <v>1135</v>
      </c>
      <c r="L16" s="3294"/>
      <c r="M16" s="3294"/>
      <c r="N16" s="3294"/>
      <c r="O16" s="3294"/>
      <c r="P16" s="3295"/>
    </row>
    <row r="17" spans="1:19" ht="14.4">
      <c r="A17" s="1530" t="s">
        <v>1136</v>
      </c>
      <c r="B17" s="1531" t="s">
        <v>1137</v>
      </c>
      <c r="C17" s="1532" t="s">
        <v>1138</v>
      </c>
      <c r="D17" s="1533" t="s">
        <v>1126</v>
      </c>
      <c r="E17" s="1534" t="s">
        <v>1127</v>
      </c>
      <c r="F17" s="1535"/>
      <c r="G17" s="1536"/>
      <c r="H17" s="1537" t="s">
        <v>1139</v>
      </c>
      <c r="I17" s="1538" t="s">
        <v>1124</v>
      </c>
      <c r="J17" s="1069"/>
      <c r="K17" s="3290" t="s">
        <v>1140</v>
      </c>
      <c r="L17" s="3291"/>
      <c r="M17" s="3292"/>
      <c r="N17" s="3290" t="s">
        <v>1141</v>
      </c>
      <c r="O17" s="3291"/>
      <c r="P17" s="3292"/>
      <c r="R17" s="767" t="s">
        <v>1142</v>
      </c>
      <c r="S17" s="54"/>
    </row>
    <row r="18" spans="1:19" ht="14.4">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ht="14.4">
      <c r="A19" s="1546"/>
      <c r="B19" s="45" t="s">
        <v>1125</v>
      </c>
      <c r="C19" s="3113" t="s">
        <v>3481</v>
      </c>
      <c r="D19" s="43">
        <f>ROUND($D$3*E19/$E$3,2)</f>
        <v>891.05</v>
      </c>
      <c r="E19" s="51">
        <f t="shared" ref="E19:E26" si="1">SUM(F19:G19)</f>
        <v>1232.79</v>
      </c>
      <c r="F19" s="2555">
        <f>'数据-基础表'!I23</f>
        <v>742.75</v>
      </c>
      <c r="G19" s="1240">
        <f>'数据-基础表'!K23</f>
        <v>490.04</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891.05</v>
      </c>
      <c r="S19" s="51">
        <f t="shared" si="5"/>
        <v>1232.79</v>
      </c>
    </row>
    <row r="20" spans="1:19" ht="14.4">
      <c r="A20" s="1546"/>
      <c r="B20" s="45" t="s">
        <v>1153</v>
      </c>
      <c r="C20" s="3113"/>
      <c r="D20" s="43">
        <f t="shared" ref="D20:D26" si="6">ROUND($D$3*E20/$E$3,2)</f>
        <v>0</v>
      </c>
      <c r="E20" s="51">
        <f t="shared" si="1"/>
        <v>0</v>
      </c>
      <c r="F20" s="2555"/>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13"/>
      <c r="D21" s="43">
        <f t="shared" si="6"/>
        <v>0</v>
      </c>
      <c r="E21" s="51">
        <f t="shared" si="1"/>
        <v>0</v>
      </c>
      <c r="F21" s="2555"/>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70">
        <f>SUM(D19:D26)</f>
        <v>891.05</v>
      </c>
      <c r="E27" s="1071">
        <f>IF(SUM(E19:E26)='数据-基础表'!BA5,SUM(E19:E26),IF(F27="地上面积有误","面积有误","地下面积有误"))</f>
        <v>1232.79</v>
      </c>
      <c r="F27" s="1070">
        <f>IF(SUM(F19:F26)=E8,SUM(F19:F26),"地上面积有误")</f>
        <v>742.75</v>
      </c>
      <c r="G27" s="1072">
        <f>SUM(G19:G26)</f>
        <v>490.04</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891.05</v>
      </c>
      <c r="S27" s="43">
        <f>IF(SUM(S19:S26)=$E$3,SUM(S19:S26),SUM(S19:S26)&amp;"误差"&amp;ROUND(SUM(S19:S26)-E3,2))</f>
        <v>1232.79</v>
      </c>
    </row>
    <row r="28" spans="1:19" ht="14.4">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6"/>
      <c r="B30" s="45"/>
      <c r="C30" s="1553" t="s">
        <v>1154</v>
      </c>
      <c r="D30" s="1070">
        <f>SUM(D28:D29)</f>
        <v>0</v>
      </c>
      <c r="E30" s="1070">
        <f>SUM(E28:E29)</f>
        <v>0</v>
      </c>
      <c r="F30" s="1070">
        <f>SUM(F28:F29)</f>
        <v>0</v>
      </c>
      <c r="G30" s="1072">
        <f>SUM(G28:G29)</f>
        <v>0</v>
      </c>
      <c r="H30" s="2436"/>
      <c r="I30" s="2436"/>
      <c r="J30" s="2436"/>
      <c r="K30" s="2436"/>
      <c r="L30" s="2436"/>
      <c r="M30" s="2436"/>
      <c r="N30" s="2436"/>
      <c r="O30" s="2436"/>
      <c r="P30" s="2436"/>
    </row>
    <row r="31" spans="1:19" ht="15" thickBot="1">
      <c r="A31" s="1554"/>
      <c r="B31" s="96"/>
      <c r="C31" s="783" t="s">
        <v>1158</v>
      </c>
      <c r="D31" s="641">
        <f>D27+D30</f>
        <v>891.05</v>
      </c>
      <c r="E31" s="641">
        <f>E27+E30</f>
        <v>1232.79</v>
      </c>
      <c r="F31" s="642">
        <f>F27+F30</f>
        <v>742.75</v>
      </c>
      <c r="G31" s="643">
        <f>G27+G30</f>
        <v>490.04</v>
      </c>
      <c r="H31" s="2436"/>
      <c r="I31" s="2436"/>
      <c r="J31" s="2436"/>
      <c r="K31" s="2436"/>
      <c r="L31" s="2436"/>
      <c r="M31" s="2436"/>
      <c r="N31" s="2436"/>
      <c r="O31" s="2436"/>
      <c r="P31" s="2436"/>
    </row>
    <row r="32" spans="1:19" ht="14.4">
      <c r="A32" s="1523"/>
      <c r="B32" s="1523" t="s">
        <v>1159</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0"/>
    <col min="41" max="41" width="11.6640625" style="120" customWidth="1"/>
    <col min="42" max="42" width="9.77734375" style="120" customWidth="1"/>
    <col min="43" max="67" width="13.77734375" style="120"/>
    <col min="68" max="16384" width="13.77734375" style="1558"/>
  </cols>
  <sheetData>
    <row r="1" spans="1:67" ht="18"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6"/>
      <c r="AO1" s="2446"/>
      <c r="AP1" s="2446"/>
      <c r="AQ1" s="2446"/>
      <c r="AR1" s="2446"/>
    </row>
    <row r="2" spans="1:67" s="1448" customFormat="1" ht="15" thickBot="1">
      <c r="A2" s="1559" t="s">
        <v>1161</v>
      </c>
      <c r="B2" s="982">
        <f>项目基本情况!D3</f>
        <v>45728</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3482</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3.8">
      <c r="A6" s="1583" t="str">
        <f>'数据-汇总表'!C19</f>
        <v>11号楼</v>
      </c>
      <c r="B6" s="1584" t="str">
        <f>IF(A6=0,"","经营性")</f>
        <v>经营性</v>
      </c>
      <c r="C6" s="1585" t="s">
        <v>21</v>
      </c>
      <c r="D6" s="803">
        <f>SUMIF(项目基本情况!C$12:I$12,C6,项目基本情况!C$14:I$14)</f>
        <v>50</v>
      </c>
      <c r="E6" s="802">
        <f>IF(B6="","",SUMIF(项目基本情况!C$12:I$12,C6,项目基本情况!C$13:I$13))</f>
        <v>58567</v>
      </c>
      <c r="F6" s="61">
        <f>SUMIF(项目基本情况!C$12:I$12,C6,项目基本情况!C$15:I$15)</f>
        <v>35.17</v>
      </c>
      <c r="G6" s="62">
        <f>IF(ISERROR(ROUND(POWER(1+H6,D6-F6)*(POWER(1+H6,F6)-1)/(POWER(1+H6,D6)-1),3)),0,ROUND(POWER(1+H6,D6-F6)*(POWER(1+H6,F6)-1)/(POWER(1+H6,D6)-1),3))</f>
        <v>0.91</v>
      </c>
      <c r="H6" s="689">
        <v>5.5E-2</v>
      </c>
      <c r="I6" s="689">
        <v>0.06</v>
      </c>
      <c r="J6" s="63">
        <v>7.4999999999999997E-2</v>
      </c>
      <c r="K6" s="968">
        <f>SUMIF('数据-汇总表'!C$19:C$33,A6,'数据-汇总表'!E$19:E$33)</f>
        <v>1232.79</v>
      </c>
      <c r="L6" s="3200">
        <v>10000</v>
      </c>
      <c r="M6" s="64">
        <f t="shared" ref="M6:M14" si="0">ROUND(K6*L6/10000,0)</f>
        <v>1233</v>
      </c>
      <c r="N6" s="688">
        <f>ROUND(1-(1-0%)*(2025-2019)/60,2)</f>
        <v>0.9</v>
      </c>
      <c r="O6" s="64" t="str">
        <f>IF($N$5="成新度","——",ROUND(M6*N6,0))</f>
        <v>——</v>
      </c>
      <c r="P6" s="65" t="str">
        <f>IF($N$5="成新度","——",M6-O6)</f>
        <v>——</v>
      </c>
      <c r="Q6" s="3199">
        <v>0.2</v>
      </c>
      <c r="R6" s="66">
        <f ca="1">SUMIF('数据-汇总表'!C$19:C$33,A6,'数据-汇总表'!R$19:R$27)</f>
        <v>891.05</v>
      </c>
      <c r="S6" s="49">
        <f>IF('数据-汇总表'!$I$17="按面积比例",SUMIF('数据-汇总表'!C$19:C$33,A6,'数据-汇总表'!K$19:K$33),SUMIF('数据-汇总表'!C$19:C$33,A6,'数据-汇总表'!N$19:N$33))</f>
        <v>0</v>
      </c>
      <c r="T6" s="1090">
        <f>ROUND($L$14*S6/10000,0)</f>
        <v>0</v>
      </c>
      <c r="U6" s="3198">
        <v>2.5</v>
      </c>
      <c r="V6" s="67">
        <v>0.02</v>
      </c>
      <c r="W6" s="67">
        <v>0.2</v>
      </c>
      <c r="X6" s="977"/>
      <c r="Y6" s="68">
        <f>N6</f>
        <v>0.9</v>
      </c>
      <c r="Z6" s="69"/>
      <c r="AA6" s="63"/>
      <c r="AB6" s="63"/>
      <c r="AC6" s="977"/>
      <c r="AD6" s="70"/>
      <c r="AE6" s="978">
        <f ca="1">IF(AN6="",0,SUMIF(INDIRECT("'"&amp;AN6&amp;"'"&amp;"!E:E"),$AE$5,INDIRECT("'"&amp;AN6&amp;"'"&amp;"!F:F")))</f>
        <v>35.17</v>
      </c>
      <c r="AF6" s="74"/>
      <c r="AG6" s="128">
        <f>IF(AF6="",0,AE6-AF6)</f>
        <v>0</v>
      </c>
      <c r="AH6" s="71"/>
      <c r="AI6" s="73">
        <v>365</v>
      </c>
      <c r="AJ6" s="74"/>
      <c r="AK6" s="75">
        <v>5.0000000000000001E-3</v>
      </c>
      <c r="AL6" s="76">
        <v>2E-3</v>
      </c>
      <c r="AM6" s="77">
        <v>0.02</v>
      </c>
      <c r="AN6" s="1586" t="s">
        <v>3483</v>
      </c>
      <c r="AO6" s="50">
        <f ca="1">SUMIF(INDIRECT("'"&amp;AN6&amp;"'"&amp;"!A:A"),"总价",INDIRECT("'"&amp;AN6&amp;"'"&amp;"!B:B"))</f>
        <v>1166</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hidden="1">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hidden="1">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5"/>
      <c r="V8" s="692"/>
      <c r="W8" s="692"/>
      <c r="X8" s="977"/>
      <c r="Y8" s="68"/>
      <c r="Z8" s="69"/>
      <c r="AA8" s="63"/>
      <c r="AB8" s="63"/>
      <c r="AC8" s="977"/>
      <c r="AD8" s="70"/>
      <c r="AE8" s="978">
        <f t="shared" ca="1" si="6"/>
        <v>0</v>
      </c>
      <c r="AF8" s="74"/>
      <c r="AG8" s="128">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hidden="1">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0.91</v>
      </c>
      <c r="H16" s="84">
        <f>ROUND(SUMPRODUCT(H6:H13,K6:K13)/SUMPRODUCT((H6:H13&gt;0)*(K6:K13)),3)</f>
        <v>5.5E-2</v>
      </c>
      <c r="I16" s="85"/>
      <c r="J16" s="85"/>
      <c r="K16" s="86">
        <f>SUM(K6:K15)</f>
        <v>1232.79</v>
      </c>
      <c r="L16" s="87">
        <f>ROUND(M16*10000/SUM(K6:K14),0)</f>
        <v>10002</v>
      </c>
      <c r="M16" s="87">
        <f>SUM(M6:M14)</f>
        <v>1233</v>
      </c>
      <c r="N16" s="88">
        <f>ROUND(SUMPRODUCT(M6:M14,N6:N14)/M16,3)</f>
        <v>0.9</v>
      </c>
      <c r="O16" s="87">
        <f>SUM(O6:O14)</f>
        <v>0</v>
      </c>
      <c r="P16" s="87">
        <f>SUM(P6:P14)</f>
        <v>0</v>
      </c>
      <c r="Q16" s="89">
        <f>ROUND(SUMPRODUCT(Q6:Q13,K6:K13)/SUMPRODUCT((Q6:Q13&gt;0)*(K6:K13)),2)</f>
        <v>0.2</v>
      </c>
      <c r="R16" s="972">
        <f ca="1">SUM(R6:R13)</f>
        <v>891.05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3" t="s">
        <v>1211</v>
      </c>
      <c r="B19" s="97">
        <v>0</v>
      </c>
      <c r="C19" s="2558" t="s">
        <v>2290</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4" t="s">
        <v>1212</v>
      </c>
      <c r="B20" s="98">
        <v>3</v>
      </c>
      <c r="C20" s="2559" t="s">
        <v>2288</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5" t="s">
        <v>1213</v>
      </c>
      <c r="B21" s="98">
        <v>3</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4" t="s">
        <v>1214</v>
      </c>
      <c r="B22" s="99">
        <f>B19+B20</f>
        <v>3</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5" t="s">
        <v>1215</v>
      </c>
      <c r="B23" s="99">
        <f>B19+B21</f>
        <v>3</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598" t="s">
        <v>1220</v>
      </c>
      <c r="B27" s="101">
        <v>160</v>
      </c>
      <c r="C27" s="2560" t="s">
        <v>2292</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599"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0" t="s">
        <v>1222</v>
      </c>
      <c r="B29" s="105">
        <f ca="1">成本法!C10</f>
        <v>25</v>
      </c>
      <c r="C29" s="2561" t="s">
        <v>2282</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1" t="s">
        <v>1223</v>
      </c>
      <c r="B30" s="636">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599"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2" t="s">
        <v>1225</v>
      </c>
      <c r="B32" s="637">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8" t="s">
        <v>1226</v>
      </c>
      <c r="B33" s="638">
        <v>0.05</v>
      </c>
      <c r="C33" s="2562" t="s">
        <v>3373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599" t="s">
        <v>1227</v>
      </c>
      <c r="B34" s="106">
        <v>0</v>
      </c>
      <c r="C34" s="2562" t="s">
        <v>2283</v>
      </c>
      <c r="D34" s="2457" t="s">
        <v>2289</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599" t="s">
        <v>1228</v>
      </c>
      <c r="B35" s="103">
        <v>200</v>
      </c>
      <c r="C35" s="2562" t="s">
        <v>2284</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3201">
        <v>0.03</v>
      </c>
      <c r="C36" s="2562" t="s">
        <v>3391</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1" t="s">
        <v>1230</v>
      </c>
      <c r="B37" s="3202">
        <v>0.05</v>
      </c>
      <c r="C37" s="2562" t="s">
        <v>3374</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599" t="s">
        <v>1231</v>
      </c>
      <c r="B38" s="106">
        <v>0.03</v>
      </c>
      <c r="C38" s="2562" t="s">
        <v>3375</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2" t="s">
        <v>1232</v>
      </c>
      <c r="B39" s="307">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2298</v>
      </c>
      <c r="B40" s="1013">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8" t="s">
        <v>1233</v>
      </c>
      <c r="B41" s="107">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3" t="s">
        <v>1234</v>
      </c>
      <c r="B42" s="108">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3" t="s">
        <v>1235</v>
      </c>
      <c r="B43" s="109">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4" t="s">
        <v>1236</v>
      </c>
      <c r="B44" s="110">
        <v>0.05</v>
      </c>
      <c r="C44" s="2562" t="s">
        <v>3376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4" t="s">
        <v>1237</v>
      </c>
      <c r="B45" s="108">
        <v>0.03</v>
      </c>
      <c r="C45" s="2561" t="s">
        <v>2285</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4" t="s">
        <v>1238</v>
      </c>
      <c r="B46" s="108">
        <v>0.02</v>
      </c>
      <c r="C46" s="2561" t="s">
        <v>2286</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1"/>
      <c r="C47" s="2564" t="s">
        <v>2293</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6" t="s">
        <v>1240</v>
      </c>
      <c r="B48" s="112">
        <v>0.03</v>
      </c>
      <c r="C48" s="2561" t="s">
        <v>2285</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8">
        <v>5.0000000000000001E-4</v>
      </c>
      <c r="C49" s="2561" t="s">
        <v>2287</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7" t="s">
        <v>1242</v>
      </c>
      <c r="B50" s="113">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4">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7" t="s">
        <v>1244</v>
      </c>
      <c r="B52" s="115">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599" t="s">
        <v>1245</v>
      </c>
      <c r="B53" s="1608" t="s">
        <v>29</v>
      </c>
      <c r="C53" s="2437" t="s">
        <v>1246</v>
      </c>
      <c r="D53" s="2563" t="s">
        <v>2291</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09"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09"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09"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09"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09"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09"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6"/>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19" customWidth="1"/>
    <col min="2" max="3" width="24.44140625" style="506" customWidth="1"/>
    <col min="4" max="4" width="2.6640625" style="506" customWidth="1"/>
    <col min="5" max="5" width="5.88671875" style="506" customWidth="1"/>
    <col min="6" max="7" width="27" style="506"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49" customWidth="1"/>
    <col min="19" max="29" width="9" style="749"/>
    <col min="30" max="16384" width="9" style="1519"/>
  </cols>
  <sheetData>
    <row r="1" spans="1:29" s="2256" customFormat="1" ht="18" thickBot="1">
      <c r="A1" s="3305" t="s">
        <v>2274</v>
      </c>
      <c r="B1" s="3306"/>
      <c r="C1" s="3306"/>
      <c r="D1" s="3306"/>
      <c r="E1" s="3306"/>
      <c r="F1" s="3306"/>
      <c r="G1" s="330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2271</v>
      </c>
      <c r="D2" s="1592"/>
      <c r="E2" s="2257"/>
      <c r="F2" s="2260"/>
      <c r="G2" s="2259" t="s">
        <v>2272</v>
      </c>
      <c r="H2" s="749"/>
      <c r="I2" s="749"/>
      <c r="J2" s="749"/>
      <c r="K2" s="749"/>
      <c r="L2" s="749"/>
      <c r="M2" s="749"/>
      <c r="N2" s="749"/>
      <c r="O2" s="749"/>
      <c r="P2" s="749"/>
      <c r="Q2" s="749"/>
    </row>
    <row r="3" spans="1:29" ht="24">
      <c r="A3" s="2244" t="s">
        <v>2273</v>
      </c>
      <c r="B3" s="2261" t="s">
        <v>2249</v>
      </c>
      <c r="C3" s="2262"/>
      <c r="D3" s="2263"/>
      <c r="E3" s="2245" t="s">
        <v>2273</v>
      </c>
      <c r="F3" s="2264" t="s">
        <v>2250</v>
      </c>
      <c r="G3" s="2265"/>
      <c r="H3" s="749"/>
      <c r="I3" s="749"/>
      <c r="J3" s="749"/>
      <c r="K3" s="749"/>
      <c r="L3" s="749"/>
      <c r="M3" s="749"/>
      <c r="N3" s="749"/>
      <c r="O3" s="749"/>
      <c r="P3" s="749"/>
      <c r="Q3" s="749"/>
    </row>
    <row r="4" spans="1:29">
      <c r="A4" s="2245"/>
      <c r="B4" s="313" t="s">
        <v>2251</v>
      </c>
      <c r="C4" s="2266"/>
      <c r="D4" s="2263"/>
      <c r="E4" s="2267"/>
      <c r="F4" s="1278" t="s">
        <v>2252</v>
      </c>
      <c r="G4" s="2268"/>
      <c r="H4" s="749"/>
      <c r="I4" s="749"/>
      <c r="J4" s="749"/>
      <c r="K4" s="749"/>
      <c r="L4" s="749"/>
      <c r="M4" s="749"/>
      <c r="N4" s="749"/>
      <c r="O4" s="749"/>
      <c r="P4" s="749"/>
      <c r="Q4" s="749"/>
    </row>
    <row r="5" spans="1:29">
      <c r="A5" s="2245"/>
      <c r="B5" s="313" t="s">
        <v>2253</v>
      </c>
      <c r="C5" s="2266"/>
      <c r="D5" s="2263"/>
      <c r="E5" s="2267"/>
      <c r="F5" s="313" t="s">
        <v>2254</v>
      </c>
      <c r="G5" s="2268"/>
      <c r="H5" s="749"/>
      <c r="I5" s="749"/>
      <c r="J5" s="749"/>
      <c r="K5" s="749"/>
      <c r="L5" s="749"/>
      <c r="M5" s="749"/>
      <c r="N5" s="749"/>
      <c r="O5" s="749"/>
      <c r="P5" s="749"/>
      <c r="Q5" s="749"/>
    </row>
    <row r="6" spans="1:29">
      <c r="A6" s="2245"/>
      <c r="B6" s="313" t="s">
        <v>2255</v>
      </c>
      <c r="C6" s="2268"/>
      <c r="D6" s="2263"/>
      <c r="E6" s="2267"/>
      <c r="F6" s="313" t="s">
        <v>2256</v>
      </c>
      <c r="G6" s="2268"/>
      <c r="H6" s="749"/>
      <c r="I6" s="749"/>
      <c r="J6" s="749"/>
      <c r="K6" s="749"/>
      <c r="L6" s="749"/>
      <c r="M6" s="749"/>
      <c r="N6" s="749"/>
      <c r="O6" s="749"/>
      <c r="P6" s="749"/>
      <c r="Q6" s="749"/>
    </row>
    <row r="7" spans="1:29" ht="14.4" thickBot="1">
      <c r="A7" s="2245"/>
      <c r="B7" s="313" t="s">
        <v>2254</v>
      </c>
      <c r="C7" s="2268"/>
      <c r="D7" s="2242"/>
      <c r="E7" s="2269"/>
      <c r="F7" s="2270" t="s">
        <v>2257</v>
      </c>
      <c r="G7" s="2271"/>
      <c r="H7" s="749"/>
      <c r="I7" s="749"/>
      <c r="J7" s="749"/>
      <c r="K7" s="749"/>
      <c r="L7" s="749"/>
      <c r="M7" s="749"/>
      <c r="N7" s="749"/>
      <c r="O7" s="749"/>
      <c r="P7" s="749"/>
      <c r="Q7" s="749"/>
    </row>
    <row r="8" spans="1:29">
      <c r="A8" s="2245"/>
      <c r="B8" s="313" t="s">
        <v>2256</v>
      </c>
      <c r="C8" s="2268"/>
      <c r="D8" s="2242"/>
      <c r="E8" s="2242"/>
      <c r="F8" s="119"/>
      <c r="G8" s="119"/>
      <c r="H8" s="749"/>
      <c r="I8" s="749"/>
      <c r="J8" s="749"/>
      <c r="K8" s="749"/>
      <c r="L8" s="749"/>
      <c r="M8" s="749"/>
      <c r="N8" s="749"/>
      <c r="O8" s="749"/>
      <c r="P8" s="749"/>
      <c r="Q8" s="749"/>
    </row>
    <row r="9" spans="1:29">
      <c r="A9" s="2245"/>
      <c r="B9" s="313" t="s">
        <v>2258</v>
      </c>
      <c r="C9" s="2266"/>
      <c r="D9" s="2263"/>
      <c r="E9" s="2242"/>
      <c r="F9" s="119"/>
      <c r="G9" s="119"/>
      <c r="H9" s="749"/>
      <c r="I9" s="749"/>
      <c r="J9" s="749"/>
      <c r="K9" s="749"/>
      <c r="L9" s="749"/>
      <c r="M9" s="749"/>
      <c r="N9" s="749"/>
      <c r="O9" s="749"/>
      <c r="P9" s="749"/>
      <c r="Q9" s="749"/>
    </row>
    <row r="10" spans="1:29" ht="14.4" thickBot="1">
      <c r="A10" s="2246"/>
      <c r="B10" s="2272" t="s">
        <v>2259</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2275</v>
      </c>
      <c r="B13" s="2277"/>
      <c r="C13" s="2277"/>
      <c r="D13" s="2276"/>
      <c r="E13" s="2277"/>
      <c r="F13" s="2277"/>
      <c r="G13" s="2277"/>
    </row>
    <row r="14" spans="1:29" ht="14.4" thickBot="1">
      <c r="A14" s="2282"/>
      <c r="B14" s="2282"/>
      <c r="C14" s="2283" t="s">
        <v>2260</v>
      </c>
      <c r="D14" s="2263"/>
      <c r="E14" s="2284"/>
      <c r="F14" s="2284"/>
      <c r="G14" s="2259" t="s">
        <v>2261</v>
      </c>
    </row>
    <row r="15" spans="1:29" ht="24">
      <c r="A15" s="2247" t="s">
        <v>2262</v>
      </c>
      <c r="B15" s="2285" t="s">
        <v>2249</v>
      </c>
      <c r="C15" s="2286">
        <f>C3</f>
        <v>0</v>
      </c>
      <c r="D15" s="2263"/>
      <c r="E15" s="2248" t="s">
        <v>2263</v>
      </c>
      <c r="F15" s="2285" t="s">
        <v>2264</v>
      </c>
      <c r="G15" s="2287">
        <f>G3</f>
        <v>0</v>
      </c>
    </row>
    <row r="16" spans="1:29">
      <c r="A16" s="2249"/>
      <c r="B16" s="2288" t="s">
        <v>2251</v>
      </c>
      <c r="C16" s="2289">
        <f>C4</f>
        <v>0</v>
      </c>
      <c r="D16" s="2263"/>
      <c r="E16" s="2250"/>
      <c r="F16" s="2290" t="s">
        <v>2252</v>
      </c>
      <c r="G16" s="2291">
        <f>G4</f>
        <v>0</v>
      </c>
    </row>
    <row r="17" spans="1:17">
      <c r="A17" s="2249"/>
      <c r="B17" s="2288" t="s">
        <v>2253</v>
      </c>
      <c r="C17" s="2289">
        <f>C5</f>
        <v>0</v>
      </c>
      <c r="D17" s="2242"/>
      <c r="E17" s="2250"/>
      <c r="F17" s="2290" t="s">
        <v>2265</v>
      </c>
      <c r="G17" s="2292"/>
    </row>
    <row r="18" spans="1:17">
      <c r="A18" s="2249"/>
      <c r="B18" s="2290" t="s">
        <v>2255</v>
      </c>
      <c r="C18" s="2291">
        <f>C6</f>
        <v>0</v>
      </c>
      <c r="D18" s="2242"/>
      <c r="E18" s="2250"/>
      <c r="F18" s="2290" t="s">
        <v>2257</v>
      </c>
      <c r="G18" s="2291">
        <f>G7</f>
        <v>0</v>
      </c>
    </row>
    <row r="19" spans="1:17">
      <c r="A19" s="2249"/>
      <c r="B19" s="2290" t="s">
        <v>2266</v>
      </c>
      <c r="C19" s="2292"/>
      <c r="D19" s="2263"/>
      <c r="E19" s="2250"/>
      <c r="F19" s="313" t="s">
        <v>2254</v>
      </c>
      <c r="G19" s="2291">
        <f>G5</f>
        <v>0</v>
      </c>
    </row>
    <row r="20" spans="1:17">
      <c r="A20" s="2249"/>
      <c r="B20" s="2290" t="s">
        <v>2267</v>
      </c>
      <c r="C20" s="2289">
        <f>C9</f>
        <v>0</v>
      </c>
      <c r="D20" s="2242"/>
      <c r="E20" s="2250"/>
      <c r="F20" s="313" t="s">
        <v>2256</v>
      </c>
      <c r="G20" s="2291">
        <f>G6</f>
        <v>0</v>
      </c>
    </row>
    <row r="21" spans="1:17">
      <c r="A21" s="2249"/>
      <c r="B21" s="313" t="s">
        <v>2254</v>
      </c>
      <c r="C21" s="2291">
        <f>C7</f>
        <v>0</v>
      </c>
      <c r="D21" s="2263"/>
      <c r="E21" s="2250"/>
      <c r="F21" s="2290" t="s">
        <v>2268</v>
      </c>
      <c r="G21" s="2293"/>
    </row>
    <row r="22" spans="1:17" ht="13.5" customHeight="1">
      <c r="A22" s="2249"/>
      <c r="B22" s="313" t="s">
        <v>2256</v>
      </c>
      <c r="C22" s="2291">
        <f>C8</f>
        <v>0</v>
      </c>
      <c r="D22" s="2263"/>
      <c r="E22" s="2250"/>
      <c r="F22" s="2290" t="s">
        <v>2259</v>
      </c>
      <c r="G22" s="2292"/>
    </row>
    <row r="23" spans="1:17" s="749" customFormat="1" ht="14.4" thickBot="1">
      <c r="A23" s="2249"/>
      <c r="B23" s="2290" t="s">
        <v>2268</v>
      </c>
      <c r="C23" s="2293"/>
      <c r="D23" s="1611"/>
      <c r="E23" s="2251"/>
      <c r="F23" s="2294" t="s">
        <v>2269</v>
      </c>
      <c r="G23" s="2295"/>
      <c r="H23" s="2274"/>
      <c r="I23" s="2274"/>
      <c r="J23" s="2274"/>
      <c r="K23" s="2274"/>
      <c r="L23" s="2274"/>
      <c r="M23" s="2274"/>
      <c r="N23" s="2274"/>
      <c r="O23" s="2274"/>
      <c r="P23" s="2274"/>
      <c r="Q23" s="2274"/>
    </row>
    <row r="24" spans="1:17" s="749" customFormat="1" ht="14.4" thickBot="1">
      <c r="A24" s="2252"/>
      <c r="B24" s="2294" t="s">
        <v>2270</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24" sqref="K2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2465.58</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45728</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6102</v>
      </c>
      <c r="C5" s="2297">
        <f ca="1">IF(B5=D14,结果表!H102,ROUND(B5*10000/$B$1,0))</f>
        <v>0</v>
      </c>
      <c r="D5" s="2297" t="e">
        <f ca="1">ROUND(B5*10000/$B$2,0)</f>
        <v>#DIV/0!</v>
      </c>
      <c r="E5" s="2459"/>
      <c r="F5" s="2460"/>
      <c r="G5" s="2460"/>
      <c r="H5" s="2460"/>
      <c r="I5" s="2460"/>
      <c r="J5" s="2460"/>
      <c r="K5" s="2460"/>
    </row>
    <row r="6" spans="1:11" ht="15.6">
      <c r="A6" s="2297" t="s">
        <v>656</v>
      </c>
      <c r="B6" s="2297">
        <f ca="1">SUM(G14:G23)</f>
        <v>6102</v>
      </c>
      <c r="C6" s="2297">
        <f ca="1">IF(B6=G14,结果表!H108,ROUND(B6*10000/$B$1,0))</f>
        <v>0</v>
      </c>
      <c r="D6" s="2297" t="e">
        <f ca="1">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1"/>
      <c r="C9" s="2459"/>
      <c r="D9" s="2459"/>
      <c r="E9" s="2459"/>
      <c r="F9" s="2460"/>
      <c r="G9" s="2460"/>
      <c r="H9" s="2460"/>
      <c r="I9" s="2460"/>
      <c r="J9" s="2460"/>
      <c r="K9" s="2460"/>
    </row>
    <row r="10" spans="1:11" ht="15.6">
      <c r="A10" s="2297" t="s">
        <v>654</v>
      </c>
      <c r="B10" s="2297">
        <f>IF(E10="",0,ROUND(B1*(E10*365/G10)/10000,0))</f>
        <v>0</v>
      </c>
      <c r="C10" s="2297" t="s">
        <v>3343</v>
      </c>
      <c r="D10" s="2297" t="s">
        <v>3344</v>
      </c>
      <c r="E10" s="3134"/>
      <c r="F10" s="3138" t="s">
        <v>3345</v>
      </c>
      <c r="G10" s="3135"/>
      <c r="H10" s="2460"/>
      <c r="I10" s="2460"/>
      <c r="J10" s="2460"/>
      <c r="K10" s="2460"/>
    </row>
    <row r="11" spans="1:11" ht="15.6">
      <c r="A11" s="2297" t="s">
        <v>670</v>
      </c>
      <c r="B11" s="1241"/>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典型户型修正!B22</f>
        <v>2465.58</v>
      </c>
      <c r="C14" s="2303"/>
      <c r="D14" s="2303">
        <f ca="1">典型户型修正!S22</f>
        <v>6102</v>
      </c>
      <c r="E14" s="2303">
        <f ca="1">典型户型修正!R24</f>
        <v>24750</v>
      </c>
      <c r="F14" s="2303" t="e">
        <f ca="1">ROUND(D14*10000/C14,0)</f>
        <v>#DIV/0!</v>
      </c>
      <c r="G14" s="2303">
        <f ca="1">D14</f>
        <v>6102</v>
      </c>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5.6">
      <c r="A16" s="2302" t="s">
        <v>648</v>
      </c>
      <c r="B16" s="2304"/>
      <c r="C16" s="2304"/>
      <c r="D16" s="2304"/>
      <c r="E16" s="2303" t="e">
        <f t="shared" si="0"/>
        <v>#DIV/0!</v>
      </c>
      <c r="F16" s="2303" t="e">
        <f t="shared" si="1"/>
        <v>#DIV/0!</v>
      </c>
      <c r="G16" s="1241"/>
      <c r="H16" s="1241"/>
      <c r="I16" s="2304"/>
      <c r="J16" s="2460"/>
      <c r="K16" s="2460"/>
    </row>
    <row r="17" spans="1:11" ht="15.6">
      <c r="A17" s="2302" t="s">
        <v>647</v>
      </c>
      <c r="B17" s="2304"/>
      <c r="C17" s="2304"/>
      <c r="D17" s="2304"/>
      <c r="E17" s="2303" t="e">
        <f t="shared" si="0"/>
        <v>#DIV/0!</v>
      </c>
      <c r="F17" s="2303" t="e">
        <f t="shared" si="1"/>
        <v>#DIV/0!</v>
      </c>
      <c r="G17" s="1241"/>
      <c r="H17" s="1241"/>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206" t="str">
        <f>项目基本情况!B1</f>
        <v>北京市房地产抵押价值预评估</v>
      </c>
      <c r="C37" s="3206"/>
      <c r="D37" s="3206"/>
      <c r="E37" s="3206"/>
      <c r="F37" s="3206"/>
      <c r="G37" s="3206"/>
      <c r="H37" s="3206"/>
      <c r="I37" s="3206"/>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郑燚（注册号：1120070131)、吴薇（注册号：1419970001)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4" sqref="J4"/>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3480</v>
      </c>
      <c r="D1" s="644"/>
      <c r="E1" s="644"/>
      <c r="F1" s="1618" t="s">
        <v>1263</v>
      </c>
      <c r="G1" s="1450" t="s">
        <v>4067</v>
      </c>
      <c r="H1" s="1618" t="str">
        <f>IF(G1="现房","——","估价对象范围")</f>
        <v>——</v>
      </c>
      <c r="I1" s="1619" t="s">
        <v>4068</v>
      </c>
    </row>
    <row r="2" spans="1:12" ht="21.75" customHeight="1" thickBot="1">
      <c r="A2" s="3374" t="str">
        <f>项目基本情况!S2</f>
        <v>北京市房地产</v>
      </c>
      <c r="B2" s="3375"/>
      <c r="C2" s="3375"/>
      <c r="D2" s="3375"/>
      <c r="E2" s="3375"/>
      <c r="F2" s="3375"/>
      <c r="G2" s="3375"/>
      <c r="H2" s="3375"/>
      <c r="I2" s="3376"/>
    </row>
    <row r="3" spans="1:12" ht="13.2">
      <c r="A3" s="3378" t="s">
        <v>1264</v>
      </c>
      <c r="B3" s="3379"/>
      <c r="C3" s="3379"/>
      <c r="D3" s="3379"/>
      <c r="E3" s="3379"/>
      <c r="F3" s="3379"/>
      <c r="G3" s="3379"/>
      <c r="H3" s="3379"/>
      <c r="I3" s="3379"/>
    </row>
    <row r="4" spans="1:12" ht="14.4">
      <c r="A4" s="1621" t="s">
        <v>1265</v>
      </c>
      <c r="B4" s="1622" t="s">
        <v>1266</v>
      </c>
      <c r="C4" s="1623" t="s">
        <v>3505</v>
      </c>
      <c r="D4" s="1623" t="s">
        <v>3483</v>
      </c>
      <c r="E4" s="3383" t="s">
        <v>1267</v>
      </c>
      <c r="F4" s="3384"/>
      <c r="G4" s="3384"/>
      <c r="H4" s="3384"/>
      <c r="I4" s="338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322" t="s">
        <v>1268</v>
      </c>
      <c r="B5" s="3377">
        <v>25</v>
      </c>
      <c r="C5" s="3380"/>
      <c r="D5" s="3368"/>
      <c r="E5" s="121" t="s">
        <v>1269</v>
      </c>
      <c r="F5" s="1624"/>
      <c r="G5" s="1624"/>
      <c r="H5" s="1624"/>
      <c r="I5" s="1278"/>
    </row>
    <row r="6" spans="1:12" ht="13.2">
      <c r="A6" s="3322"/>
      <c r="B6" s="3377"/>
      <c r="C6" s="3382"/>
      <c r="D6" s="3368"/>
      <c r="E6" s="121" t="s">
        <v>1270</v>
      </c>
      <c r="F6" s="1624"/>
      <c r="G6" s="1624"/>
      <c r="H6" s="1624"/>
      <c r="I6" s="1278"/>
    </row>
    <row r="7" spans="1:12" ht="13.2">
      <c r="A7" s="3322"/>
      <c r="B7" s="3377"/>
      <c r="C7" s="3381"/>
      <c r="D7" s="3368"/>
      <c r="E7" s="121" t="s">
        <v>1271</v>
      </c>
      <c r="F7" s="1624"/>
      <c r="G7" s="1624"/>
      <c r="H7" s="1624"/>
      <c r="I7" s="1278"/>
    </row>
    <row r="8" spans="1:12" ht="13.2">
      <c r="A8" s="3322" t="s">
        <v>1272</v>
      </c>
      <c r="B8" s="3377">
        <v>15</v>
      </c>
      <c r="C8" s="3380"/>
      <c r="D8" s="3368"/>
      <c r="E8" s="121" t="s">
        <v>1273</v>
      </c>
      <c r="F8" s="1624"/>
      <c r="G8" s="1624"/>
      <c r="H8" s="1624"/>
      <c r="I8" s="1278"/>
    </row>
    <row r="9" spans="1:12" ht="13.2">
      <c r="A9" s="3322"/>
      <c r="B9" s="3377"/>
      <c r="C9" s="3381"/>
      <c r="D9" s="3368"/>
      <c r="E9" s="121" t="s">
        <v>1274</v>
      </c>
      <c r="F9" s="1624"/>
      <c r="G9" s="1624"/>
      <c r="H9" s="1624"/>
      <c r="I9" s="1278"/>
    </row>
    <row r="10" spans="1:12" ht="13.2">
      <c r="A10" s="3322" t="s">
        <v>1275</v>
      </c>
      <c r="B10" s="3377">
        <v>15</v>
      </c>
      <c r="C10" s="3380"/>
      <c r="D10" s="3368"/>
      <c r="E10" s="121" t="s">
        <v>1276</v>
      </c>
      <c r="F10" s="1624"/>
      <c r="G10" s="1624"/>
      <c r="H10" s="1624"/>
      <c r="I10" s="1278"/>
    </row>
    <row r="11" spans="1:12" ht="13.2">
      <c r="A11" s="3322"/>
      <c r="B11" s="3377"/>
      <c r="C11" s="3381"/>
      <c r="D11" s="3368"/>
      <c r="E11" s="121" t="s">
        <v>1277</v>
      </c>
      <c r="F11" s="1624"/>
      <c r="G11" s="1624"/>
      <c r="H11" s="1624"/>
      <c r="I11" s="1278"/>
    </row>
    <row r="12" spans="1:12" ht="13.2">
      <c r="A12" s="3322" t="s">
        <v>1278</v>
      </c>
      <c r="B12" s="3377">
        <v>15</v>
      </c>
      <c r="C12" s="3380"/>
      <c r="D12" s="3368"/>
      <c r="E12" s="121" t="s">
        <v>1279</v>
      </c>
      <c r="F12" s="1624"/>
      <c r="G12" s="1624"/>
      <c r="H12" s="1624"/>
      <c r="I12" s="1278"/>
    </row>
    <row r="13" spans="1:12" ht="13.2">
      <c r="A13" s="3322"/>
      <c r="B13" s="3377"/>
      <c r="C13" s="3381"/>
      <c r="D13" s="3368"/>
      <c r="E13" s="121" t="s">
        <v>1280</v>
      </c>
      <c r="F13" s="1624"/>
      <c r="G13" s="1624"/>
      <c r="H13" s="1624"/>
      <c r="I13" s="1278"/>
    </row>
    <row r="14" spans="1:12" ht="13.2">
      <c r="A14" s="3322" t="s">
        <v>1281</v>
      </c>
      <c r="B14" s="3377">
        <v>30</v>
      </c>
      <c r="C14" s="3380">
        <v>7</v>
      </c>
      <c r="D14" s="3368">
        <v>3</v>
      </c>
      <c r="E14" s="121" t="s">
        <v>1282</v>
      </c>
      <c r="F14" s="1624"/>
      <c r="G14" s="1624"/>
      <c r="H14" s="1624"/>
      <c r="I14" s="1278"/>
    </row>
    <row r="15" spans="1:12" ht="13.2">
      <c r="A15" s="3322"/>
      <c r="B15" s="3377"/>
      <c r="C15" s="3382"/>
      <c r="D15" s="3368"/>
      <c r="E15" s="121" t="s">
        <v>1283</v>
      </c>
      <c r="F15" s="1624"/>
      <c r="G15" s="1624"/>
      <c r="H15" s="1624"/>
      <c r="I15" s="1278"/>
    </row>
    <row r="16" spans="1:12" ht="13.2">
      <c r="A16" s="3322"/>
      <c r="B16" s="3377"/>
      <c r="C16" s="3381"/>
      <c r="D16" s="3368"/>
      <c r="E16" s="121" t="s">
        <v>1284</v>
      </c>
      <c r="F16" s="1624"/>
      <c r="G16" s="1624"/>
      <c r="H16" s="1624"/>
      <c r="I16" s="1278"/>
    </row>
    <row r="17" spans="1:36" ht="14.4">
      <c r="A17" s="1625" t="s">
        <v>1285</v>
      </c>
      <c r="B17" s="54"/>
      <c r="C17" s="122">
        <f>SUM(C5:C16)</f>
        <v>7</v>
      </c>
      <c r="D17" s="122">
        <f>SUM(D5:D16)</f>
        <v>3</v>
      </c>
      <c r="E17" s="119"/>
      <c r="F17" s="119"/>
      <c r="G17" s="119"/>
      <c r="H17" s="119"/>
      <c r="I17" s="119"/>
      <c r="K17" s="292"/>
      <c r="L17" s="292" t="s">
        <v>1286</v>
      </c>
      <c r="M17" s="292" t="s">
        <v>1287</v>
      </c>
    </row>
    <row r="18" spans="1:36" ht="31.95" customHeight="1" thickBot="1">
      <c r="A18" s="1626" t="s">
        <v>1288</v>
      </c>
      <c r="B18" s="1539"/>
      <c r="C18" s="123">
        <f>ROUND(C17/SUM(C17:D17),2)</f>
        <v>0.7</v>
      </c>
      <c r="D18" s="123">
        <f>1-C18</f>
        <v>0.30000000000000004</v>
      </c>
      <c r="E18" s="3399" t="s">
        <v>2128</v>
      </c>
      <c r="F18" s="3400"/>
      <c r="G18" s="3400"/>
      <c r="H18" s="3400"/>
      <c r="I18" s="3400"/>
      <c r="K18" s="292" t="s">
        <v>1289</v>
      </c>
      <c r="L18" s="292">
        <f>IF(C1="",'数据-汇总表'!E3,SUMIF(项目类型,C1,'数据-汇总表'!E17:E26)+SUMIF(项目类型,C1,'数据-汇总表'!I17:I26))</f>
        <v>1232.79</v>
      </c>
      <c r="M18" s="292">
        <f>IF(C1="",'数据-汇总表'!E3,SUMIF(项目类型,C1,'数据-汇总表'!E17:E26))</f>
        <v>1232.79</v>
      </c>
    </row>
    <row r="19" spans="1:36" ht="14.4">
      <c r="A19" s="1627" t="s">
        <v>1290</v>
      </c>
      <c r="B19" s="1628" t="s">
        <v>1291</v>
      </c>
      <c r="C19" s="124">
        <f ca="1">SUMIF(INDIRECT("'"&amp;C4&amp;"'"&amp;"!A:A"),结果表!B19,INDIRECT("'"&amp;C4&amp;"'"&amp;"!B:B"))</f>
        <v>3859</v>
      </c>
      <c r="D19" s="125">
        <f ca="1">SUMIF(INDIRECT("'"&amp;D4&amp;"'"&amp;"!A:A"),结果表!B19,INDIRECT("'"&amp;D4&amp;"'"&amp;"!B:B"))</f>
        <v>1166</v>
      </c>
      <c r="E19" s="1627" t="s">
        <v>1292</v>
      </c>
      <c r="F19" s="1628" t="s">
        <v>1291</v>
      </c>
      <c r="G19" s="126">
        <f ca="1">ROUND(C19*$C$18+D19*$D$18,0)</f>
        <v>3051</v>
      </c>
      <c r="H19" s="1629" t="s">
        <v>1293</v>
      </c>
      <c r="I19" s="119"/>
      <c r="K19" s="292" t="s">
        <v>1294</v>
      </c>
      <c r="L19" s="292">
        <f>IF(C1="",'数据-汇总表'!D3,SUMIF(项目类型,C1,'数据-汇总表'!D17:D26)+SUMIF(项目类型,C1,'数据-汇总表'!H17:H27))</f>
        <v>891.05</v>
      </c>
      <c r="M19" s="292">
        <f>IF(C1="",'数据-汇总表'!D3,SUMIF(项目类型,C1,'数据-汇总表'!D17:D26))</f>
        <v>891.05</v>
      </c>
    </row>
    <row r="20" spans="1:36" ht="14.4">
      <c r="A20" s="1630"/>
      <c r="B20" s="43" t="s">
        <v>1295</v>
      </c>
      <c r="C20" s="127">
        <f ca="1">SUMIF(INDIRECT("'"&amp;C4&amp;"'"&amp;"!A:A"),结果表!B20,INDIRECT("'"&amp;C4&amp;"'"&amp;"!B:B"))</f>
        <v>31303</v>
      </c>
      <c r="D20" s="128">
        <f ca="1">SUMIF(INDIRECT("'"&amp;D4&amp;"'"&amp;"!A:A"),结果表!B20,INDIRECT("'"&amp;D4&amp;"'"&amp;"!B:B"))</f>
        <v>9458</v>
      </c>
      <c r="E20" s="1630"/>
      <c r="F20" s="43" t="s">
        <v>1295</v>
      </c>
      <c r="G20" s="129">
        <f ca="1">ROUND(C20*$C$18+D20*$D$18,0)</f>
        <v>24750</v>
      </c>
      <c r="H20" s="758" t="s">
        <v>1296</v>
      </c>
      <c r="I20" s="119"/>
    </row>
    <row r="21" spans="1:36" ht="15" customHeight="1" thickBot="1">
      <c r="A21" s="447"/>
      <c r="B21" s="93" t="s">
        <v>1297</v>
      </c>
      <c r="C21" s="676">
        <f ca="1">ROUND(C19*10000/L19,0)</f>
        <v>43308</v>
      </c>
      <c r="D21" s="677">
        <f ca="1">ROUND(D19*10000/L19,0)</f>
        <v>13086</v>
      </c>
      <c r="E21" s="447"/>
      <c r="F21" s="93" t="s">
        <v>1297</v>
      </c>
      <c r="G21" s="130">
        <f ca="1">ROUND(G19*10000/L19,0)</f>
        <v>34241</v>
      </c>
      <c r="H21" s="1631" t="s">
        <v>1296</v>
      </c>
      <c r="I21" s="119"/>
    </row>
    <row r="22" spans="1:36" ht="15" thickBot="1">
      <c r="A22" s="1561" t="s">
        <v>1298</v>
      </c>
      <c r="B22" s="1632"/>
      <c r="C22" s="1633"/>
      <c r="D22" s="678">
        <f ca="1">IF(C19&lt;D19,D19/C19-1,C19/D19-1)</f>
        <v>2.3096054888507718</v>
      </c>
      <c r="E22" s="119"/>
      <c r="F22" s="119"/>
      <c r="G22" s="119"/>
      <c r="H22" s="119"/>
      <c r="I22" s="119"/>
    </row>
    <row r="23" spans="1:36" ht="13.8" thickBot="1">
      <c r="A23" s="644"/>
      <c r="B23" s="644"/>
      <c r="C23" s="644"/>
      <c r="D23" s="644"/>
      <c r="E23" s="119"/>
      <c r="F23" s="119"/>
      <c r="G23" s="119"/>
      <c r="H23" s="119"/>
      <c r="I23" s="119"/>
    </row>
    <row r="24" spans="1:36" ht="14.4">
      <c r="A24" s="3392" t="s">
        <v>1299</v>
      </c>
      <c r="B24" s="1628" t="s">
        <v>1291</v>
      </c>
      <c r="C24" s="126">
        <f>IF(B30=0,0,D30)</f>
        <v>0</v>
      </c>
      <c r="D24" s="1634"/>
      <c r="E24" s="119"/>
      <c r="F24" s="119"/>
      <c r="G24" s="119"/>
      <c r="H24" s="119"/>
      <c r="I24" s="119"/>
    </row>
    <row r="25" spans="1:36" ht="14.4">
      <c r="A25" s="3393"/>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3.8">
      <c r="A27" s="1636"/>
      <c r="B27" s="132">
        <v>0</v>
      </c>
      <c r="C27" s="132">
        <v>0</v>
      </c>
      <c r="D27" s="133">
        <f>ROUND(C27*B27/10000,0)</f>
        <v>0</v>
      </c>
      <c r="E27" s="119"/>
      <c r="F27" s="119"/>
      <c r="G27" s="119"/>
      <c r="H27" s="119"/>
      <c r="I27" s="119"/>
    </row>
    <row r="28" spans="1:36" ht="13.8">
      <c r="A28" s="1636"/>
      <c r="B28" s="132"/>
      <c r="C28" s="132"/>
      <c r="D28" s="133"/>
      <c r="E28" s="119"/>
      <c r="F28" s="119"/>
      <c r="G28" s="119"/>
      <c r="H28" s="119"/>
      <c r="I28" s="119"/>
    </row>
    <row r="29" spans="1:36" ht="13.8">
      <c r="A29" s="1636"/>
      <c r="B29" s="132"/>
      <c r="C29" s="132"/>
      <c r="D29" s="133"/>
      <c r="E29" s="119"/>
      <c r="F29" s="119"/>
      <c r="G29" s="119"/>
      <c r="H29" s="119"/>
      <c r="I29" s="119"/>
    </row>
    <row r="30" spans="1:36" ht="15" thickBot="1">
      <c r="A30" s="132" t="s">
        <v>1304</v>
      </c>
      <c r="B30" s="132"/>
      <c r="C30" s="132"/>
      <c r="D30" s="132"/>
      <c r="E30" s="2124" t="s">
        <v>2129</v>
      </c>
      <c r="F30" s="119"/>
      <c r="G30" s="119"/>
      <c r="H30" s="119"/>
      <c r="I30" s="119"/>
    </row>
    <row r="31" spans="1:36" s="2130" customFormat="1" ht="26.4" customHeight="1" thickTop="1" thickBot="1">
      <c r="A31" s="2125"/>
      <c r="B31" s="2126"/>
      <c r="C31" s="2126"/>
      <c r="D31" s="2126"/>
      <c r="E31" s="2126"/>
      <c r="F31" s="2126"/>
      <c r="G31" s="2126"/>
      <c r="H31" s="2126"/>
      <c r="I31" s="2127" t="s">
        <v>2130</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4">
        <f ca="1">IF(D32="总价",G19-C24,G20-C25)</f>
        <v>24750</v>
      </c>
      <c r="D32" s="1638"/>
      <c r="E32" s="119"/>
      <c r="F32" s="119"/>
      <c r="G32" s="119"/>
      <c r="H32" s="119"/>
      <c r="I32" s="119"/>
    </row>
    <row r="33" spans="1:15" ht="14.4">
      <c r="A33" s="738" t="s">
        <v>1306</v>
      </c>
      <c r="B33" s="121"/>
      <c r="C33" s="1639"/>
      <c r="D33" s="1640"/>
      <c r="E33" s="1641" t="s">
        <v>1307</v>
      </c>
      <c r="F33" s="1642" t="str">
        <f>IF(D32="楼面单价","取值（单价）","取值（总价）")</f>
        <v>取值（总价）</v>
      </c>
      <c r="G33" s="119"/>
      <c r="H33" s="119"/>
      <c r="I33" s="119"/>
    </row>
    <row r="34" spans="1:15" ht="14.4">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 thickBot="1">
      <c r="A36" s="3369" t="s">
        <v>1312</v>
      </c>
      <c r="B36" s="1649" t="s">
        <v>1313</v>
      </c>
      <c r="C36" s="135"/>
      <c r="D36" s="1650"/>
      <c r="E36" s="1564"/>
      <c r="F36" s="1651"/>
      <c r="G36" s="119"/>
      <c r="H36" s="119"/>
      <c r="I36" s="119"/>
    </row>
    <row r="37" spans="1:15" ht="15" thickBot="1">
      <c r="A37" s="3370"/>
      <c r="B37" s="1552" t="s">
        <v>1314</v>
      </c>
      <c r="C37" s="137"/>
      <c r="D37" s="1069"/>
      <c r="E37" s="1069"/>
      <c r="F37" s="1651"/>
      <c r="G37" s="119"/>
      <c r="H37" s="119"/>
      <c r="I37" s="119"/>
    </row>
    <row r="38" spans="1:15" ht="15" thickBot="1">
      <c r="A38" s="3371"/>
      <c r="B38" s="1652" t="s">
        <v>1315</v>
      </c>
      <c r="C38" s="639"/>
      <c r="D38" s="1653" t="s">
        <v>1316</v>
      </c>
      <c r="E38" s="1069"/>
      <c r="F38" s="1651"/>
      <c r="G38" s="119"/>
      <c r="H38" s="119"/>
      <c r="I38" s="119"/>
    </row>
    <row r="39" spans="1:15" ht="14.4">
      <c r="A39" s="1630" t="s">
        <v>1317</v>
      </c>
      <c r="B39" s="1654" t="s">
        <v>1318</v>
      </c>
      <c r="C39" s="1655" t="s">
        <v>1319</v>
      </c>
      <c r="D39" s="1655" t="s">
        <v>1320</v>
      </c>
      <c r="E39" s="1656" t="s">
        <v>1321</v>
      </c>
      <c r="F39" s="1651"/>
      <c r="G39" s="119"/>
      <c r="H39" s="119"/>
      <c r="I39" s="119"/>
    </row>
    <row r="40" spans="1:15" ht="13.8">
      <c r="A40" s="1657" t="s">
        <v>1322</v>
      </c>
      <c r="B40" s="139"/>
      <c r="C40" s="140"/>
      <c r="D40" s="140"/>
      <c r="E40" s="141"/>
      <c r="F40" s="1651"/>
      <c r="G40" s="119"/>
      <c r="H40" s="119"/>
      <c r="I40" s="119"/>
    </row>
    <row r="41" spans="1:15" ht="13.8">
      <c r="A41" s="1657" t="s">
        <v>1323</v>
      </c>
      <c r="B41" s="139"/>
      <c r="C41" s="140"/>
      <c r="D41" s="140"/>
      <c r="E41" s="141"/>
      <c r="F41" s="1651"/>
      <c r="G41" s="119"/>
      <c r="H41" s="119"/>
      <c r="I41" s="119"/>
    </row>
    <row r="42" spans="1:15" ht="14.4" thickBot="1">
      <c r="A42" s="1658"/>
      <c r="B42" s="142"/>
      <c r="C42" s="143"/>
      <c r="D42" s="143"/>
      <c r="E42" s="144"/>
      <c r="F42" s="1651"/>
      <c r="G42" s="119"/>
      <c r="H42" s="119"/>
      <c r="I42" s="119"/>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89" t="s">
        <v>1326</v>
      </c>
      <c r="B45" s="3390"/>
      <c r="C45" s="3391"/>
      <c r="D45" s="145" t="e">
        <f ca="1">ROUND(H101*F45,0)</f>
        <v>#REF!</v>
      </c>
      <c r="E45" s="146" t="s">
        <v>1327</v>
      </c>
      <c r="F45" s="147">
        <v>1</v>
      </c>
      <c r="G45" s="148" t="s">
        <v>1328</v>
      </c>
      <c r="H45" s="119"/>
      <c r="I45" s="119"/>
      <c r="J45" s="3309" t="s">
        <v>1329</v>
      </c>
      <c r="K45" s="3309"/>
      <c r="L45" s="3309"/>
      <c r="M45" s="3309"/>
      <c r="N45" s="3309"/>
      <c r="O45" s="3309"/>
    </row>
    <row r="46" spans="1:15" ht="14.25" customHeight="1">
      <c r="A46" s="3386" t="s">
        <v>1330</v>
      </c>
      <c r="B46" s="3387"/>
      <c r="C46" s="3387"/>
      <c r="D46" s="3387"/>
      <c r="E46" s="3387"/>
      <c r="F46" s="3387"/>
      <c r="G46" s="3388"/>
      <c r="H46" s="1665"/>
      <c r="I46" s="149"/>
      <c r="J46" s="2307">
        <v>1</v>
      </c>
      <c r="K46" s="3310" t="s">
        <v>1331</v>
      </c>
      <c r="L46" s="3310"/>
      <c r="M46" s="3311"/>
      <c r="N46" s="3311"/>
      <c r="O46" s="3311"/>
    </row>
    <row r="47" spans="1:15" ht="12" customHeight="1">
      <c r="A47" s="150" t="s">
        <v>1332</v>
      </c>
      <c r="B47" s="151"/>
      <c r="C47" s="152"/>
      <c r="D47" s="1022" t="s">
        <v>1333</v>
      </c>
      <c r="E47" s="292" t="s">
        <v>1334</v>
      </c>
      <c r="F47" s="153" t="s">
        <v>1335</v>
      </c>
      <c r="G47" s="2330" t="s">
        <v>1336</v>
      </c>
      <c r="H47" s="2331"/>
      <c r="I47" s="149"/>
      <c r="J47" s="2307">
        <v>2</v>
      </c>
      <c r="K47" s="3310" t="s">
        <v>1337</v>
      </c>
      <c r="L47" s="3310"/>
      <c r="M47" s="3312">
        <f>'数据-取费表'!B2</f>
        <v>45728</v>
      </c>
      <c r="N47" s="3312"/>
      <c r="O47" s="3312"/>
    </row>
    <row r="48" spans="1:15" ht="26.4">
      <c r="A48" s="3372" t="s">
        <v>1338</v>
      </c>
      <c r="B48" s="3373"/>
      <c r="C48" s="3373"/>
      <c r="D48" s="12" t="b">
        <f>IF(H48="情况1",0,IF(H48="情况2",D52,IF(H48="情况3",D53,IF(H48="情况4",D54))))</f>
        <v>0</v>
      </c>
      <c r="E48" s="1253" t="str">
        <f>IF(H48="情况4","(销售额-原购置价)×税（费）率","销售额×税（费）率")</f>
        <v>销售额×税（费）率</v>
      </c>
      <c r="F48" s="2332">
        <f>IF(H48="情况1","免征",'数据-取费表'!B41)</f>
        <v>5.5000000000000007E-2</v>
      </c>
      <c r="G48" s="2333" t="s">
        <v>1339</v>
      </c>
      <c r="H48" s="2334"/>
      <c r="I48" s="1665"/>
      <c r="J48" s="2307">
        <v>3</v>
      </c>
      <c r="K48" s="3310" t="s">
        <v>1340</v>
      </c>
      <c r="L48" s="3310"/>
      <c r="M48" s="3313" t="e">
        <f ca="1">H101</f>
        <v>#REF!</v>
      </c>
      <c r="N48" s="3313"/>
      <c r="O48" s="3313"/>
    </row>
    <row r="49" spans="1:35" ht="25.5" customHeight="1">
      <c r="A49" s="2149" t="s">
        <v>1341</v>
      </c>
      <c r="B49" s="3358" t="s">
        <v>1342</v>
      </c>
      <c r="C49" s="3358"/>
      <c r="D49" s="1475">
        <v>0</v>
      </c>
      <c r="E49" s="314" t="s">
        <v>1343</v>
      </c>
      <c r="F49" s="2230" t="s">
        <v>28</v>
      </c>
      <c r="G49" s="3341"/>
      <c r="H49" s="2131" t="s">
        <v>2131</v>
      </c>
      <c r="I49" s="2132"/>
      <c r="J49" s="2307">
        <v>4</v>
      </c>
      <c r="K49" s="3310" t="str">
        <f>IF(项目基本情况!E8="房地产抵押价值","房地产抵押价值","抵押担保权已注销时的房地产抵押价值")</f>
        <v>房地产抵押价值</v>
      </c>
      <c r="L49" s="3310"/>
      <c r="M49" s="3313" t="str">
        <f ca="1">IF(项目基本情况!E8="房地产抵押价值",H107,H109)</f>
        <v>——</v>
      </c>
      <c r="N49" s="3313"/>
      <c r="O49" s="3313"/>
    </row>
    <row r="50" spans="1:35" ht="25.5" customHeight="1">
      <c r="A50" s="2335"/>
      <c r="B50" s="3358" t="s">
        <v>1344</v>
      </c>
      <c r="C50" s="3358"/>
      <c r="D50" s="2186"/>
      <c r="E50" s="321"/>
      <c r="F50" s="2230"/>
      <c r="G50" s="3342"/>
      <c r="H50" s="2133" t="s">
        <v>2132</v>
      </c>
      <c r="I50" s="2132"/>
      <c r="J50" s="3309" t="s">
        <v>1345</v>
      </c>
      <c r="K50" s="3309"/>
      <c r="L50" s="3309"/>
      <c r="M50" s="3309"/>
      <c r="N50" s="3309"/>
      <c r="O50" s="3309"/>
    </row>
    <row r="51" spans="1:35" ht="20.399999999999999" customHeight="1">
      <c r="A51" s="2336"/>
      <c r="B51" s="3358" t="s">
        <v>1346</v>
      </c>
      <c r="C51" s="3358"/>
      <c r="D51" s="1022"/>
      <c r="E51" s="317"/>
      <c r="F51" s="2230"/>
      <c r="G51" s="3343"/>
      <c r="H51" s="2133" t="s">
        <v>2133</v>
      </c>
      <c r="I51" s="2132"/>
      <c r="J51" s="2308" t="s">
        <v>1347</v>
      </c>
      <c r="K51" s="3310" t="s">
        <v>1348</v>
      </c>
      <c r="L51" s="3310"/>
      <c r="M51" s="2308" t="s">
        <v>1349</v>
      </c>
      <c r="N51" s="2308" t="s">
        <v>1350</v>
      </c>
      <c r="O51" s="2308" t="s">
        <v>1351</v>
      </c>
    </row>
    <row r="52" spans="1:35" ht="24" customHeight="1">
      <c r="A52" s="2150" t="s">
        <v>1352</v>
      </c>
      <c r="B52" s="3358" t="s">
        <v>1353</v>
      </c>
      <c r="C52" s="3358"/>
      <c r="D52" s="1022" t="e">
        <f ca="1">ROUND(D45*'数据-取费表'!B41/(1+'数据-取费表'!C42),0)</f>
        <v>#REF!</v>
      </c>
      <c r="E52" s="1253" t="s">
        <v>1354</v>
      </c>
      <c r="F52" s="2337">
        <f>'数据-取费表'!B41</f>
        <v>5.5000000000000007E-2</v>
      </c>
      <c r="G52" s="2338"/>
      <c r="H52" s="2328"/>
      <c r="I52" s="1666"/>
      <c r="J52" s="2307">
        <v>1</v>
      </c>
      <c r="K52" s="3335" t="s">
        <v>1355</v>
      </c>
      <c r="L52" s="3335"/>
      <c r="M52" s="2309" t="b">
        <f>D48</f>
        <v>0</v>
      </c>
      <c r="N52" s="2307" t="str">
        <f>E48</f>
        <v>销售额×税（费）率</v>
      </c>
      <c r="O52" s="2310">
        <f>F48</f>
        <v>5.5000000000000007E-2</v>
      </c>
    </row>
    <row r="53" spans="1:35" ht="12" customHeight="1">
      <c r="A53" s="2150" t="s">
        <v>1356</v>
      </c>
      <c r="B53" s="3359" t="s">
        <v>2279</v>
      </c>
      <c r="C53" s="3360"/>
      <c r="D53" s="1022" t="e">
        <f ca="1">ROUND(D45*'数据-取费表'!B41/(1+'数据-取费表'!C42),0)</f>
        <v>#REF!</v>
      </c>
      <c r="E53" s="1253" t="s">
        <v>1354</v>
      </c>
      <c r="F53" s="2337">
        <f>'数据-取费表'!B41</f>
        <v>5.5000000000000007E-2</v>
      </c>
      <c r="G53" s="2338"/>
      <c r="H53" s="2328"/>
      <c r="I53" s="1666"/>
      <c r="J53" s="2307">
        <v>2</v>
      </c>
      <c r="K53" s="3335" t="s">
        <v>1357</v>
      </c>
      <c r="L53" s="3335"/>
      <c r="M53" s="2309" t="e">
        <f t="shared" ref="M53:O54" ca="1" si="0">D55</f>
        <v>#REF!</v>
      </c>
      <c r="N53" s="2307" t="str">
        <f t="shared" si="0"/>
        <v>销售额×税（费）率</v>
      </c>
      <c r="O53" s="2310" t="str">
        <f t="shared" si="0"/>
        <v>免征</v>
      </c>
    </row>
    <row r="54" spans="1:35" ht="12" customHeight="1">
      <c r="A54" s="2150" t="s">
        <v>1358</v>
      </c>
      <c r="B54" s="3359" t="s">
        <v>2280</v>
      </c>
      <c r="C54" s="3360"/>
      <c r="D54" s="1022" t="e">
        <f ca="1">C68</f>
        <v>#REF!</v>
      </c>
      <c r="E54" s="317" t="s">
        <v>1359</v>
      </c>
      <c r="F54" s="2337">
        <f>'数据-取费表'!B41</f>
        <v>5.5000000000000007E-2</v>
      </c>
      <c r="G54" s="2338"/>
      <c r="H54" s="2339"/>
      <c r="I54" s="1666"/>
      <c r="J54" s="2307">
        <v>3</v>
      </c>
      <c r="K54" s="3335" t="s">
        <v>1360</v>
      </c>
      <c r="L54" s="3335"/>
      <c r="M54" s="2309" t="e">
        <f t="shared" ca="1" si="0"/>
        <v>#REF!</v>
      </c>
      <c r="N54" s="2307" t="str">
        <f t="shared" si="0"/>
        <v>增值额×税（费）率</v>
      </c>
      <c r="O54" s="2311" t="str">
        <f t="shared" si="0"/>
        <v>免征</v>
      </c>
    </row>
    <row r="55" spans="1:35" ht="24" customHeight="1">
      <c r="A55" s="3395" t="s">
        <v>1361</v>
      </c>
      <c r="B55" s="3373"/>
      <c r="C55" s="3373"/>
      <c r="D55" s="12" t="e">
        <f ca="1">IF(H55="个人住宅",0,ROUND(D45*I55,0))</f>
        <v>#REF!</v>
      </c>
      <c r="E55" s="1253" t="s">
        <v>1362</v>
      </c>
      <c r="F55" s="2337" t="str">
        <f>IF(H55="正常",I55,"免征")</f>
        <v>免征</v>
      </c>
      <c r="G55" s="2338"/>
      <c r="H55" s="2334"/>
      <c r="I55" s="155">
        <f>'数据-取费表'!B49</f>
        <v>5.0000000000000001E-4</v>
      </c>
      <c r="J55" s="2307">
        <f>IF(H59="非个人房产","",4)</f>
        <v>4</v>
      </c>
      <c r="K55" s="3335" t="str">
        <f>IF(H59="非个人房产","——","个人所得税")</f>
        <v>个人所得税</v>
      </c>
      <c r="L55" s="3335"/>
      <c r="M55" s="2312" t="e">
        <f ca="1">D59</f>
        <v>#REF!</v>
      </c>
      <c r="N55" s="1880" t="str">
        <f>E59</f>
        <v>差额计税</v>
      </c>
      <c r="O55" s="2313">
        <f>F59</f>
        <v>0.01</v>
      </c>
    </row>
    <row r="56" spans="1:35" ht="25.2">
      <c r="A56" s="3395" t="s">
        <v>1363</v>
      </c>
      <c r="B56" s="3373"/>
      <c r="C56" s="3373"/>
      <c r="D56" s="12" t="e">
        <f ca="1">IF(H56="个人住宅",D57,D58)</f>
        <v>#REF!</v>
      </c>
      <c r="E56" s="1253" t="s">
        <v>1364</v>
      </c>
      <c r="F56" s="2337" t="str">
        <f>IF(H56="正常",F58,"免征")</f>
        <v>免征</v>
      </c>
      <c r="G56" s="2340" t="s">
        <v>1365</v>
      </c>
      <c r="H56" s="2341"/>
      <c r="I56" s="1667"/>
      <c r="J56" s="2307" t="str">
        <f>IF(项目基本情况!K6="上海银行",IF(J55="",4,J55+1),"")</f>
        <v/>
      </c>
      <c r="K56" s="3316" t="str">
        <f>IF(项目基本情况!K6="上海银行","其他处置费用","")</f>
        <v/>
      </c>
      <c r="L56" s="3317"/>
      <c r="M56" s="2309" t="str">
        <f>IF(项目基本情况!K6="上海银行",M69,"")</f>
        <v/>
      </c>
      <c r="N56" s="3316" t="str">
        <f>IF(项目基本情况!K6="上海银行","包含处置中涉及的律师、诉讼、拍卖、评估等费用","")</f>
        <v/>
      </c>
      <c r="O56" s="3319"/>
    </row>
    <row r="57" spans="1:35" ht="13.2">
      <c r="A57" s="2150" t="s">
        <v>1341</v>
      </c>
      <c r="B57" s="3359" t="s">
        <v>1366</v>
      </c>
      <c r="C57" s="3360"/>
      <c r="D57" s="1475">
        <v>0</v>
      </c>
      <c r="E57" s="314" t="s">
        <v>1343</v>
      </c>
      <c r="F57" s="292"/>
      <c r="G57" s="2338"/>
      <c r="H57" s="2342"/>
      <c r="I57" s="1667"/>
      <c r="J57" s="3335">
        <f>IF(AND(J55="",J56=""),4,IF(项目基本情况!K6="上海银行",结果表!J56+1,结果表!J55+1))</f>
        <v>5</v>
      </c>
      <c r="K57" s="3335" t="s">
        <v>1367</v>
      </c>
      <c r="L57" s="2314" t="s">
        <v>1368</v>
      </c>
      <c r="M57" s="2315"/>
      <c r="N57" s="2316">
        <f ca="1">SUMIF(M52:M56,"&lt;9e307")</f>
        <v>0</v>
      </c>
      <c r="O57" s="2317"/>
      <c r="P57" s="2462" t="e">
        <f ca="1">N57/M49</f>
        <v>#VALUE!</v>
      </c>
    </row>
    <row r="58" spans="1:35" ht="25.2">
      <c r="A58" s="2150" t="s">
        <v>1352</v>
      </c>
      <c r="B58" s="3359" t="s">
        <v>1369</v>
      </c>
      <c r="C58" s="3358"/>
      <c r="D58" s="12" t="e">
        <f ca="1">IF(H58="转让取得",C81,C97)</f>
        <v>#REF!</v>
      </c>
      <c r="E58" s="1253" t="s">
        <v>1364</v>
      </c>
      <c r="F58" s="292" t="s">
        <v>28</v>
      </c>
      <c r="G58" s="2338"/>
      <c r="H58" s="2341"/>
      <c r="I58" s="1667"/>
      <c r="J58" s="3335"/>
      <c r="K58" s="3335"/>
      <c r="L58" s="2314" t="s">
        <v>1370</v>
      </c>
      <c r="M58" s="2318"/>
      <c r="N58" s="2319" t="str">
        <f ca="1">NUMBERSTRING(INT(N57*10000),2)&amp;"元整"</f>
        <v>零元整</v>
      </c>
      <c r="O58" s="2320"/>
    </row>
    <row r="59" spans="1:35" ht="24.6" thickBot="1">
      <c r="A59" s="3339" t="s">
        <v>1371</v>
      </c>
      <c r="B59" s="3340"/>
      <c r="C59" s="3340"/>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2134</v>
      </c>
      <c r="J59" s="3337">
        <f>J57+1</f>
        <v>6</v>
      </c>
      <c r="K59" s="3335" t="s">
        <v>1372</v>
      </c>
      <c r="L59" s="2307" t="s">
        <v>1368</v>
      </c>
      <c r="M59" s="2321"/>
      <c r="N59" s="2322" t="e">
        <f ca="1">M49-N57</f>
        <v>#VALUE!</v>
      </c>
      <c r="O59" s="2323"/>
    </row>
    <row r="60" spans="1:35" ht="12" customHeight="1">
      <c r="A60" s="1668"/>
      <c r="B60" s="644"/>
      <c r="C60" s="644"/>
      <c r="D60" s="644"/>
      <c r="E60" s="1463"/>
      <c r="F60" s="1667"/>
      <c r="G60" s="1667"/>
      <c r="H60" s="149"/>
      <c r="I60" s="119"/>
      <c r="J60" s="3338"/>
      <c r="K60" s="3335"/>
      <c r="L60" s="2314" t="s">
        <v>1370</v>
      </c>
      <c r="M60" s="2318"/>
      <c r="N60" s="2319" t="e">
        <f ca="1">NUMBERSTRING(INT(N59*10000),2)&amp;"元整"</f>
        <v>#VALUE!</v>
      </c>
      <c r="O60" s="2320"/>
    </row>
    <row r="61" spans="1:35" ht="13.8" thickBot="1">
      <c r="A61" s="3394" t="s">
        <v>1373</v>
      </c>
      <c r="B61" s="3394"/>
      <c r="C61" s="3394"/>
      <c r="D61" s="3394"/>
      <c r="E61" s="3394"/>
      <c r="F61" s="1667"/>
      <c r="G61" s="1667"/>
      <c r="H61" s="149"/>
      <c r="I61" s="119"/>
      <c r="J61" s="2307">
        <f>J59+1</f>
        <v>7</v>
      </c>
      <c r="K61" s="3335" t="s">
        <v>1374</v>
      </c>
      <c r="L61" s="3335"/>
      <c r="M61" s="2324"/>
      <c r="N61" s="2325" t="e">
        <f ca="1">ROUND(N59*10000/'数据-汇总表'!E3,0)</f>
        <v>#VALUE!</v>
      </c>
      <c r="O61" s="2326"/>
    </row>
    <row r="62" spans="1:35" ht="13.2">
      <c r="A62" s="3354" t="s">
        <v>1375</v>
      </c>
      <c r="B62" s="3355"/>
      <c r="C62" s="1862"/>
      <c r="D62" s="1862" t="s">
        <v>1376</v>
      </c>
      <c r="E62" s="156" t="s">
        <v>1377</v>
      </c>
      <c r="F62" s="1667"/>
      <c r="G62" s="1667"/>
      <c r="H62" s="149"/>
      <c r="I62" s="119"/>
    </row>
    <row r="63" spans="1:35" ht="13.2">
      <c r="A63" s="163" t="s">
        <v>330</v>
      </c>
      <c r="B63" s="157" t="s">
        <v>1378</v>
      </c>
      <c r="C63" s="2347" t="e">
        <f ca="1">ROUND((C64+C65)/(1+'数据-取费表'!C42),0)</f>
        <v>#REF!</v>
      </c>
      <c r="D63" s="157"/>
      <c r="E63" s="158"/>
      <c r="F63" s="1667"/>
      <c r="G63" s="1667"/>
      <c r="H63" s="149"/>
      <c r="I63" s="119"/>
      <c r="J63" s="3318" t="s">
        <v>1379</v>
      </c>
      <c r="K63" s="1242" t="s">
        <v>1380</v>
      </c>
      <c r="L63" s="1242" t="e">
        <f ca="1">IF(M49&gt;10000,M49*0.5%,IF(AND(M49&gt;1000,M49&lt;=10000),M49*1%,IF(AND(M49&gt;100,M49&lt;=1000),M49*3%,IF(AND(M49&gt;10,M49&lt;=100),M49*5%,M49*8%))))</f>
        <v>#VALUE!</v>
      </c>
      <c r="M63" s="292" t="e">
        <f ca="1">ROUND(L63,1)</f>
        <v>#VALUE!</v>
      </c>
      <c r="N63" s="2327"/>
      <c r="Z63" s="1620"/>
      <c r="AI63" s="1558"/>
    </row>
    <row r="64" spans="1:35" ht="14.25" customHeight="1">
      <c r="A64" s="159" t="s">
        <v>325</v>
      </c>
      <c r="B64" s="160" t="s">
        <v>1381</v>
      </c>
      <c r="C64" s="2348" t="e">
        <f ca="1">D45</f>
        <v>#REF!</v>
      </c>
      <c r="D64" s="160" t="s">
        <v>26</v>
      </c>
      <c r="E64" s="162"/>
      <c r="F64" s="1667"/>
      <c r="G64" s="1667"/>
      <c r="H64" s="149"/>
      <c r="I64" s="119"/>
      <c r="J64" s="3318"/>
      <c r="K64" s="1242" t="s">
        <v>1382</v>
      </c>
      <c r="L64" s="1242" t="e">
        <f ca="1">IF(M49&gt;2000,M49*0.5%,IF(AND(M49&gt;1000,M49&lt;=2000),M49*0.6%,IF(AND(M49&gt;500,M49&lt;=1000),M49*0.7%,IF(AND(M49&gt;200,M49&lt;=500),M49*0.8%,IF(AND(M49&gt;100,M49&lt;=200),M49*0.9%,IF(AND(M49&gt;50,M49&lt;=100),M49*1%,IF(AND(M49&gt;20,M49&lt;=50),M49*1.5%,IF(AND(M49&gt;10,M49&lt;=20),M49*2%,IF(AND(M49&gt;1,M49&lt;=10),M49*2.5%)))))))))</f>
        <v>#VALUE!</v>
      </c>
      <c r="M64" s="292" t="e">
        <f t="shared" ref="M64:M65" ca="1" si="1">ROUND(L64,1)</f>
        <v>#VALUE!</v>
      </c>
      <c r="N64" s="2328" t="s">
        <v>1383</v>
      </c>
      <c r="Z64" s="1620"/>
      <c r="AI64" s="1558"/>
    </row>
    <row r="65" spans="1:35" ht="14.25" customHeight="1">
      <c r="A65" s="159" t="s">
        <v>326</v>
      </c>
      <c r="B65" s="160" t="s">
        <v>1384</v>
      </c>
      <c r="C65" s="2349"/>
      <c r="D65" s="160"/>
      <c r="E65" s="162"/>
      <c r="F65" s="1667"/>
      <c r="G65" s="1667"/>
      <c r="H65" s="149"/>
      <c r="I65" s="119"/>
      <c r="J65" s="3318"/>
      <c r="K65" s="1242" t="s">
        <v>1385</v>
      </c>
      <c r="L65" s="1242" t="e">
        <f ca="1">IF(M49&gt;1000,M49*0.1%,IF(AND(M49&gt;500,M49&lt;=1000),M49*0.5%,IF(AND(M49&gt;50,M49&lt;=500),M49*1%,IF(AND(M49&gt;1,M49&lt;=50),M49*1.5%))))</f>
        <v>#VALUE!</v>
      </c>
      <c r="M65" s="292" t="e">
        <f t="shared" ca="1" si="1"/>
        <v>#VALUE!</v>
      </c>
      <c r="N65" s="2328" t="s">
        <v>1383</v>
      </c>
      <c r="Z65" s="1620"/>
      <c r="AI65" s="1558"/>
    </row>
    <row r="66" spans="1:35" ht="14.25" customHeight="1">
      <c r="A66" s="163" t="s">
        <v>327</v>
      </c>
      <c r="B66" s="164" t="s">
        <v>1386</v>
      </c>
      <c r="C66" s="2350"/>
      <c r="D66" s="164" t="s">
        <v>26</v>
      </c>
      <c r="E66" s="1248" t="s">
        <v>671</v>
      </c>
      <c r="F66" s="1667"/>
      <c r="G66" s="1667"/>
      <c r="H66" s="149"/>
      <c r="I66" s="119"/>
      <c r="J66" s="3318"/>
      <c r="K66" s="1242" t="s">
        <v>1387</v>
      </c>
      <c r="L66" s="1242" t="e">
        <f ca="1">M49*0.5%</f>
        <v>#VALUE!</v>
      </c>
      <c r="M66" s="292" t="e">
        <f ca="1">IF(L66&gt;0.5,0.5,ROUND(L66,0))</f>
        <v>#VALUE!</v>
      </c>
      <c r="N66" s="2328" t="s">
        <v>1388</v>
      </c>
      <c r="Z66" s="1620"/>
      <c r="AI66" s="1558"/>
    </row>
    <row r="67" spans="1:35" ht="14.25" customHeight="1">
      <c r="A67" s="163" t="s">
        <v>328</v>
      </c>
      <c r="B67" s="164" t="s">
        <v>1389</v>
      </c>
      <c r="C67" s="2351" t="e">
        <f ca="1">C63-C66</f>
        <v>#REF!</v>
      </c>
      <c r="D67" s="160" t="s">
        <v>26</v>
      </c>
      <c r="E67" s="162"/>
      <c r="F67" s="1667"/>
      <c r="G67" s="1667"/>
      <c r="H67" s="149"/>
      <c r="I67" s="119"/>
      <c r="J67" s="3318"/>
      <c r="K67" s="1242" t="s">
        <v>1390</v>
      </c>
      <c r="L67" s="1242" t="e">
        <f ca="1">IF(M49&gt;=10000,(8.25+(M49-10000)*0.01%),IF(AND(M49&gt;=8000,M49&lt;10000),(7.85+(M49-8000)*0.02%),IF(AND(M49&gt;=5000,M49&lt;8000),(6.65+(M49-5000)*0.04%),IF(AND(M49&gt;=2000,M49&lt;5000),(4.25+(PM49-2000)*0.08%),IF(AND(M49&gt;=1000,M49&lt;2000),(2.75+(M49-1000)*0.15%),IF(AND(M49&gt;=100,M49&lt;1000),(0.5+(M49-100)*0.25%),IF(AND(M49&gt;0,M49&lt;100),M49*0.5%)))))))</f>
        <v>#VALUE!</v>
      </c>
      <c r="M67" s="292" t="e">
        <f ca="1">ROUND(L67*0.9,1)</f>
        <v>#VALUE!</v>
      </c>
      <c r="N67" s="2327"/>
      <c r="Z67" s="1620"/>
      <c r="AI67" s="1558"/>
    </row>
    <row r="68" spans="1:35" ht="14.25" customHeight="1" thickBot="1">
      <c r="A68" s="166" t="s">
        <v>329</v>
      </c>
      <c r="B68" s="167" t="s">
        <v>1391</v>
      </c>
      <c r="C68" s="2352" t="e">
        <f ca="1">IF(C67&lt;=0,0,ROUND(C67*D68,0))</f>
        <v>#REF!</v>
      </c>
      <c r="D68" s="2353">
        <f>'数据-取费表'!B41</f>
        <v>5.5000000000000007E-2</v>
      </c>
      <c r="E68" s="168"/>
      <c r="F68" s="1667"/>
      <c r="G68" s="1667"/>
      <c r="H68" s="149"/>
      <c r="I68" s="119"/>
      <c r="J68" s="3318"/>
      <c r="K68" s="1242" t="s">
        <v>1392</v>
      </c>
      <c r="L68" s="1242" t="e">
        <f ca="1">IF(M49&gt;10000,M49*0.5%,IF(AND(M49&gt;5000,M49&lt;=10000),M49*1%,IF(AND(M49&gt;1000,M49&lt;=5000),M49*2%,IF(AND(M49&gt;200,M49&lt;=1000),M49*3%,M49*5%))))</f>
        <v>#VALUE!</v>
      </c>
      <c r="M68" s="292" t="e">
        <f ca="1">ROUND(L68,1)</f>
        <v>#VALUE!</v>
      </c>
      <c r="N68" s="2327"/>
      <c r="Z68" s="1620"/>
      <c r="AI68" s="1558"/>
    </row>
    <row r="69" spans="1:35" ht="16.5" customHeight="1">
      <c r="A69" s="1669"/>
      <c r="B69" s="1670"/>
      <c r="C69" s="1671"/>
      <c r="D69" s="1672"/>
      <c r="E69" s="1673"/>
      <c r="F69" s="1463"/>
      <c r="G69" s="1463"/>
      <c r="H69" s="1464"/>
      <c r="I69" s="644"/>
      <c r="J69" s="3318"/>
      <c r="K69" s="1242" t="s">
        <v>1393</v>
      </c>
      <c r="L69" s="1242"/>
      <c r="M69" s="292" t="e">
        <f ca="1">ROUND(SUM(M63:M68),0)</f>
        <v>#VALUE!</v>
      </c>
      <c r="N69" s="2329" t="e">
        <f ca="1">M69/M49</f>
        <v>#VALUE!</v>
      </c>
      <c r="Z69" s="1620"/>
      <c r="AI69" s="1558"/>
    </row>
    <row r="70" spans="1:35" s="640" customFormat="1" ht="14.4" thickBot="1">
      <c r="A70" s="3362" t="s">
        <v>1394</v>
      </c>
      <c r="B70" s="3363"/>
      <c r="C70" s="3363"/>
      <c r="D70" s="3363"/>
      <c r="E70" s="3363"/>
      <c r="F70" s="3363"/>
      <c r="G70" s="3363"/>
      <c r="H70" s="3363"/>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54" t="s">
        <v>1375</v>
      </c>
      <c r="B71" s="3355"/>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3" t="s">
        <v>330</v>
      </c>
      <c r="B72" s="164" t="s">
        <v>1395</v>
      </c>
      <c r="C72" s="2351"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3" t="s">
        <v>327</v>
      </c>
      <c r="B73" s="153" t="s">
        <v>1396</v>
      </c>
      <c r="C73" s="2351"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59" t="s">
        <v>331</v>
      </c>
      <c r="B75" s="160" t="s">
        <v>1398</v>
      </c>
      <c r="C75" s="2354"/>
      <c r="D75" s="160" t="s">
        <v>26</v>
      </c>
      <c r="E75" s="174" t="s">
        <v>1399</v>
      </c>
      <c r="F75" s="2355"/>
      <c r="G75" s="174"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7">
        <v>0.05</v>
      </c>
      <c r="E76" s="3359" t="s">
        <v>1402</v>
      </c>
      <c r="F76" s="3358"/>
      <c r="G76" s="3358"/>
      <c r="H76" s="336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8">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9" t="e">
        <f ca="1">ROUND(D45*D78/(1+'数据-取费表'!C42),0)</f>
        <v>#REF!</v>
      </c>
      <c r="D78" s="2360">
        <f>'数据-取费表'!B43</f>
        <v>5.000000000000001E-3</v>
      </c>
      <c r="E78" s="3351" t="s">
        <v>1406</v>
      </c>
      <c r="F78" s="3352"/>
      <c r="G78" s="3352"/>
      <c r="H78" s="335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3" t="s">
        <v>334</v>
      </c>
      <c r="B79" s="164" t="s">
        <v>1407</v>
      </c>
      <c r="C79" s="2351"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61"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6" t="s">
        <v>336</v>
      </c>
      <c r="B81" s="167" t="s">
        <v>1409</v>
      </c>
      <c r="C81" s="2362" t="e">
        <f ca="1">ROUND(IF(C79&lt;=0,0,IF(C80&gt;=200%,C79*60%-C73*35%,IF(C80&gt;=100%,C79*50%-C73*15%,IF(C80&gt;=50%,C79*40%-C73*5%,IF(C80&lt;50%,C79*30%,0))))),0)</f>
        <v>#REF!</v>
      </c>
      <c r="D81" s="2363"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62" t="s">
        <v>1410</v>
      </c>
      <c r="B83" s="3363"/>
      <c r="C83" s="3363"/>
      <c r="D83" s="3363"/>
      <c r="E83" s="3363"/>
      <c r="F83" s="3363"/>
      <c r="G83" s="3363"/>
      <c r="H83" s="336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54" t="s">
        <v>1375</v>
      </c>
      <c r="B84" s="3355"/>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3" t="s">
        <v>330</v>
      </c>
      <c r="B85" s="164" t="s">
        <v>1395</v>
      </c>
      <c r="C85" s="2351"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3" t="s">
        <v>327</v>
      </c>
      <c r="B86" s="153" t="s">
        <v>1396</v>
      </c>
      <c r="C86" s="2351" t="e">
        <f ca="1">IF(H88="仅含出让金",C87+C90+C91+C92+C93+C94,C87+C91+C92+C93+C94)</f>
        <v>#REF!</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59" t="s">
        <v>325</v>
      </c>
      <c r="B87" s="160"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4">
      <c r="A88" s="159" t="s">
        <v>331</v>
      </c>
      <c r="B88" s="160" t="s">
        <v>1412</v>
      </c>
      <c r="C88" s="2365"/>
      <c r="D88" s="2360"/>
      <c r="E88" s="183" t="s">
        <v>1413</v>
      </c>
      <c r="F88" s="2145"/>
      <c r="G88" s="184" t="s">
        <v>1414</v>
      </c>
      <c r="H88" s="1681"/>
      <c r="I88" s="1678"/>
      <c r="J88" s="2305" t="s">
        <v>2276</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59" t="s">
        <v>332</v>
      </c>
      <c r="B89" s="160" t="s">
        <v>1403</v>
      </c>
      <c r="C89" s="2359">
        <f>ROUND(C88*D89,0)</f>
        <v>0</v>
      </c>
      <c r="D89" s="2360">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59" t="s">
        <v>326</v>
      </c>
      <c r="B90" s="160" t="s">
        <v>1416</v>
      </c>
      <c r="C90" s="2365"/>
      <c r="D90" s="2360"/>
      <c r="E90" s="183" t="str">
        <f>IF(H88="-","土地取得成本中已包含该笔费用"," ")</f>
        <v xml:space="preserve"> </v>
      </c>
      <c r="F90" s="2145"/>
      <c r="G90" s="3320" t="s">
        <v>2126</v>
      </c>
      <c r="H90" s="3321"/>
      <c r="I90" s="1678"/>
      <c r="J90" s="2305" t="s">
        <v>2277</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9">
        <f>IF(H91="——",成本法!C33,I91)</f>
        <v>0</v>
      </c>
      <c r="D91" s="2360"/>
      <c r="E91" s="3351" t="s">
        <v>1419</v>
      </c>
      <c r="F91" s="3352"/>
      <c r="G91" s="3352"/>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9">
        <f>ROUND((C87+C90+C91)*D92,0)</f>
        <v>0</v>
      </c>
      <c r="D92" s="2366"/>
      <c r="E92" s="3351" t="s">
        <v>1422</v>
      </c>
      <c r="F92" s="3352"/>
      <c r="G92" s="3352"/>
      <c r="H92" s="3353"/>
      <c r="I92" s="1678"/>
      <c r="J92" s="2306" t="s">
        <v>2278</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9" t="e">
        <f ca="1">ROUND(D45*D93/(1+'数据-取费表'!C42),0)</f>
        <v>#REF!</v>
      </c>
      <c r="D93" s="2360">
        <f>'数据-取费表'!B43</f>
        <v>5.000000000000001E-3</v>
      </c>
      <c r="E93" s="3351" t="s">
        <v>1406</v>
      </c>
      <c r="F93" s="3352"/>
      <c r="G93" s="3352"/>
      <c r="H93" s="335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5">
        <f>ROUND((C87+C90+C91)*D94,0)</f>
        <v>0</v>
      </c>
      <c r="D94" s="2360">
        <v>0.2</v>
      </c>
      <c r="E94" s="3396" t="s">
        <v>1426</v>
      </c>
      <c r="F94" s="3397"/>
      <c r="G94" s="3397"/>
      <c r="H94" s="339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3" t="s">
        <v>334</v>
      </c>
      <c r="B95" s="164" t="s">
        <v>1407</v>
      </c>
      <c r="C95" s="2351"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61"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6" t="s">
        <v>336</v>
      </c>
      <c r="B97" s="167" t="s">
        <v>1409</v>
      </c>
      <c r="C97" s="2362" t="e">
        <f ca="1">ROUND(IF(C95&lt;=0,0,IF(C96&gt;=200%,C95*60%-C86*35%,IF(C96&gt;=100%,C95*50%-C86*15%,IF(C96&gt;=50%,C95*40%-C86*5%,IF(C96&lt;50%,C95*30%,0))))),0)</f>
        <v>#REF!</v>
      </c>
      <c r="D97" s="2363"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301" t="s">
        <v>1428</v>
      </c>
      <c r="B100" s="3302"/>
      <c r="C100" s="3302"/>
      <c r="D100" s="3336"/>
      <c r="E100" s="3302" t="s">
        <v>1429</v>
      </c>
      <c r="F100" s="3302"/>
      <c r="G100" s="3302"/>
      <c r="H100" s="3336"/>
      <c r="I100" s="119"/>
    </row>
    <row r="101" spans="1:35" ht="18.75" customHeight="1">
      <c r="A101" s="3344" t="s">
        <v>1430</v>
      </c>
      <c r="B101" s="3345"/>
      <c r="C101" s="2368" t="str">
        <f>C4</f>
        <v>成本法</v>
      </c>
      <c r="D101" s="2369" t="str">
        <f>D4</f>
        <v>收益法</v>
      </c>
      <c r="E101" s="3314" t="s">
        <v>1431</v>
      </c>
      <c r="F101" s="3315"/>
      <c r="G101" s="1684" t="s">
        <v>1432</v>
      </c>
      <c r="H101" s="2378" t="e">
        <f ca="1">H118</f>
        <v>#REF!</v>
      </c>
      <c r="I101" s="119"/>
    </row>
    <row r="102" spans="1:35" ht="18.75" customHeight="1">
      <c r="A102" s="3346" t="s">
        <v>1433</v>
      </c>
      <c r="B102" s="2367" t="s">
        <v>1432</v>
      </c>
      <c r="C102" s="2368">
        <f ca="1">IF(D32="楼面单价",ROUND(C19,0),C19)</f>
        <v>3859</v>
      </c>
      <c r="D102" s="2369">
        <f ca="1">IF(D32="楼面单价",ROUND(D19,0),D19)</f>
        <v>1166</v>
      </c>
      <c r="E102" s="3314"/>
      <c r="F102" s="3315"/>
      <c r="G102" s="1684" t="s">
        <v>1434</v>
      </c>
      <c r="H102" s="2338" t="e">
        <f ca="1">I118</f>
        <v>#REF!</v>
      </c>
      <c r="I102" s="119"/>
    </row>
    <row r="103" spans="1:35" ht="42.75" customHeight="1">
      <c r="A103" s="3346"/>
      <c r="B103" s="2367" t="s">
        <v>1434</v>
      </c>
      <c r="C103" s="2370">
        <f ca="1">C20</f>
        <v>31303</v>
      </c>
      <c r="D103" s="2371">
        <f ca="1">D20</f>
        <v>9458</v>
      </c>
      <c r="E103" s="3307" t="s">
        <v>1435</v>
      </c>
      <c r="F103" s="3308"/>
      <c r="G103" s="1685" t="s">
        <v>1436</v>
      </c>
      <c r="H103" s="2378">
        <f>IF(D36="正常操作",H104+H105+H106,H105+H106)</f>
        <v>0</v>
      </c>
      <c r="I103" s="119"/>
    </row>
    <row r="104" spans="1:35" ht="18.75" customHeight="1">
      <c r="A104" s="3346" t="s">
        <v>1437</v>
      </c>
      <c r="B104" s="2372" t="s">
        <v>1432</v>
      </c>
      <c r="C104" s="2373" t="e">
        <f ca="1">H118</f>
        <v>#REF!</v>
      </c>
      <c r="D104" s="2374"/>
      <c r="E104" s="1552" t="s">
        <v>1438</v>
      </c>
      <c r="F104" s="1545"/>
      <c r="G104" s="1685" t="s">
        <v>1436</v>
      </c>
      <c r="H104" s="2379">
        <f>IF(D36="同一抵押权人同一抵押物续贷",C36&amp;"（续贷，未扣减，详见特别提示）",C36)</f>
        <v>0</v>
      </c>
      <c r="I104" s="119"/>
    </row>
    <row r="105" spans="1:35" ht="18.75" customHeight="1" thickBot="1">
      <c r="A105" s="3356"/>
      <c r="B105" s="2375" t="s">
        <v>1434</v>
      </c>
      <c r="C105" s="2376" t="e">
        <f ca="1">I118</f>
        <v>#REF!</v>
      </c>
      <c r="D105" s="2377"/>
      <c r="E105" s="1552" t="s">
        <v>1439</v>
      </c>
      <c r="F105" s="1545"/>
      <c r="G105" s="1685" t="s">
        <v>1436</v>
      </c>
      <c r="H105" s="2380">
        <f>C37</f>
        <v>0</v>
      </c>
      <c r="I105" s="119"/>
    </row>
    <row r="106" spans="1:35" ht="18.75" customHeight="1">
      <c r="A106" s="644" t="s">
        <v>1440</v>
      </c>
      <c r="B106" s="644"/>
      <c r="C106" s="644"/>
      <c r="D106" s="644"/>
      <c r="E106" s="1686" t="s">
        <v>1441</v>
      </c>
      <c r="F106" s="1545"/>
      <c r="G106" s="1685" t="s">
        <v>1436</v>
      </c>
      <c r="H106" s="2380">
        <f>C38</f>
        <v>0</v>
      </c>
      <c r="I106" s="119"/>
    </row>
    <row r="107" spans="1:35" ht="18.75" customHeight="1">
      <c r="A107" s="119"/>
      <c r="B107" s="119"/>
      <c r="C107" s="119"/>
      <c r="D107" s="119"/>
      <c r="E107" s="3347" t="str">
        <f>IF(项目基本情况!E8="已注销","——","3.房地产抵押价值")</f>
        <v>3.房地产抵押价值</v>
      </c>
      <c r="F107" s="3315"/>
      <c r="G107" s="1684" t="s">
        <v>1432</v>
      </c>
      <c r="H107" s="2378" t="e">
        <f ca="1">IF(E107="——","——",H101-H103)</f>
        <v>#REF!</v>
      </c>
      <c r="I107" s="119"/>
    </row>
    <row r="108" spans="1:35" ht="18.75" customHeight="1">
      <c r="A108" s="119"/>
      <c r="B108" s="119"/>
      <c r="C108" s="119"/>
      <c r="D108" s="119"/>
      <c r="E108" s="3347"/>
      <c r="F108" s="3315"/>
      <c r="G108" s="1684" t="s">
        <v>1434</v>
      </c>
      <c r="H108" s="2338">
        <f ca="1">IF(H107=H101,H102,ROUND(H107*10000/'数据-汇总表'!E3,0))</f>
        <v>0</v>
      </c>
      <c r="I108" s="119"/>
    </row>
    <row r="109" spans="1:35" ht="18.75" customHeight="1">
      <c r="A109" s="119"/>
      <c r="B109" s="119"/>
      <c r="C109" s="119"/>
      <c r="D109" s="119"/>
      <c r="E109" s="3347" t="str">
        <f>IF(项目基本情况!E8="已注销及未注销","4.抵押担保权已注销时的房地产抵押价值",IF(项目基本情况!E8="已注销","3.抵押担保权已注销时的房地产抵押价值","——"))</f>
        <v>——</v>
      </c>
      <c r="F109" s="3315"/>
      <c r="G109" s="1684" t="s">
        <v>1432</v>
      </c>
      <c r="H109" s="2381" t="str">
        <f>IF(E109="——","——",H101-H105-H106)</f>
        <v>——</v>
      </c>
      <c r="I109" s="119"/>
    </row>
    <row r="110" spans="1:35" ht="18.75" customHeight="1">
      <c r="A110" s="119"/>
      <c r="B110" s="119"/>
      <c r="C110" s="119"/>
      <c r="D110" s="119"/>
      <c r="E110" s="3347"/>
      <c r="F110" s="3315"/>
      <c r="G110" s="1684" t="s">
        <v>1434</v>
      </c>
      <c r="H110" s="2338" t="str">
        <f>IF(H109="——","——",ROUND(H109*10000/'数据-汇总表'!E3,0))</f>
        <v>——</v>
      </c>
      <c r="I110" s="119"/>
    </row>
    <row r="111" spans="1:35" ht="18.75" customHeight="1">
      <c r="A111" s="119"/>
      <c r="B111" s="119"/>
      <c r="C111" s="119"/>
      <c r="D111" s="119"/>
      <c r="E111" s="3348" t="str">
        <f>IF(项目基本情况!E9="抵押净值",IF(OR(项目基本情况!E8="已注销",项目基本情况!E8="房地产抵押价值"),"4.抵押净值","5.抵押净值"),"——")</f>
        <v>——</v>
      </c>
      <c r="F111" s="3334"/>
      <c r="G111" s="1684" t="s">
        <v>1432</v>
      </c>
      <c r="H111" s="2378" t="str">
        <f>IF(E111="——","——",N59)</f>
        <v>——</v>
      </c>
      <c r="I111" s="119"/>
    </row>
    <row r="112" spans="1:35" ht="18.75" customHeight="1" thickBot="1">
      <c r="A112" s="119"/>
      <c r="B112" s="119"/>
      <c r="C112" s="119"/>
      <c r="D112" s="119"/>
      <c r="E112" s="3349"/>
      <c r="F112" s="3350"/>
      <c r="G112" s="1687" t="s">
        <v>1434</v>
      </c>
      <c r="H112" s="2382" t="str">
        <f>IF(E111="——","——",N61)</f>
        <v>——</v>
      </c>
      <c r="I112" s="119"/>
    </row>
    <row r="113" spans="1:27" ht="18.75" customHeight="1">
      <c r="A113" s="119"/>
      <c r="B113" s="119"/>
      <c r="C113" s="119"/>
      <c r="D113" s="119"/>
      <c r="E113" s="3357" t="s">
        <v>1440</v>
      </c>
      <c r="F113" s="3357"/>
      <c r="G113" s="3357"/>
      <c r="H113" s="3357"/>
      <c r="I113" s="119"/>
    </row>
    <row r="114" spans="1:27" ht="3.75" customHeight="1">
      <c r="A114" s="644"/>
      <c r="B114" s="644"/>
      <c r="C114" s="644"/>
      <c r="D114" s="644"/>
      <c r="E114" s="1668"/>
      <c r="F114" s="1668"/>
      <c r="G114" s="1668"/>
      <c r="H114" s="1668"/>
      <c r="I114" s="644"/>
    </row>
    <row r="115" spans="1:27" ht="18.75" customHeight="1">
      <c r="A115" s="3365" t="s">
        <v>1442</v>
      </c>
      <c r="B115" s="3366"/>
      <c r="C115" s="3366"/>
      <c r="D115" s="3366"/>
      <c r="E115" s="3366"/>
      <c r="F115" s="3366"/>
      <c r="G115" s="3366"/>
      <c r="H115" s="3366"/>
      <c r="I115" s="3367"/>
    </row>
    <row r="116" spans="1:27" ht="27" customHeight="1">
      <c r="A116" s="3322" t="s">
        <v>1443</v>
      </c>
      <c r="B116" s="3326" t="s">
        <v>1444</v>
      </c>
      <c r="C116" s="3326" t="s">
        <v>1445</v>
      </c>
      <c r="D116" s="3332" t="s">
        <v>1446</v>
      </c>
      <c r="E116" s="3333"/>
      <c r="F116" s="3364" t="s">
        <v>1447</v>
      </c>
      <c r="G116" s="3364"/>
      <c r="H116" s="3322" t="s">
        <v>1448</v>
      </c>
      <c r="I116" s="3322"/>
    </row>
    <row r="117" spans="1:27" ht="18.75" customHeight="1">
      <c r="A117" s="3322"/>
      <c r="B117" s="3327"/>
      <c r="C117" s="3327"/>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1232.79</v>
      </c>
      <c r="C118" s="2147">
        <f>M19</f>
        <v>891.05</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22" t="s">
        <v>1452</v>
      </c>
      <c r="B119" s="3322"/>
      <c r="C119" s="3322"/>
      <c r="D119" s="3328" t="e">
        <f ca="1">NUMBERSTRING(INT(D118*10000),2)&amp;"元整"</f>
        <v>#REF!</v>
      </c>
      <c r="E119" s="3329"/>
      <c r="F119" s="3328" t="e">
        <f ca="1">NUMBERSTRING(INT(F118*10000),2)&amp;"元整"</f>
        <v>#REF!</v>
      </c>
      <c r="G119" s="3329"/>
      <c r="H119" s="3328" t="e">
        <f ca="1">NUMBERSTRING(INT(H118*10000),2)&amp;"元整"</f>
        <v>#REF!</v>
      </c>
      <c r="I119" s="3329"/>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28" t="s">
        <v>1452</v>
      </c>
      <c r="B121" s="3330"/>
      <c r="C121" s="3329"/>
      <c r="D121" s="3328" t="str">
        <f>IF(D120=0,"零元整",NUMBERSTRING(INT(D120*10000),2)&amp;"元整")</f>
        <v>零元整</v>
      </c>
      <c r="E121" s="3330"/>
      <c r="F121" s="3330"/>
      <c r="G121" s="3330"/>
      <c r="H121" s="3330"/>
      <c r="I121" s="3329"/>
      <c r="AA121" s="682"/>
    </row>
    <row r="122" spans="1:27" ht="18.75" customHeight="1">
      <c r="A122" s="3334" t="str">
        <f>IF(项目基本情况!B9="房地产市场价值","",MID(E107,3,LEN(E107)-2))</f>
        <v>房地产抵押价值</v>
      </c>
      <c r="B122" s="3334"/>
      <c r="C122" s="3334"/>
      <c r="D122" s="3323" t="e">
        <f ca="1">H107</f>
        <v>#REF!</v>
      </c>
      <c r="E122" s="3324"/>
      <c r="F122" s="3324"/>
      <c r="G122" s="3324"/>
      <c r="H122" s="3324"/>
      <c r="I122" s="3325"/>
      <c r="AA122" s="682"/>
    </row>
    <row r="123" spans="1:27" ht="18.75" customHeight="1">
      <c r="A123" s="3322" t="s">
        <v>1452</v>
      </c>
      <c r="B123" s="3322"/>
      <c r="C123" s="3322"/>
      <c r="D123" s="3328" t="e">
        <f ca="1">NUMBERSTRING(INT(D122*10000),2)&amp;"元整"</f>
        <v>#REF!</v>
      </c>
      <c r="E123" s="3330"/>
      <c r="F123" s="3330"/>
      <c r="G123" s="3330"/>
      <c r="H123" s="3330"/>
      <c r="I123" s="3329"/>
      <c r="AA123" s="682"/>
    </row>
    <row r="124" spans="1:27" ht="18.75" customHeight="1">
      <c r="A124" s="3334" t="str">
        <f>IF(项目基本情况!B9="房地产市场价值","",MID(E109,3,LEN(E109)-2))</f>
        <v/>
      </c>
      <c r="B124" s="3334"/>
      <c r="C124" s="3334"/>
      <c r="D124" s="3323" t="str">
        <f>H109</f>
        <v>——</v>
      </c>
      <c r="E124" s="3324"/>
      <c r="F124" s="3324"/>
      <c r="G124" s="3324"/>
      <c r="H124" s="3324"/>
      <c r="I124" s="3325"/>
      <c r="AA124" s="682"/>
    </row>
    <row r="125" spans="1:27" ht="18.75" customHeight="1">
      <c r="A125" s="3322" t="s">
        <v>1452</v>
      </c>
      <c r="B125" s="3322"/>
      <c r="C125" s="3322"/>
      <c r="D125" s="3328" t="e">
        <f>NUMBERSTRING(INT(D124*10000),2)&amp;"元整"</f>
        <v>#VALUE!</v>
      </c>
      <c r="E125" s="3330"/>
      <c r="F125" s="3330"/>
      <c r="G125" s="3330"/>
      <c r="H125" s="3330"/>
      <c r="I125" s="3329"/>
      <c r="AA125" s="682"/>
    </row>
    <row r="126" spans="1:27" ht="18.75" customHeight="1">
      <c r="A126" s="3334" t="str">
        <f>IF(项目基本情况!B9="房地产市场价值","",MID(E111,3,LEN(E111)-2))</f>
        <v/>
      </c>
      <c r="B126" s="3334"/>
      <c r="C126" s="3334"/>
      <c r="D126" s="3323" t="str">
        <f>H111</f>
        <v>——</v>
      </c>
      <c r="E126" s="3324"/>
      <c r="F126" s="3324"/>
      <c r="G126" s="3324"/>
      <c r="H126" s="3324"/>
      <c r="I126" s="3325"/>
      <c r="AA126" s="682"/>
    </row>
    <row r="127" spans="1:27" ht="18.75" customHeight="1">
      <c r="A127" s="3322" t="s">
        <v>1452</v>
      </c>
      <c r="B127" s="3322"/>
      <c r="C127" s="3322"/>
      <c r="D127" s="3328" t="e">
        <f>NUMBERSTRING(INT(D126*10000),2)&amp;"元整"</f>
        <v>#VALUE!</v>
      </c>
      <c r="E127" s="3330"/>
      <c r="F127" s="3330"/>
      <c r="G127" s="3330"/>
      <c r="H127" s="3330"/>
      <c r="I127" s="3329"/>
      <c r="AA127" s="682"/>
    </row>
    <row r="128" spans="1:27" ht="21.75" customHeight="1">
      <c r="A128" s="3331" t="s">
        <v>1453</v>
      </c>
      <c r="B128" s="3331"/>
      <c r="C128" s="3331"/>
      <c r="D128" s="3331"/>
      <c r="E128" s="3331"/>
      <c r="F128" s="3331"/>
      <c r="G128" s="3331"/>
      <c r="H128" s="3331"/>
      <c r="I128" s="3331"/>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35" sqref="M35"/>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1"/>
      <c r="C1" s="188"/>
      <c r="D1" s="188"/>
      <c r="E1" s="188"/>
      <c r="F1" s="188"/>
      <c r="G1" s="1060">
        <f>MATCH(B1,'数据-取费表'!A6:A16,0)+5</f>
        <v>7</v>
      </c>
    </row>
    <row r="2" spans="1:9" s="190" customFormat="1" ht="18" customHeight="1">
      <c r="A2" s="191" t="s">
        <v>1462</v>
      </c>
      <c r="B2" s="192">
        <f ca="1">IF(D2="——",C52,C52-E2)</f>
        <v>3859</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31303</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 ca="1">C6+C7+C8</f>
        <v>1409</v>
      </c>
      <c r="D5" s="201" t="s">
        <v>1469</v>
      </c>
      <c r="E5" s="202" t="s">
        <v>1470</v>
      </c>
      <c r="F5" s="202" t="s">
        <v>1471</v>
      </c>
      <c r="G5" s="203"/>
    </row>
    <row r="6" spans="1:9" s="204" customFormat="1" ht="13.5" customHeight="1">
      <c r="A6" s="730" t="s">
        <v>1472</v>
      </c>
      <c r="B6" s="205" t="s">
        <v>1473</v>
      </c>
      <c r="C6" s="206">
        <f>'土地比较法-住宅、综合'!B2</f>
        <v>1343</v>
      </c>
      <c r="D6" s="207"/>
      <c r="E6" s="208"/>
      <c r="F6" s="208"/>
      <c r="G6" s="209"/>
    </row>
    <row r="7" spans="1:9" s="204" customFormat="1" ht="13.5" customHeight="1">
      <c r="A7" s="730" t="s">
        <v>1474</v>
      </c>
      <c r="B7" s="205" t="s">
        <v>1475</v>
      </c>
      <c r="C7" s="210">
        <f>ROUND(C6*F7,0)</f>
        <v>41</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25</v>
      </c>
      <c r="D8" s="212"/>
      <c r="E8" s="210"/>
      <c r="F8" s="211"/>
      <c r="G8" s="1711" t="s">
        <v>3499</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160</v>
      </c>
      <c r="F9" s="211"/>
      <c r="G9" s="1712" t="s">
        <v>3500</v>
      </c>
      <c r="H9" s="1068"/>
      <c r="I9" s="1713" t="s">
        <v>1479</v>
      </c>
    </row>
    <row r="10" spans="1:9" s="204" customFormat="1" ht="13.5" customHeight="1">
      <c r="A10" s="731" t="s">
        <v>356</v>
      </c>
      <c r="B10" s="214" t="s">
        <v>1480</v>
      </c>
      <c r="C10" s="215">
        <f ca="1">ROUND(D10*E10/10000,0)</f>
        <v>25</v>
      </c>
      <c r="D10" s="793">
        <f ca="1">IF(B1="",'数据-汇总表'!E6,IF(INDIRECT("'数据-取费表'!c"&amp;$G$1)="住宅",INDIRECT("'数据-取费表'!s"&amp;$G$1),INDIRECT("'数据-取费表'!k"&amp;$G$1)+INDIRECT("'数据-取费表'!s"&amp;$G$1)))</f>
        <v>1232.79</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1232.79</v>
      </c>
      <c r="E19" s="201">
        <f>'数据-取费表'!B31</f>
        <v>200</v>
      </c>
      <c r="F19" s="221"/>
      <c r="G19" s="1711" t="s">
        <v>3501</v>
      </c>
    </row>
    <row r="20" spans="1:7" s="204" customFormat="1" ht="13.5" customHeight="1">
      <c r="A20" s="245" t="s">
        <v>1493</v>
      </c>
      <c r="B20" s="200" t="s">
        <v>1494</v>
      </c>
      <c r="C20" s="222">
        <f ca="1">ROUND((C5+C19)*F20,0)</f>
        <v>70</v>
      </c>
      <c r="D20" s="222"/>
      <c r="E20" s="222"/>
      <c r="F20" s="223">
        <f>'数据-取费表'!B37</f>
        <v>0.05</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9">
        <f ca="1">ROUND(SUM(C23:C25),0)</f>
        <v>138</v>
      </c>
      <c r="D22" s="225">
        <f ca="1">C26</f>
        <v>1.4E-3</v>
      </c>
      <c r="E22" s="226" t="s">
        <v>1498</v>
      </c>
      <c r="F22" s="227">
        <f ca="1">'数据-取费表'!B40</f>
        <v>3.1E-2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135</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3</v>
      </c>
      <c r="D25" s="228"/>
      <c r="E25" s="231"/>
      <c r="F25" s="229"/>
      <c r="G25" s="232" t="s">
        <v>1510</v>
      </c>
    </row>
    <row r="26" spans="1:7" s="204" customFormat="1">
      <c r="A26" s="732" t="s">
        <v>350</v>
      </c>
      <c r="B26" s="205" t="s">
        <v>1511</v>
      </c>
      <c r="C26" s="228">
        <f ca="1">ROUND(IF('数据-取费表'!B22&lt;=1,F21*F22*'数据-取费表'!B23/2,F21*(POWER((1+F22),'数据-取费表'!B23/2)-1)),4)</f>
        <v>1.4E-3</v>
      </c>
      <c r="D26" s="228"/>
      <c r="E26" s="231"/>
      <c r="F26" s="229"/>
      <c r="G26" s="233"/>
    </row>
    <row r="27" spans="1:7" s="204" customFormat="1" ht="26.4">
      <c r="A27" s="245" t="s">
        <v>1512</v>
      </c>
      <c r="B27" s="234" t="s">
        <v>1513</v>
      </c>
      <c r="C27" s="235">
        <f ca="1">C28</f>
        <v>296</v>
      </c>
      <c r="D27" s="225">
        <f ca="1">C29</f>
        <v>6.0000000000000001E-3</v>
      </c>
      <c r="E27" s="226" t="s">
        <v>1514</v>
      </c>
      <c r="F27" s="236">
        <f ca="1">IF(B1="",'数据-取费表'!Q16,INDIRECT("'数据-取费表'!q"&amp;$G$1))</f>
        <v>0.2</v>
      </c>
      <c r="G27" s="237" t="s">
        <v>1515</v>
      </c>
    </row>
    <row r="28" spans="1:7" s="204" customFormat="1" ht="13.5" customHeight="1">
      <c r="A28" s="732" t="s">
        <v>346</v>
      </c>
      <c r="B28" s="238" t="s">
        <v>1516</v>
      </c>
      <c r="C28" s="239">
        <f ca="1">ROUND((C5+C19+C20)*F27*'数据-取费表'!B21/'数据-取费表'!B20,0)</f>
        <v>296</v>
      </c>
      <c r="D28" s="225"/>
      <c r="E28" s="226"/>
      <c r="F28" s="236"/>
      <c r="G28" s="237"/>
    </row>
    <row r="29" spans="1:7" s="204" customFormat="1" ht="13.5" customHeight="1">
      <c r="A29" s="732" t="s">
        <v>347</v>
      </c>
      <c r="B29" s="238" t="s">
        <v>1517</v>
      </c>
      <c r="C29" s="228">
        <f ca="1">ROUND(C21*F27*'数据-取费表'!B21/'数据-取费表'!B20,4)</f>
        <v>6.0000000000000001E-3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2102</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1357</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1233</v>
      </c>
      <c r="D34" s="207"/>
      <c r="E34" s="210"/>
      <c r="F34" s="247">
        <f ca="1">IF('数据-取费表'!B24=0,1,IF(B1="",'数据-取费表'!N16,INDIRECT("'数据-取费表'!n"&amp;$G$1)))</f>
        <v>1</v>
      </c>
      <c r="G34" s="209" t="s">
        <v>1526</v>
      </c>
    </row>
    <row r="35" spans="1:7" ht="13.5" customHeight="1">
      <c r="A35" s="732" t="s">
        <v>351</v>
      </c>
      <c r="B35" s="205" t="s">
        <v>1527</v>
      </c>
      <c r="C35" s="210">
        <f ca="1">ROUND(C34*F35,0)</f>
        <v>62</v>
      </c>
      <c r="D35" s="210"/>
      <c r="E35" s="210"/>
      <c r="F35" s="249">
        <f>'数据-取费表'!B33</f>
        <v>0.05</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25</v>
      </c>
      <c r="D37" s="207">
        <f ca="1">D19</f>
        <v>1232.79</v>
      </c>
      <c r="E37" s="239">
        <f>'数据-取费表'!B35</f>
        <v>200</v>
      </c>
      <c r="F37" s="249"/>
      <c r="G37" s="251" t="s">
        <v>1532</v>
      </c>
    </row>
    <row r="38" spans="1:7" ht="13.5" customHeight="1">
      <c r="A38" s="732" t="s">
        <v>354</v>
      </c>
      <c r="B38" s="205" t="s">
        <v>1533</v>
      </c>
      <c r="C38" s="210">
        <f ca="1">ROUND(C34*F38,0)</f>
        <v>37</v>
      </c>
      <c r="D38" s="210"/>
      <c r="E38" s="210"/>
      <c r="F38" s="249">
        <f>'数据-取费表'!B36</f>
        <v>0.03</v>
      </c>
      <c r="G38" s="209" t="s">
        <v>1528</v>
      </c>
    </row>
    <row r="39" spans="1:7" s="204" customFormat="1" ht="13.5" customHeight="1">
      <c r="A39" s="245" t="s">
        <v>1534</v>
      </c>
      <c r="B39" s="200" t="s">
        <v>1535</v>
      </c>
      <c r="C39" s="222">
        <f ca="1">ROUND(C33*F20,0)</f>
        <v>68</v>
      </c>
      <c r="D39" s="222"/>
      <c r="E39" s="222"/>
      <c r="F39" s="223">
        <f>F20</f>
        <v>0.05</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67</v>
      </c>
      <c r="D41" s="225">
        <f ca="1">C44</f>
        <v>1.4E-3</v>
      </c>
      <c r="E41" s="226" t="s">
        <v>1539</v>
      </c>
      <c r="F41" s="227">
        <f ca="1">F22</f>
        <v>3.1E-2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64</v>
      </c>
      <c r="D42" s="228"/>
      <c r="E42" s="228"/>
      <c r="F42" s="229"/>
      <c r="G42" s="3401" t="s">
        <v>1544</v>
      </c>
    </row>
    <row r="43" spans="1:7" ht="13.5" customHeight="1">
      <c r="A43" s="732" t="s">
        <v>347</v>
      </c>
      <c r="B43" s="205" t="s">
        <v>1545</v>
      </c>
      <c r="C43" s="228">
        <f ca="1">ROUND(IF('数据-取费表'!B22&lt;=1,C39*F22*'数据-取费表'!B21/2,C39*(POWER((1+F22),'数据-取费表'!B21/2)-1)),0)</f>
        <v>3</v>
      </c>
      <c r="D43" s="228"/>
      <c r="E43" s="228"/>
      <c r="F43" s="229"/>
      <c r="G43" s="3402"/>
    </row>
    <row r="44" spans="1:7" ht="13.5" customHeight="1">
      <c r="A44" s="732" t="s">
        <v>348</v>
      </c>
      <c r="B44" s="205" t="s">
        <v>1546</v>
      </c>
      <c r="C44" s="228">
        <f ca="1">ROUND(IF('数据-取费表'!B22&lt;=1,C40*F22*'数据-取费表'!B21/2,C40*(POWER((1+F22),'数据-取费表'!B21/2)-1)),4)</f>
        <v>1.4E-3</v>
      </c>
      <c r="D44" s="228"/>
      <c r="E44" s="228"/>
      <c r="F44" s="229"/>
      <c r="G44" s="3403"/>
    </row>
    <row r="45" spans="1:7" s="204" customFormat="1" ht="13.5" customHeight="1">
      <c r="A45" s="245" t="s">
        <v>1547</v>
      </c>
      <c r="B45" s="234" t="s">
        <v>1513</v>
      </c>
      <c r="C45" s="235">
        <f ca="1">C46</f>
        <v>285</v>
      </c>
      <c r="D45" s="225">
        <f ca="1">C47</f>
        <v>6.0000000000000001E-3</v>
      </c>
      <c r="E45" s="226" t="s">
        <v>1539</v>
      </c>
      <c r="F45" s="236">
        <f ca="1">F27</f>
        <v>0.2</v>
      </c>
      <c r="G45" s="237" t="s">
        <v>1548</v>
      </c>
    </row>
    <row r="46" spans="1:7" s="204" customFormat="1" ht="13.5" customHeight="1">
      <c r="A46" s="732" t="s">
        <v>346</v>
      </c>
      <c r="B46" s="238" t="s">
        <v>1549</v>
      </c>
      <c r="C46" s="239">
        <f ca="1">ROUND((C33+C39)*F27,0)</f>
        <v>285</v>
      </c>
      <c r="D46" s="253"/>
      <c r="E46" s="226"/>
      <c r="F46" s="236"/>
      <c r="G46" s="237"/>
    </row>
    <row r="47" spans="1:7" s="204" customFormat="1" ht="13.5" customHeight="1">
      <c r="A47" s="732" t="s">
        <v>347</v>
      </c>
      <c r="B47" s="238" t="s">
        <v>1550</v>
      </c>
      <c r="C47" s="228">
        <f ca="1">ROUND(C40*F27,4)</f>
        <v>6.0000000000000001E-3</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1952</v>
      </c>
      <c r="D49" s="222"/>
      <c r="E49" s="222"/>
      <c r="F49" s="254"/>
      <c r="G49" s="224" t="s">
        <v>1554</v>
      </c>
    </row>
    <row r="50" spans="1:7" s="248" customFormat="1" ht="24">
      <c r="A50" s="245" t="s">
        <v>1555</v>
      </c>
      <c r="B50" s="200" t="s">
        <v>1556</v>
      </c>
      <c r="C50" s="222"/>
      <c r="D50" s="222"/>
      <c r="E50" s="222"/>
      <c r="F50" s="254">
        <f>IF('数据-取费表'!B24=0,'数据-取费表'!N16,1)</f>
        <v>0.9</v>
      </c>
      <c r="G50" s="237" t="s">
        <v>1557</v>
      </c>
    </row>
    <row r="51" spans="1:7" ht="16.5" customHeight="1">
      <c r="A51" s="245" t="s">
        <v>1558</v>
      </c>
      <c r="B51" s="200" t="s">
        <v>1559</v>
      </c>
      <c r="C51" s="222">
        <f ca="1">ROUND(C49*F50,0)</f>
        <v>1757</v>
      </c>
      <c r="D51" s="222"/>
      <c r="E51" s="222"/>
      <c r="F51" s="254"/>
      <c r="G51" s="224" t="s">
        <v>1560</v>
      </c>
    </row>
    <row r="52" spans="1:7" s="198" customFormat="1" ht="16.8" thickBot="1">
      <c r="A52" s="255" t="s">
        <v>1561</v>
      </c>
      <c r="B52" s="256"/>
      <c r="C52" s="257">
        <f ca="1">C31+C51</f>
        <v>3859</v>
      </c>
      <c r="D52" s="256"/>
      <c r="E52" s="256"/>
      <c r="F52" s="256"/>
      <c r="G52" s="258"/>
    </row>
    <row r="55" spans="1:7" ht="15">
      <c r="B55" s="260" t="s">
        <v>1562</v>
      </c>
      <c r="C55" s="261"/>
    </row>
    <row r="56" spans="1:7">
      <c r="B56" s="263" t="s">
        <v>802</v>
      </c>
      <c r="C56" s="265">
        <f ca="1">1-C57</f>
        <v>0.54499999999999993</v>
      </c>
    </row>
    <row r="57" spans="1:7">
      <c r="B57" s="263" t="s">
        <v>803</v>
      </c>
      <c r="C57" s="264">
        <f ca="1">ROUND(C51/C52,3)</f>
        <v>0.45500000000000002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1"/>
      <c r="C1" s="1714" t="s">
        <v>1563</v>
      </c>
      <c r="D1" s="188"/>
      <c r="E1" s="188"/>
      <c r="F1" s="188"/>
      <c r="G1" s="1060">
        <f>MATCH(B1,'数据-取费表'!A6:A16,0)+5</f>
        <v>7</v>
      </c>
      <c r="H1" s="996" t="str">
        <f>IF(ISERROR(FIND("住宅",B1)),"非住宅","住宅")</f>
        <v>非住宅</v>
      </c>
    </row>
    <row r="2" spans="1:8" s="190" customFormat="1" ht="18" customHeight="1">
      <c r="A2" s="191" t="s">
        <v>1462</v>
      </c>
      <c r="B2" s="3120">
        <f ca="1">ROUND(IF(D2="——",C52/10000,C52/10000-E2),4)</f>
        <v>1829.0579</v>
      </c>
      <c r="C2" s="189" t="s">
        <v>1463</v>
      </c>
      <c r="D2" s="1708" t="s">
        <v>43</v>
      </c>
      <c r="E2" s="1087"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14837</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246558</v>
      </c>
      <c r="D5" s="201" t="s">
        <v>1469</v>
      </c>
      <c r="E5" s="202" t="s">
        <v>1470</v>
      </c>
      <c r="F5" s="202" t="s">
        <v>1471</v>
      </c>
      <c r="G5" s="203"/>
    </row>
    <row r="6" spans="1:8" s="204" customFormat="1" ht="13.5" customHeight="1">
      <c r="A6" s="730" t="s">
        <v>1472</v>
      </c>
      <c r="B6" s="205" t="s">
        <v>1473</v>
      </c>
      <c r="C6" s="206"/>
      <c r="D6" s="207"/>
      <c r="E6" s="208"/>
      <c r="F6" s="208"/>
      <c r="G6" s="209"/>
    </row>
    <row r="7" spans="1:8" s="204" customFormat="1" ht="13.5" customHeight="1">
      <c r="A7" s="730" t="s">
        <v>1474</v>
      </c>
      <c r="B7" s="205" t="s">
        <v>1475</v>
      </c>
      <c r="C7" s="210">
        <f>ROUND(C6*F7,0)</f>
        <v>0</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246558</v>
      </c>
      <c r="D8" s="212"/>
      <c r="E8" s="210"/>
      <c r="F8" s="211"/>
      <c r="G8" s="1711"/>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160</v>
      </c>
      <c r="F9" s="211"/>
      <c r="G9" s="216"/>
    </row>
    <row r="10" spans="1:8" s="204" customFormat="1" ht="13.5" customHeight="1">
      <c r="A10" s="731" t="s">
        <v>356</v>
      </c>
      <c r="B10" s="214" t="s">
        <v>1480</v>
      </c>
      <c r="C10" s="215">
        <f ca="1">ROUND(D10*E10,0)</f>
        <v>246558</v>
      </c>
      <c r="D10" s="793">
        <f ca="1">IF(B1="",'数据-汇总表'!E6,IF(INDIRECT("'数据-取费表'!c"&amp;$G$1)="住宅",INDIRECT("'数据-取费表'!s"&amp;$G$1),INDIRECT("'数据-取费表'!k"&amp;$G$1)+INDIRECT("'数据-取费表'!s"&amp;$G$1)))</f>
        <v>1232.79</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246558</v>
      </c>
      <c r="D19" s="202">
        <f ca="1">D9+D10</f>
        <v>1232.79</v>
      </c>
      <c r="E19" s="201">
        <f>'数据-取费表'!B31</f>
        <v>200</v>
      </c>
      <c r="F19" s="221"/>
      <c r="G19" s="1711"/>
    </row>
    <row r="20" spans="1:7" s="204" customFormat="1" ht="13.5" customHeight="1">
      <c r="A20" s="245" t="s">
        <v>1574</v>
      </c>
      <c r="B20" s="200" t="s">
        <v>1575</v>
      </c>
      <c r="C20" s="222">
        <f ca="1">ROUND((C5+C19)*F20,0)</f>
        <v>24656</v>
      </c>
      <c r="D20" s="222"/>
      <c r="E20" s="222"/>
      <c r="F20" s="223">
        <f>'数据-取费表'!B37</f>
        <v>0.05</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48451</v>
      </c>
      <c r="D22" s="225">
        <f ca="1">C26</f>
        <v>1.4E-3</v>
      </c>
      <c r="E22" s="226" t="s">
        <v>1579</v>
      </c>
      <c r="F22" s="227">
        <f ca="1">'数据-取费表'!B40</f>
        <v>3.1E-2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23648</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23648</v>
      </c>
      <c r="D24" s="228"/>
      <c r="E24" s="228"/>
      <c r="F24" s="229"/>
      <c r="G24" s="230" t="s">
        <v>1586</v>
      </c>
    </row>
    <row r="25" spans="1:7" s="204" customFormat="1" ht="24">
      <c r="A25" s="732" t="s">
        <v>1476</v>
      </c>
      <c r="B25" s="205" t="s">
        <v>1587</v>
      </c>
      <c r="C25" s="228">
        <f ca="1">ROUND(IF('数据-取费表'!B22&lt;=1,C20*F22*'数据-取费表'!B22/2,C20*(POWER((1+F22),'数据-取费表'!B22/2)-1)),0)</f>
        <v>1155</v>
      </c>
      <c r="D25" s="228"/>
      <c r="E25" s="231"/>
      <c r="F25" s="229"/>
      <c r="G25" s="232" t="s">
        <v>1588</v>
      </c>
    </row>
    <row r="26" spans="1:7" s="204" customFormat="1">
      <c r="A26" s="732" t="s">
        <v>350</v>
      </c>
      <c r="B26" s="205" t="s">
        <v>1511</v>
      </c>
      <c r="C26" s="228">
        <f ca="1">ROUND(IF('数据-取费表'!B22&lt;=1,F21*F22*'数据-取费表'!B22/2,F21*(POWER((1+F22),'数据-取费表'!B22/2)-1)),4)</f>
        <v>1.4E-3</v>
      </c>
      <c r="D26" s="228"/>
      <c r="E26" s="231"/>
      <c r="F26" s="229"/>
      <c r="G26" s="233"/>
    </row>
    <row r="27" spans="1:7" s="204" customFormat="1" ht="26.4">
      <c r="A27" s="245" t="s">
        <v>1512</v>
      </c>
      <c r="B27" s="234" t="s">
        <v>1513</v>
      </c>
      <c r="C27" s="235">
        <f ca="1">C28</f>
        <v>103554</v>
      </c>
      <c r="D27" s="225">
        <f ca="1">C29</f>
        <v>6.0000000000000001E-3</v>
      </c>
      <c r="E27" s="226" t="s">
        <v>1514</v>
      </c>
      <c r="F27" s="236">
        <f ca="1">IF(B1="",'数据-取费表'!Q16,INDIRECT("'数据-取费表'!q"&amp;$G$1))</f>
        <v>0.2</v>
      </c>
      <c r="G27" s="237" t="s">
        <v>1515</v>
      </c>
    </row>
    <row r="28" spans="1:7" s="204" customFormat="1" ht="13.5" customHeight="1">
      <c r="A28" s="732" t="s">
        <v>346</v>
      </c>
      <c r="B28" s="238" t="s">
        <v>1516</v>
      </c>
      <c r="C28" s="239">
        <f ca="1">ROUND((C5+C19+C20)*F27,0)</f>
        <v>103554</v>
      </c>
      <c r="D28" s="225"/>
      <c r="E28" s="226"/>
      <c r="F28" s="236"/>
      <c r="G28" s="237"/>
    </row>
    <row r="29" spans="1:7" s="204" customFormat="1" ht="13.5" customHeight="1">
      <c r="A29" s="732" t="s">
        <v>347</v>
      </c>
      <c r="B29" s="238" t="s">
        <v>1517</v>
      </c>
      <c r="C29" s="228">
        <f ca="1">ROUND(C21*F27,4)</f>
        <v>6.0000000000000001E-3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735857</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13560690</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12327900</v>
      </c>
      <c r="D34" s="207"/>
      <c r="E34" s="210"/>
      <c r="F34" s="247"/>
      <c r="G34" s="209"/>
    </row>
    <row r="35" spans="1:7" ht="13.5" customHeight="1">
      <c r="A35" s="732" t="s">
        <v>351</v>
      </c>
      <c r="B35" s="205" t="s">
        <v>1527</v>
      </c>
      <c r="C35" s="210">
        <f ca="1">ROUND(C34*F35,0)</f>
        <v>616395</v>
      </c>
      <c r="D35" s="210"/>
      <c r="E35" s="210"/>
      <c r="F35" s="249">
        <f>'数据-取费表'!B33</f>
        <v>0.05</v>
      </c>
      <c r="G35" s="209" t="s">
        <v>1528</v>
      </c>
    </row>
    <row r="36" spans="1:7" ht="24">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246558</v>
      </c>
      <c r="D37" s="207">
        <f ca="1">D19</f>
        <v>1232.79</v>
      </c>
      <c r="E37" s="239">
        <f>'数据-取费表'!B35</f>
        <v>200</v>
      </c>
      <c r="F37" s="249"/>
      <c r="G37" s="251"/>
    </row>
    <row r="38" spans="1:7" ht="13.5" customHeight="1">
      <c r="A38" s="732" t="s">
        <v>354</v>
      </c>
      <c r="B38" s="205" t="s">
        <v>1533</v>
      </c>
      <c r="C38" s="210">
        <f ca="1">ROUND(C34*F38,0)</f>
        <v>369837</v>
      </c>
      <c r="D38" s="210"/>
      <c r="E38" s="210"/>
      <c r="F38" s="249">
        <f>'数据-取费表'!B36</f>
        <v>0.03</v>
      </c>
      <c r="G38" s="209" t="s">
        <v>1528</v>
      </c>
    </row>
    <row r="39" spans="1:7" s="204" customFormat="1" ht="13.5" customHeight="1">
      <c r="A39" s="245" t="s">
        <v>1534</v>
      </c>
      <c r="B39" s="200" t="s">
        <v>1535</v>
      </c>
      <c r="C39" s="222">
        <f ca="1">ROUND(C33*F20,0)</f>
        <v>678035</v>
      </c>
      <c r="D39" s="222"/>
      <c r="E39" s="222"/>
      <c r="F39" s="223">
        <f>F20</f>
        <v>0.05</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667206</v>
      </c>
      <c r="D41" s="225">
        <f ca="1">C44</f>
        <v>1.4E-3</v>
      </c>
      <c r="E41" s="226" t="s">
        <v>1539</v>
      </c>
      <c r="F41" s="227">
        <f ca="1">F22</f>
        <v>3.1E-2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635434</v>
      </c>
      <c r="D42" s="228"/>
      <c r="E42" s="228"/>
      <c r="F42" s="229"/>
      <c r="G42" s="3401" t="s">
        <v>1591</v>
      </c>
    </row>
    <row r="43" spans="1:7" ht="13.5" customHeight="1">
      <c r="A43" s="732" t="s">
        <v>347</v>
      </c>
      <c r="B43" s="205" t="s">
        <v>1545</v>
      </c>
      <c r="C43" s="228">
        <f ca="1">ROUND(IF('数据-取费表'!B22&lt;=1,C39*F22*'数据-取费表'!B20/2,C39*(POWER((1+F22),'数据-取费表'!B20/2)-1)),0)</f>
        <v>31772</v>
      </c>
      <c r="D43" s="228"/>
      <c r="E43" s="228"/>
      <c r="F43" s="229"/>
      <c r="G43" s="3402"/>
    </row>
    <row r="44" spans="1:7" ht="13.5" customHeight="1">
      <c r="A44" s="732" t="s">
        <v>348</v>
      </c>
      <c r="B44" s="205" t="s">
        <v>1546</v>
      </c>
      <c r="C44" s="228">
        <f ca="1">ROUND(IF('数据-取费表'!B22&lt;=1,C40*F22*'数据-取费表'!B20/2,C40*(POWER((1+F22),'数据-取费表'!B20/2)-1)),4)</f>
        <v>1.4E-3</v>
      </c>
      <c r="D44" s="228"/>
      <c r="E44" s="228"/>
      <c r="F44" s="229"/>
      <c r="G44" s="3403"/>
    </row>
    <row r="45" spans="1:7" s="204" customFormat="1" ht="13.5" customHeight="1">
      <c r="A45" s="245" t="s">
        <v>1547</v>
      </c>
      <c r="B45" s="234" t="s">
        <v>1513</v>
      </c>
      <c r="C45" s="235">
        <f ca="1">C46</f>
        <v>2847745</v>
      </c>
      <c r="D45" s="225">
        <f ca="1">C47</f>
        <v>6.0000000000000001E-3</v>
      </c>
      <c r="E45" s="226" t="s">
        <v>1539</v>
      </c>
      <c r="F45" s="236">
        <f ca="1">F27</f>
        <v>0.2</v>
      </c>
      <c r="G45" s="237" t="s">
        <v>1548</v>
      </c>
    </row>
    <row r="46" spans="1:7" s="204" customFormat="1" ht="13.5" customHeight="1">
      <c r="A46" s="732" t="s">
        <v>346</v>
      </c>
      <c r="B46" s="238" t="s">
        <v>1549</v>
      </c>
      <c r="C46" s="239">
        <f ca="1">ROUND((C33+C39)*F27,0)</f>
        <v>2847745</v>
      </c>
      <c r="D46" s="253"/>
      <c r="E46" s="226"/>
      <c r="F46" s="236"/>
      <c r="G46" s="237"/>
    </row>
    <row r="47" spans="1:7" s="204" customFormat="1" ht="13.5" customHeight="1">
      <c r="A47" s="732" t="s">
        <v>347</v>
      </c>
      <c r="B47" s="238" t="s">
        <v>1550</v>
      </c>
      <c r="C47" s="228">
        <f ca="1">ROUND(C40*F27,4)</f>
        <v>6.0000000000000001E-3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19505247</v>
      </c>
      <c r="D49" s="222"/>
      <c r="E49" s="222"/>
      <c r="F49" s="254"/>
      <c r="G49" s="224" t="s">
        <v>1554</v>
      </c>
    </row>
    <row r="50" spans="1:7" s="248" customFormat="1">
      <c r="A50" s="245" t="s">
        <v>1555</v>
      </c>
      <c r="B50" s="200" t="s">
        <v>1556</v>
      </c>
      <c r="C50" s="222"/>
      <c r="D50" s="222"/>
      <c r="E50" s="222"/>
      <c r="F50" s="254">
        <f>IF('数据-取费表'!B24=0,'数据-取费表'!N16,1)</f>
        <v>0.9</v>
      </c>
      <c r="G50" s="237"/>
    </row>
    <row r="51" spans="1:7" ht="16.5" customHeight="1">
      <c r="A51" s="245" t="s">
        <v>1558</v>
      </c>
      <c r="B51" s="200" t="s">
        <v>1593</v>
      </c>
      <c r="C51" s="222">
        <f ca="1">ROUND(C49*F50,0)</f>
        <v>17554722</v>
      </c>
      <c r="D51" s="222"/>
      <c r="E51" s="222"/>
      <c r="F51" s="254"/>
      <c r="G51" s="224" t="s">
        <v>1560</v>
      </c>
    </row>
    <row r="52" spans="1:7" s="198" customFormat="1" ht="16.8" thickBot="1">
      <c r="A52" s="255" t="s">
        <v>1561</v>
      </c>
      <c r="B52" s="256"/>
      <c r="C52" s="257">
        <f ca="1">C31+C51</f>
        <v>18290579</v>
      </c>
      <c r="D52" s="256"/>
      <c r="E52" s="256"/>
      <c r="F52" s="256"/>
      <c r="G52" s="258"/>
    </row>
    <row r="55" spans="1:7" ht="15">
      <c r="B55" s="260" t="s">
        <v>1562</v>
      </c>
      <c r="C55" s="261"/>
    </row>
    <row r="56" spans="1:7">
      <c r="B56" s="263" t="s">
        <v>802</v>
      </c>
      <c r="C56" s="265">
        <f ca="1">1-C57</f>
        <v>4.0000000000000036E-2</v>
      </c>
    </row>
    <row r="57" spans="1:7">
      <c r="B57" s="263" t="s">
        <v>803</v>
      </c>
      <c r="C57" s="264">
        <f ca="1">ROUND(C51/C52,3)</f>
        <v>0.96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7"/>
      <c r="D1" s="1106"/>
      <c r="E1" s="2565"/>
      <c r="F1" s="2565"/>
      <c r="G1" s="2446"/>
      <c r="H1" s="2565"/>
      <c r="I1" s="2565"/>
      <c r="J1" s="2565"/>
      <c r="K1" s="2566">
        <f>MATCH(C1,'数据-取费表'!A6:A16,0)+5</f>
        <v>7</v>
      </c>
    </row>
    <row r="2" spans="1:33" ht="18" customHeight="1">
      <c r="A2" s="191" t="s">
        <v>1462</v>
      </c>
      <c r="B2" s="194">
        <f ca="1">C32</f>
        <v>0</v>
      </c>
      <c r="C2" s="266" t="s">
        <v>1595</v>
      </c>
      <c r="D2" s="266"/>
      <c r="E2" s="2565"/>
      <c r="F2" s="2565"/>
      <c r="G2" s="2565"/>
      <c r="H2" s="2565"/>
      <c r="I2" s="2565"/>
      <c r="J2" s="2565"/>
      <c r="K2" s="2565"/>
    </row>
    <row r="3" spans="1:33" ht="18" customHeight="1" thickBot="1">
      <c r="A3" s="193" t="s">
        <v>1464</v>
      </c>
      <c r="B3" s="194">
        <f ca="1">ROUND(B2*10000/IF(C1="",'数据-汇总表'!E3,INDIRECT("'数据-取费表'!K"&amp;$K$1)),0)</f>
        <v>0</v>
      </c>
      <c r="C3" s="266" t="s">
        <v>1596</v>
      </c>
      <c r="D3" s="266"/>
      <c r="E3" s="2565"/>
      <c r="F3" s="2565"/>
      <c r="G3" s="2565"/>
      <c r="H3" s="2565"/>
      <c r="I3" s="2565"/>
      <c r="J3" s="2565"/>
      <c r="K3" s="2565"/>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1232.79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0.03</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1232.79</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5"/>
      <c r="I19" s="759"/>
      <c r="J19" s="759"/>
      <c r="K19" s="760"/>
    </row>
    <row r="20" spans="1:33" s="753" customFormat="1" ht="13.5" customHeight="1">
      <c r="A20" s="750" t="s">
        <v>361</v>
      </c>
      <c r="B20" s="751" t="s">
        <v>1627</v>
      </c>
      <c r="C20" s="21">
        <f ca="1">ROUND(D20*E20/10000,0)</f>
        <v>25</v>
      </c>
      <c r="D20" s="794">
        <f ca="1">IF(C1="",'数据-汇总表'!E6,IF(INDIRECT("'数据-取费表'!c"&amp;$K$1)="住宅",INDIRECT("'数据-取费表'!s"&amp;$K$1),INDIRECT("'数据-取费表'!k"&amp;$K$1)+INDIRECT("'数据-取费表'!s"&amp;$K$1)))</f>
        <v>1232.79</v>
      </c>
      <c r="E20" s="21">
        <f>'数据-取费表'!B28</f>
        <v>200</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0.05</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0.03</v>
      </c>
      <c r="G23" s="5" t="s">
        <v>1633</v>
      </c>
      <c r="H23" s="747"/>
      <c r="I23" s="747"/>
      <c r="J23" s="747"/>
      <c r="K23" s="748"/>
    </row>
    <row r="24" spans="1:33" s="753" customFormat="1" ht="13.5" customHeight="1">
      <c r="A24" s="742" t="s">
        <v>1634</v>
      </c>
      <c r="B24" s="763" t="s">
        <v>1635</v>
      </c>
      <c r="C24" s="270">
        <f>ROUND(F24/(1+'数据-取费表'!C42),4)</f>
        <v>2.9000000000000001E-2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0</v>
      </c>
      <c r="D28" s="270">
        <f ca="1">C29</f>
        <v>0</v>
      </c>
      <c r="E28" s="272" t="s">
        <v>12</v>
      </c>
      <c r="F28" s="278">
        <f ca="1">IF(C1="",'数据-取费表'!Q16,INDIRECT("'数据-取费表'!q"&amp;$K$1))</f>
        <v>0.2</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7" zoomScale="70" zoomScaleNormal="70" zoomScaleSheetLayoutView="70" workbookViewId="0">
      <selection activeCell="F7" sqref="F7"/>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t="s">
        <v>3480</v>
      </c>
      <c r="D1" s="1268" t="s">
        <v>43</v>
      </c>
      <c r="E1" s="1269" t="s">
        <v>678</v>
      </c>
      <c r="F1" s="997">
        <f ca="1">J53</f>
        <v>35.17</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1166</v>
      </c>
      <c r="C2" s="1286" t="s">
        <v>805</v>
      </c>
      <c r="D2" s="1286"/>
      <c r="E2" s="1292"/>
      <c r="F2" s="1293"/>
      <c r="G2" s="2476"/>
      <c r="H2" s="2466"/>
      <c r="I2" s="2466"/>
      <c r="J2" s="2466"/>
      <c r="K2" s="2467"/>
      <c r="L2" s="2466"/>
      <c r="M2" s="2466"/>
    </row>
    <row r="3" spans="1:37" ht="18" customHeight="1" thickBot="1">
      <c r="A3" s="1294" t="s">
        <v>806</v>
      </c>
      <c r="B3" s="1295">
        <f ca="1">IF(ISERROR(B2*10000/F43),0,ROUND(B2*10000/F43,0))</f>
        <v>9458</v>
      </c>
      <c r="C3" s="1286" t="s">
        <v>807</v>
      </c>
      <c r="D3" s="1286"/>
      <c r="E3" s="1292"/>
      <c r="F3" s="1293"/>
      <c r="G3" s="2476"/>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90.11</v>
      </c>
      <c r="D5" s="1270" t="s">
        <v>693</v>
      </c>
      <c r="E5" s="1006"/>
      <c r="F5" s="1007"/>
      <c r="G5" s="1289"/>
      <c r="H5" s="289">
        <v>1</v>
      </c>
      <c r="I5" s="290" t="s">
        <v>692</v>
      </c>
      <c r="J5" s="1005">
        <f ca="1">J6+J10+J12</f>
        <v>0</v>
      </c>
      <c r="K5" s="1270" t="s">
        <v>693</v>
      </c>
      <c r="L5" s="1006"/>
      <c r="M5" s="1007"/>
    </row>
    <row r="6" spans="1:37" ht="18" customHeight="1">
      <c r="A6" s="1004" t="s">
        <v>398</v>
      </c>
      <c r="B6" s="3406" t="s">
        <v>694</v>
      </c>
      <c r="C6" s="1009">
        <f ca="1">ROUND(F6*F8*F7*(1-F9)/10000,0)</f>
        <v>90</v>
      </c>
      <c r="D6" s="145" t="s">
        <v>2106</v>
      </c>
      <c r="E6" s="292" t="s">
        <v>696</v>
      </c>
      <c r="F6" s="293">
        <f ca="1">INDIRECT("'数据-取费表'!u"&amp;$G$1)</f>
        <v>2.5</v>
      </c>
      <c r="G6" s="1289"/>
      <c r="H6" s="1004" t="s">
        <v>398</v>
      </c>
      <c r="I6" s="3406" t="s">
        <v>694</v>
      </c>
      <c r="J6" s="291">
        <f ca="1">ROUND(M6*M8*M7*(1-M9)/10000,0)</f>
        <v>0</v>
      </c>
      <c r="K6" s="145" t="s">
        <v>2105</v>
      </c>
      <c r="L6" s="292" t="s">
        <v>696</v>
      </c>
      <c r="M6" s="293">
        <f ca="1">INDIRECT("'数据-取费表'!z"&amp;$G$1)</f>
        <v>0</v>
      </c>
    </row>
    <row r="7" spans="1:37" ht="18" customHeight="1">
      <c r="A7" s="1008"/>
      <c r="B7" s="3407"/>
      <c r="C7" s="1010"/>
      <c r="D7" s="297"/>
      <c r="E7" s="1011" t="s">
        <v>697</v>
      </c>
      <c r="F7" s="293">
        <f ca="1">IF(INDIRECT("'数据-取费表'!ah"&amp;$G$1)="",INDIRECT("'数据-取费表'!k"&amp;$G$1),INDIRECT("'数据-取费表'!ah"&amp;$G$1))</f>
        <v>1232.79</v>
      </c>
      <c r="G7" s="1289"/>
      <c r="H7" s="294"/>
      <c r="I7" s="3407"/>
      <c r="J7" s="296"/>
      <c r="K7" s="297"/>
      <c r="L7" s="292" t="s">
        <v>697</v>
      </c>
      <c r="M7" s="293">
        <f ca="1">F7</f>
        <v>1232.79</v>
      </c>
    </row>
    <row r="8" spans="1:37" ht="18" customHeight="1">
      <c r="A8" s="294"/>
      <c r="B8" s="3407"/>
      <c r="C8" s="296"/>
      <c r="D8" s="297"/>
      <c r="E8" s="292" t="s">
        <v>698</v>
      </c>
      <c r="F8" s="293">
        <f ca="1">INDIRECT("'数据-取费表'!ai"&amp;$G$1)</f>
        <v>365</v>
      </c>
      <c r="G8" s="1289"/>
      <c r="H8" s="294"/>
      <c r="I8" s="3407"/>
      <c r="J8" s="296"/>
      <c r="K8" s="297"/>
      <c r="L8" s="292" t="s">
        <v>698</v>
      </c>
      <c r="M8" s="293">
        <f ca="1">INDIRECT("'数据-取费表'!ai"&amp;$G$1)</f>
        <v>365</v>
      </c>
    </row>
    <row r="9" spans="1:37" ht="18" customHeight="1">
      <c r="A9" s="294"/>
      <c r="B9" s="3408"/>
      <c r="C9" s="296"/>
      <c r="D9" s="297"/>
      <c r="E9" s="292" t="s">
        <v>699</v>
      </c>
      <c r="F9" s="302">
        <f ca="1">INDIRECT("'数据-取费表'!w"&amp;$G$1)</f>
        <v>0.2</v>
      </c>
      <c r="G9" s="1289"/>
      <c r="H9" s="294"/>
      <c r="I9" s="3408"/>
      <c r="J9" s="296"/>
      <c r="K9" s="297"/>
      <c r="L9" s="303" t="s">
        <v>699</v>
      </c>
      <c r="M9" s="304">
        <f ca="1">INDIRECT("'数据-取费表'!ab"&amp;$G$1)</f>
        <v>0</v>
      </c>
    </row>
    <row r="10" spans="1:37" ht="18" customHeight="1">
      <c r="A10" s="1004" t="s">
        <v>402</v>
      </c>
      <c r="B10" s="1271" t="s">
        <v>700</v>
      </c>
      <c r="C10" s="306">
        <f ca="1">ROUND(IF(F10="押一",C6/12*F11,IF(F10="押二",C6/12*2*F11,IF(F10="押三",C6/12*3*F11,C11*F11))),2)</f>
        <v>0.11</v>
      </c>
      <c r="D10" s="148" t="s">
        <v>2114</v>
      </c>
      <c r="E10" s="303" t="s">
        <v>701</v>
      </c>
      <c r="F10" s="1051" t="s">
        <v>3502</v>
      </c>
      <c r="G10" s="1289"/>
      <c r="H10" s="1004" t="s">
        <v>402</v>
      </c>
      <c r="I10" s="1271" t="s">
        <v>700</v>
      </c>
      <c r="J10" s="291">
        <f ca="1">ROUND(IF(M10="押一",J6/12*M11,IF(M10="押二",J6/12*2*M11,IF(M10="押三",J6/12*3*M11,J11*M11))),0)</f>
        <v>0</v>
      </c>
      <c r="K10" s="148" t="s">
        <v>2113</v>
      </c>
      <c r="L10" s="303" t="s">
        <v>701</v>
      </c>
      <c r="M10" s="1051"/>
    </row>
    <row r="11" spans="1:37" ht="18" customHeight="1">
      <c r="A11" s="298"/>
      <c r="B11" s="1272" t="s">
        <v>679</v>
      </c>
      <c r="C11" s="903"/>
      <c r="D11" s="1273"/>
      <c r="E11" s="303" t="s">
        <v>702</v>
      </c>
      <c r="F11" s="304">
        <f ca="1">'数据-取费表'!B39</f>
        <v>1.4999999999999999E-2</v>
      </c>
      <c r="G11" s="1289"/>
      <c r="H11" s="1012"/>
      <c r="I11" s="1272" t="s">
        <v>679</v>
      </c>
      <c r="J11" s="903"/>
      <c r="K11" s="644"/>
      <c r="L11" s="303"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1757</v>
      </c>
      <c r="D13" s="1016" t="s">
        <v>705</v>
      </c>
      <c r="E13" s="1016" t="s">
        <v>706</v>
      </c>
      <c r="F13" s="1017">
        <f ca="1">INDIRECT("'数据-取费表'!y"&amp;$G$1)</f>
        <v>0.9</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1233</v>
      </c>
      <c r="D14" s="1254" t="s">
        <v>708</v>
      </c>
      <c r="E14" s="1252"/>
      <c r="F14" s="309"/>
      <c r="G14" s="1289"/>
      <c r="H14" s="926" t="s">
        <v>398</v>
      </c>
      <c r="I14" s="292" t="s">
        <v>709</v>
      </c>
      <c r="J14" s="21">
        <f ca="1">C29</f>
        <v>1952</v>
      </c>
      <c r="K14" s="12"/>
      <c r="L14" s="757"/>
      <c r="M14" s="758"/>
    </row>
    <row r="15" spans="1:37" s="1301" customFormat="1" ht="18" customHeight="1" thickBot="1">
      <c r="A15" s="926" t="s">
        <v>399</v>
      </c>
      <c r="B15" s="292" t="s">
        <v>710</v>
      </c>
      <c r="C15" s="21">
        <f ca="1">ROUND(C14*F15,0)</f>
        <v>62</v>
      </c>
      <c r="D15" s="310" t="s">
        <v>711</v>
      </c>
      <c r="E15" s="310" t="s">
        <v>712</v>
      </c>
      <c r="F15" s="311">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10</v>
      </c>
      <c r="K16" s="1022" t="s">
        <v>715</v>
      </c>
      <c r="L16" s="1023"/>
      <c r="M16" s="1007"/>
    </row>
    <row r="17" spans="1:37" s="1301" customFormat="1" ht="18" customHeight="1">
      <c r="A17" s="926" t="s">
        <v>681</v>
      </c>
      <c r="B17" s="292" t="s">
        <v>716</v>
      </c>
      <c r="C17" s="21">
        <f ca="1">ROUND(F17*(F43+INDIRECT("'数据-取费表'!S"&amp;$G$1))/10000,0)</f>
        <v>25</v>
      </c>
      <c r="D17" s="292" t="s">
        <v>717</v>
      </c>
      <c r="E17" s="292" t="s">
        <v>718</v>
      </c>
      <c r="F17" s="23">
        <f>'数据-取费表'!B35</f>
        <v>200</v>
      </c>
      <c r="G17" s="1300"/>
      <c r="H17" s="926" t="s">
        <v>398</v>
      </c>
      <c r="I17" s="292" t="s">
        <v>719</v>
      </c>
      <c r="J17" s="2137">
        <f ca="1">ROUND(IF(AND(项目基本情况!B11="自然人",项目基本情况!B10="北京市"),J6*M17/(1+'数据-取费表'!C42),J18+J19+J20),2)</f>
        <v>0.13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37</v>
      </c>
      <c r="D18" s="292" t="s">
        <v>711</v>
      </c>
      <c r="E18" s="292" t="s">
        <v>712</v>
      </c>
      <c r="F18" s="312">
        <f>'数据-取费表'!B36</f>
        <v>0.03</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1357</v>
      </c>
      <c r="D19" s="121" t="s">
        <v>726</v>
      </c>
      <c r="E19" s="1266"/>
      <c r="F19" s="23"/>
      <c r="G19" s="1289"/>
      <c r="H19" s="926" t="s">
        <v>399</v>
      </c>
      <c r="I19" s="292" t="s">
        <v>727</v>
      </c>
      <c r="J19" s="21">
        <f ca="1">IF(K19="按租金收入计税",ROUND(J6*M19/(1+'数据-取费表'!C42),2),ROUND(C29*M19*0.7,2))</f>
        <v>0</v>
      </c>
      <c r="K19" s="1275" t="s">
        <v>3323</v>
      </c>
      <c r="L19" s="292" t="s">
        <v>712</v>
      </c>
      <c r="M19" s="312">
        <f>IF(K19="按租金收入计税",'数据-取费表'!B51,'数据-取费表'!B50)</f>
        <v>0.12</v>
      </c>
    </row>
    <row r="20" spans="1:37" s="1301" customFormat="1" ht="18" customHeight="1">
      <c r="A20" s="926" t="s">
        <v>402</v>
      </c>
      <c r="B20" s="292" t="s">
        <v>728</v>
      </c>
      <c r="C20" s="21">
        <f ca="1">ROUND(C19*F20,0)</f>
        <v>68</v>
      </c>
      <c r="D20" s="313" t="s">
        <v>729</v>
      </c>
      <c r="E20" s="292" t="s">
        <v>712</v>
      </c>
      <c r="F20" s="312">
        <f>'数据-取费表'!B37</f>
        <v>0.05</v>
      </c>
      <c r="G20" s="1300"/>
      <c r="H20" s="926" t="s">
        <v>680</v>
      </c>
      <c r="I20" s="145" t="s">
        <v>730</v>
      </c>
      <c r="J20" s="22">
        <f ca="1">ROUND(M20*M21/10000,2)</f>
        <v>0.13</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0.03</v>
      </c>
      <c r="G21" s="1300"/>
      <c r="H21" s="316"/>
      <c r="I21" s="301"/>
      <c r="J21" s="26"/>
      <c r="K21" s="317"/>
      <c r="L21" s="292" t="s">
        <v>736</v>
      </c>
      <c r="M21" s="293">
        <f ca="1">INDIRECT("'数据-取费表'!r"&amp;$G$1)</f>
        <v>891.05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9.76</v>
      </c>
      <c r="K22" s="1253" t="s">
        <v>739</v>
      </c>
      <c r="L22" s="292" t="s">
        <v>712</v>
      </c>
      <c r="M22" s="318">
        <f ca="1">INDIRECT("'数据-取费表'!Ak"&amp;$G$1)</f>
        <v>5.0000000000000001E-3</v>
      </c>
    </row>
    <row r="23" spans="1:37" s="1301" customFormat="1" ht="18" customHeight="1">
      <c r="A23" s="926" t="s">
        <v>397</v>
      </c>
      <c r="B23" s="292" t="s">
        <v>740</v>
      </c>
      <c r="C23" s="21">
        <f ca="1">IF('数据-取费表'!B22&lt;=1,ROUND(C19*F24*F23/2,0)+ROUND(C20*F24*F23/2,0),ROUND(C19*(POWER((1+F24),F23/2)-1),0)+ROUND(C20*(POWER((1+F24),F23/2)-1),0))</f>
        <v>67</v>
      </c>
      <c r="D23" s="136" t="str">
        <f>IF(F23&lt;=1,"(建造成本+管理费用)×利率×(建设周期÷2)","(建造成本+管理费用)×((1+利率)^(建设周期÷2)-1)")</f>
        <v>(建造成本+管理费用)×((1+利率)^(建设周期÷2)-1)</v>
      </c>
      <c r="E23" s="292" t="s">
        <v>741</v>
      </c>
      <c r="F23" s="315">
        <f>'数据-取费表'!B20</f>
        <v>3</v>
      </c>
      <c r="G23" s="1300"/>
      <c r="H23" s="926" t="s">
        <v>437</v>
      </c>
      <c r="I23" s="292" t="s">
        <v>742</v>
      </c>
      <c r="J23" s="21">
        <f ca="1">ROUND(J13*M23,2)</f>
        <v>0</v>
      </c>
      <c r="K23" s="1253" t="s">
        <v>743</v>
      </c>
      <c r="L23" s="292" t="s">
        <v>744</v>
      </c>
      <c r="M23" s="319">
        <f ca="1">INDIRECT("'数据-取费表'!Al"&amp;$G$1)</f>
        <v>2E-3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1.4E-3</v>
      </c>
      <c r="D24" s="136" t="str">
        <f>IF(F23&lt;=1,"销售费用×利率×(建设周期÷2)","销售费用×((1+利率)^(建设周期÷2)-1)")</f>
        <v>销售费用×((1+利率)^(建设周期÷2)-1)</v>
      </c>
      <c r="E24" s="292" t="s">
        <v>747</v>
      </c>
      <c r="F24" s="320">
        <f ca="1">'数据-取费表'!B40</f>
        <v>3.1E-2</v>
      </c>
      <c r="G24" s="1300"/>
      <c r="H24" s="1024" t="s">
        <v>684</v>
      </c>
      <c r="I24" s="1025" t="s">
        <v>728</v>
      </c>
      <c r="J24" s="1026">
        <f ca="1">ROUND(J5*M24,2)</f>
        <v>0</v>
      </c>
      <c r="K24" s="1027" t="s">
        <v>748</v>
      </c>
      <c r="L24" s="1025" t="s">
        <v>744</v>
      </c>
      <c r="M24" s="1021">
        <f ca="1">INDIRECT("'数据-取费表'!Am"&amp;$G$1)</f>
        <v>0.02</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-10</v>
      </c>
      <c r="K25" s="1030" t="s">
        <v>753</v>
      </c>
      <c r="L25" s="1031"/>
      <c r="M25" s="1032"/>
    </row>
    <row r="26" spans="1:37">
      <c r="A26" s="926" t="s">
        <v>397</v>
      </c>
      <c r="B26" s="292" t="s">
        <v>754</v>
      </c>
      <c r="C26" s="21">
        <f ca="1">ROUND((C19+C20)*F26,0)</f>
        <v>285</v>
      </c>
      <c r="D26" s="313" t="s">
        <v>755</v>
      </c>
      <c r="E26" s="303" t="s">
        <v>756</v>
      </c>
      <c r="F26" s="302">
        <f ca="1">INDIRECT("'数据-取费表'!q"&amp;$G$1)</f>
        <v>0.2</v>
      </c>
      <c r="G26" s="1289"/>
      <c r="H26" s="289" t="s">
        <v>395</v>
      </c>
      <c r="I26" s="290" t="s">
        <v>757</v>
      </c>
      <c r="J26" s="291">
        <f ca="1">IF(J5&lt;&gt;0,ROUND(J25*(1-((1+M28)/(1+M26))^M27)/(M26-M28),0),0)</f>
        <v>0</v>
      </c>
      <c r="K26" s="314" t="s">
        <v>758</v>
      </c>
      <c r="L26" s="292" t="s">
        <v>759</v>
      </c>
      <c r="M26" s="302">
        <f ca="1">INDIRECT("'数据-取费表'!I"&amp;$G$1)</f>
        <v>0.06</v>
      </c>
    </row>
    <row r="27" spans="1:37" ht="18" customHeight="1">
      <c r="A27" s="926" t="s">
        <v>399</v>
      </c>
      <c r="B27" s="292" t="s">
        <v>760</v>
      </c>
      <c r="C27" s="21">
        <f ca="1">ROUND(F21*F26,4)</f>
        <v>6.0000000000000001E-3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5.2400000000000002E-2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1952</v>
      </c>
      <c r="D29" s="1027"/>
      <c r="E29" s="1025"/>
      <c r="F29" s="1028"/>
      <c r="G29" s="1300"/>
      <c r="H29" s="323" t="s">
        <v>396</v>
      </c>
      <c r="I29" s="324" t="s">
        <v>768</v>
      </c>
      <c r="J29" s="325">
        <f ca="1">ROUND(J26/(1+F40)^F41,0)</f>
        <v>0</v>
      </c>
      <c r="K29" s="326" t="s">
        <v>769</v>
      </c>
      <c r="L29" s="327"/>
      <c r="M29" s="328">
        <f ca="1">INDIRECT("'数据-取费表'!k"&amp;$G$1)</f>
        <v>1232.79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30</v>
      </c>
      <c r="D30" s="1022" t="s">
        <v>715</v>
      </c>
      <c r="E30" s="1023"/>
      <c r="F30" s="1007"/>
      <c r="G30" s="1289"/>
      <c r="H30" s="2468"/>
      <c r="I30" s="1302"/>
      <c r="J30" s="1303"/>
      <c r="K30" s="119"/>
      <c r="L30" s="2469"/>
      <c r="M30" s="2470"/>
    </row>
    <row r="31" spans="1:37" ht="18" customHeight="1">
      <c r="A31" s="926" t="s">
        <v>398</v>
      </c>
      <c r="B31" s="292" t="s">
        <v>719</v>
      </c>
      <c r="C31" s="2137">
        <f ca="1">ROUND(IF(AND(项目基本情况!B11="自然人",项目基本情况!B10="北京市"),C6*F31/(1+'数据-取费表'!C42),C32+C33+C34),2)</f>
        <v>15.13</v>
      </c>
      <c r="D31" s="1254" t="s">
        <v>720</v>
      </c>
      <c r="E31" s="1253" t="s">
        <v>770</v>
      </c>
      <c r="F31" s="2136" t="str">
        <f>IF(项目基本情况!B11="企业","——",IF(M47="住宅",IF(F6*F7*F8/12/(1+'数据-取费表'!F30)&gt;100000,4%,2.5%),IF(F6*F7*F8/12/(1+'数据-取费表'!F30)&gt;100000,12%,7%)))</f>
        <v>——</v>
      </c>
      <c r="G31" s="1289"/>
      <c r="H31" s="2567" t="s">
        <v>2294</v>
      </c>
      <c r="I31" s="1302"/>
      <c r="J31" s="1303"/>
      <c r="K31" s="119"/>
      <c r="L31" s="2469"/>
      <c r="M31" s="2470"/>
    </row>
    <row r="32" spans="1:37" ht="18" customHeight="1">
      <c r="A32" s="926" t="s">
        <v>397</v>
      </c>
      <c r="B32" s="292" t="s">
        <v>723</v>
      </c>
      <c r="C32" s="21">
        <f ca="1">IF(项目基本情况!B11="自然人","——",ROUND(C6*F32/(1+'数据-取费表'!C42),2))</f>
        <v>4.71</v>
      </c>
      <c r="D32" s="1253" t="s">
        <v>724</v>
      </c>
      <c r="E32" s="292" t="s">
        <v>712</v>
      </c>
      <c r="F32" s="320">
        <f>'数据-取费表'!B41</f>
        <v>5.5000000000000007E-2</v>
      </c>
      <c r="G32" s="1289"/>
      <c r="H32" s="2468"/>
      <c r="I32" s="1302"/>
      <c r="J32" s="1303"/>
      <c r="K32" s="119"/>
      <c r="L32" s="2469"/>
      <c r="M32" s="2470"/>
    </row>
    <row r="33" spans="1:18" ht="18" customHeight="1">
      <c r="A33" s="926" t="s">
        <v>399</v>
      </c>
      <c r="B33" s="292" t="s">
        <v>727</v>
      </c>
      <c r="C33" s="21">
        <f ca="1">IF(项目基本情况!B11="自然人","——",IF(D33="按租金收入计税",ROUND(C6*F33/(1+'数据-取费表'!C42),2),IF(D33="按房产原值计税",ROUND(C29*F33*0.7,2),INDIRECT("'数据-取费表'!Aj"&amp;$G$1))))</f>
        <v>10.29</v>
      </c>
      <c r="D33" s="1275" t="s">
        <v>3323</v>
      </c>
      <c r="E33" s="292" t="s">
        <v>712</v>
      </c>
      <c r="F33" s="312">
        <f>IF(D33="按票据","——",IF(D33="按租金收入计税",'数据-取费表'!B51,'数据-取费表'!B50))</f>
        <v>0.12</v>
      </c>
      <c r="G33" s="1289"/>
      <c r="H33" s="2471"/>
      <c r="I33" s="1302"/>
      <c r="J33" s="1303"/>
      <c r="K33" s="2472"/>
      <c r="L33" s="2471"/>
      <c r="M33" s="2471"/>
    </row>
    <row r="34" spans="1:18" ht="18" customHeight="1">
      <c r="A34" s="1004" t="s">
        <v>680</v>
      </c>
      <c r="B34" s="145" t="s">
        <v>730</v>
      </c>
      <c r="C34" s="22">
        <f ca="1">IF(项目基本情况!B11="自然人","——",ROUND(F34*F35/10000,2))</f>
        <v>0.13</v>
      </c>
      <c r="D34" s="314" t="s">
        <v>731</v>
      </c>
      <c r="E34" s="292" t="s">
        <v>732</v>
      </c>
      <c r="F34" s="315">
        <f>'数据-取费表'!B52</f>
        <v>1.5</v>
      </c>
      <c r="G34" s="1289"/>
      <c r="H34" s="2468"/>
      <c r="I34" s="1302"/>
      <c r="J34" s="1303"/>
      <c r="K34" s="2473"/>
      <c r="L34" s="2474"/>
      <c r="M34" s="2474"/>
    </row>
    <row r="35" spans="1:18" ht="18" customHeight="1">
      <c r="A35" s="1038"/>
      <c r="B35" s="1036"/>
      <c r="C35" s="26"/>
      <c r="D35" s="317"/>
      <c r="E35" s="292" t="s">
        <v>736</v>
      </c>
      <c r="F35" s="293">
        <f ca="1">INDIRECT("'数据-取费表'!r"&amp;$G$1)</f>
        <v>891.05</v>
      </c>
      <c r="G35" s="1289"/>
      <c r="H35" s="2468"/>
      <c r="I35" s="1302"/>
      <c r="J35" s="1303"/>
      <c r="K35" s="2472"/>
      <c r="L35" s="2471"/>
      <c r="M35" s="2471"/>
    </row>
    <row r="36" spans="1:18" ht="18" customHeight="1">
      <c r="A36" s="1037" t="s">
        <v>402</v>
      </c>
      <c r="B36" s="292" t="s">
        <v>738</v>
      </c>
      <c r="C36" s="21">
        <f ca="1">ROUND(C29*F36,2)</f>
        <v>9.76</v>
      </c>
      <c r="D36" s="1253" t="s">
        <v>771</v>
      </c>
      <c r="E36" s="292" t="s">
        <v>712</v>
      </c>
      <c r="F36" s="318">
        <f ca="1">INDIRECT("'数据-取费表'!Ak"&amp;$G$1)</f>
        <v>5.0000000000000001E-3</v>
      </c>
      <c r="G36" s="1289"/>
      <c r="H36" s="2471"/>
      <c r="I36" s="1302"/>
      <c r="J36" s="1303"/>
      <c r="K36" s="2328"/>
      <c r="L36" s="2471"/>
      <c r="M36" s="2471"/>
    </row>
    <row r="37" spans="1:18" ht="18" customHeight="1">
      <c r="A37" s="926" t="s">
        <v>437</v>
      </c>
      <c r="B37" s="292" t="s">
        <v>742</v>
      </c>
      <c r="C37" s="21">
        <f ca="1">ROUND(C13*F37,2)</f>
        <v>3.51</v>
      </c>
      <c r="D37" s="1253" t="s">
        <v>743</v>
      </c>
      <c r="E37" s="292" t="s">
        <v>744</v>
      </c>
      <c r="F37" s="319">
        <f ca="1">INDIRECT("'数据-取费表'!Al"&amp;$G$1)</f>
        <v>2E-3</v>
      </c>
      <c r="G37" s="1289"/>
      <c r="H37" s="2471"/>
      <c r="I37" s="1302"/>
      <c r="J37" s="1303"/>
      <c r="K37" s="2328"/>
      <c r="L37" s="2471"/>
      <c r="M37" s="2471"/>
    </row>
    <row r="38" spans="1:18" ht="18" customHeight="1" thickBot="1">
      <c r="A38" s="1024" t="s">
        <v>684</v>
      </c>
      <c r="B38" s="1025" t="s">
        <v>728</v>
      </c>
      <c r="C38" s="1026">
        <f ca="1">ROUND(C5*F38,2)</f>
        <v>1.8</v>
      </c>
      <c r="D38" s="1027" t="s">
        <v>748</v>
      </c>
      <c r="E38" s="1025" t="s">
        <v>744</v>
      </c>
      <c r="F38" s="1021">
        <f ca="1">INDIRECT("'数据-取费表'!Am"&amp;$G$1)</f>
        <v>0.02</v>
      </c>
      <c r="G38" s="1289"/>
      <c r="H38" s="2471"/>
      <c r="I38" s="1302"/>
      <c r="J38" s="1303"/>
      <c r="K38" s="2469"/>
      <c r="L38" s="2471"/>
      <c r="M38" s="2471"/>
    </row>
    <row r="39" spans="1:18" ht="24.6" customHeight="1" thickTop="1">
      <c r="A39" s="1014" t="s">
        <v>394</v>
      </c>
      <c r="B39" s="1029" t="s">
        <v>772</v>
      </c>
      <c r="C39" s="300">
        <f ca="1">C5-C30</f>
        <v>60.11</v>
      </c>
      <c r="D39" s="1030" t="s">
        <v>773</v>
      </c>
      <c r="E39" s="1031"/>
      <c r="F39" s="1032"/>
      <c r="G39" s="1289"/>
      <c r="H39" s="2471"/>
      <c r="I39" s="1302"/>
      <c r="J39" s="1303"/>
      <c r="K39" s="2469"/>
      <c r="L39" s="2471"/>
      <c r="M39" s="2471"/>
    </row>
    <row r="40" spans="1:18" ht="18" customHeight="1">
      <c r="A40" s="289" t="s">
        <v>395</v>
      </c>
      <c r="B40" s="290" t="s">
        <v>774</v>
      </c>
      <c r="C40" s="291">
        <f ca="1">ROUND(C39*(1-((1+F42)/(1+F40))^F41)/(F40-F42),0)</f>
        <v>1114</v>
      </c>
      <c r="D40" s="314" t="s">
        <v>758</v>
      </c>
      <c r="E40" s="292" t="s">
        <v>759</v>
      </c>
      <c r="F40" s="302">
        <f ca="1">INDIRECT("'数据-取费表'!I"&amp;$G$1)</f>
        <v>0.06</v>
      </c>
      <c r="G40" s="1289"/>
      <c r="H40" s="1363"/>
      <c r="I40" s="1302"/>
      <c r="J40" s="1303"/>
      <c r="K40" s="2469"/>
      <c r="L40" s="1363"/>
      <c r="M40" s="1363"/>
    </row>
    <row r="41" spans="1:18" ht="18" customHeight="1">
      <c r="A41" s="294"/>
      <c r="B41" s="295"/>
      <c r="C41" s="296"/>
      <c r="D41" s="321" t="s">
        <v>775</v>
      </c>
      <c r="E41" s="292" t="s">
        <v>763</v>
      </c>
      <c r="F41" s="322">
        <f ca="1">IF(INDIRECT("'数据-取费表'!af"&amp;$G$1)=0,INDIRECT("'数据-取费表'!ae"&amp;$G$1),INDIRECT("'数据-取费表'!af"&amp;$G$1))</f>
        <v>35.17</v>
      </c>
      <c r="G41" s="1289"/>
      <c r="H41" s="119"/>
      <c r="I41" s="1302"/>
      <c r="J41" s="1303"/>
      <c r="K41" s="2328"/>
      <c r="L41" s="119"/>
      <c r="M41" s="119"/>
    </row>
    <row r="42" spans="1:18" ht="18" customHeight="1">
      <c r="A42" s="298"/>
      <c r="B42" s="299"/>
      <c r="C42" s="300"/>
      <c r="D42" s="317"/>
      <c r="E42" s="292" t="s">
        <v>766</v>
      </c>
      <c r="F42" s="302">
        <f ca="1">INDIRECT("'数据-取费表'!v"&amp;$G$1)</f>
        <v>0.02</v>
      </c>
      <c r="G42" s="1289"/>
      <c r="H42" s="119"/>
      <c r="I42" s="1302"/>
      <c r="J42" s="1303"/>
      <c r="K42" s="2328"/>
      <c r="L42" s="119"/>
      <c r="M42" s="119"/>
    </row>
    <row r="43" spans="1:18" ht="18" customHeight="1" thickBot="1">
      <c r="A43" s="323" t="s">
        <v>396</v>
      </c>
      <c r="B43" s="324" t="s">
        <v>776</v>
      </c>
      <c r="C43" s="325">
        <f ca="1">ROUND(C40*10000/F43,0)</f>
        <v>9036</v>
      </c>
      <c r="D43" s="326" t="s">
        <v>777</v>
      </c>
      <c r="E43" s="327" t="s">
        <v>778</v>
      </c>
      <c r="F43" s="328">
        <f ca="1">INDIRECT("'数据-取费表'!k"&amp;$G$1)</f>
        <v>1232.79</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808</v>
      </c>
      <c r="P45" s="1363"/>
      <c r="Q45" s="1363"/>
      <c r="R45" s="1363"/>
    </row>
    <row r="46" spans="1:18" s="1289" customFormat="1" ht="13.8" thickBot="1">
      <c r="A46" s="1308" t="s">
        <v>809</v>
      </c>
      <c r="C46" s="1309">
        <f ca="1">C68-C40</f>
        <v>-1303</v>
      </c>
      <c r="D46" s="1310" t="str">
        <f>C2</f>
        <v>万元</v>
      </c>
      <c r="E46" s="1304"/>
      <c r="F46" s="1304"/>
      <c r="I46" s="1311" t="s">
        <v>810</v>
      </c>
      <c r="J46" s="1312"/>
      <c r="K46" s="1313"/>
      <c r="L46" s="1314">
        <f ca="1">IF(M47="住宅",0,IF(L48&gt;J51,L60,J60))</f>
        <v>52</v>
      </c>
      <c r="O46" s="1315" t="s">
        <v>811</v>
      </c>
      <c r="P46" s="1316" t="s">
        <v>812</v>
      </c>
      <c r="Q46" s="1317" t="s">
        <v>813</v>
      </c>
      <c r="R46" s="1317" t="s">
        <v>814</v>
      </c>
    </row>
    <row r="47" spans="1:18" s="1289" customFormat="1" ht="13.8" thickBot="1">
      <c r="A47" s="890" t="s">
        <v>687</v>
      </c>
      <c r="B47" s="922" t="s">
        <v>688</v>
      </c>
      <c r="C47" s="1052" t="s">
        <v>689</v>
      </c>
      <c r="D47" s="922" t="s">
        <v>690</v>
      </c>
      <c r="E47" s="993" t="s">
        <v>691</v>
      </c>
      <c r="F47" s="994"/>
      <c r="G47" s="679"/>
      <c r="I47" s="1318" t="s">
        <v>815</v>
      </c>
      <c r="J47" s="1319" t="s">
        <v>3503</v>
      </c>
      <c r="K47" s="1320" t="s">
        <v>816</v>
      </c>
      <c r="L47" s="1321">
        <f ca="1">INDIRECT("'数据-取费表'!d"&amp;$G$1)</f>
        <v>50</v>
      </c>
      <c r="M47" s="1285" t="str">
        <f>IF(ISNUMBER(FIND("住宅",C1)),"住宅","非住宅")</f>
        <v>非住宅</v>
      </c>
      <c r="O47" s="1322" t="s">
        <v>403</v>
      </c>
      <c r="P47" s="1323" t="s">
        <v>817</v>
      </c>
      <c r="Q47" s="1324">
        <f ca="1">C40+J29</f>
        <v>1114</v>
      </c>
      <c r="R47" s="1324" t="s">
        <v>818</v>
      </c>
    </row>
    <row r="48" spans="1:18" s="1289" customFormat="1" ht="40.200000000000003" thickBot="1">
      <c r="A48" s="1045" t="s">
        <v>438</v>
      </c>
      <c r="B48" s="290" t="s">
        <v>692</v>
      </c>
      <c r="C48" s="1265">
        <f ca="1">C49+C53+C55</f>
        <v>0</v>
      </c>
      <c r="D48" s="1047"/>
      <c r="E48" s="1048"/>
      <c r="F48" s="906"/>
      <c r="G48" s="679"/>
      <c r="H48" s="680"/>
      <c r="I48" s="1325" t="s">
        <v>819</v>
      </c>
      <c r="J48" s="1326" t="s">
        <v>3504</v>
      </c>
      <c r="K48" s="1327" t="s">
        <v>820</v>
      </c>
      <c r="L48" s="1328">
        <f ca="1">INDIRECT("'数据-取费表'!f"&amp;$G$1)</f>
        <v>35.17</v>
      </c>
      <c r="O48" s="1322" t="s">
        <v>404</v>
      </c>
      <c r="P48" s="1323" t="s">
        <v>821</v>
      </c>
      <c r="Q48" s="1324">
        <f ca="1">J60</f>
        <v>52</v>
      </c>
      <c r="R48" s="1324" t="s">
        <v>822</v>
      </c>
    </row>
    <row r="49" spans="1:18" s="1289" customFormat="1" ht="13.8" thickBot="1">
      <c r="A49" s="919" t="s">
        <v>439</v>
      </c>
      <c r="B49" s="1276" t="s">
        <v>779</v>
      </c>
      <c r="C49" s="1049">
        <f ca="1">ROUND(F49*F51*F50*(1-F52)/10000,0)</f>
        <v>0</v>
      </c>
      <c r="D49" s="990" t="s">
        <v>2107</v>
      </c>
      <c r="E49" s="1277" t="s">
        <v>780</v>
      </c>
      <c r="F49" s="995"/>
      <c r="H49" s="680"/>
      <c r="I49" s="1325" t="s">
        <v>823</v>
      </c>
      <c r="J49" s="1329">
        <v>2019</v>
      </c>
      <c r="K49" s="1327" t="s">
        <v>824</v>
      </c>
      <c r="L49" s="1330"/>
      <c r="O49" s="1331" t="s">
        <v>405</v>
      </c>
      <c r="P49" s="1323" t="s">
        <v>825</v>
      </c>
      <c r="Q49" s="1324">
        <f ca="1">C29</f>
        <v>1952</v>
      </c>
      <c r="R49" s="1324" t="s">
        <v>818</v>
      </c>
    </row>
    <row r="50" spans="1:18" s="1289" customFormat="1" ht="13.8" thickBot="1">
      <c r="A50" s="920"/>
      <c r="B50" s="923"/>
      <c r="C50" s="1053"/>
      <c r="D50" s="897"/>
      <c r="E50" s="991" t="s">
        <v>697</v>
      </c>
      <c r="F50" s="992">
        <f ca="1">F7</f>
        <v>1232.79</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3">
        <f ca="1">F8</f>
        <v>365</v>
      </c>
      <c r="I51" s="1335" t="s">
        <v>829</v>
      </c>
      <c r="J51" s="1328">
        <f>IF(J49="",J50,J49+J50-YEAR('数据-取费表'!B2))</f>
        <v>54</v>
      </c>
      <c r="K51" s="1336" t="s">
        <v>830</v>
      </c>
      <c r="L51" s="1337">
        <f ca="1">ROUND(-PV(INDIRECT("'数据-取费表'!h"&amp;$G$1),J51,(C39-C13*C76),0),0)</f>
        <v>-1231</v>
      </c>
      <c r="M51" s="1338"/>
      <c r="O51" s="1331" t="s">
        <v>407</v>
      </c>
      <c r="P51" s="1323" t="s">
        <v>831</v>
      </c>
      <c r="Q51" s="1334">
        <f>J52</f>
        <v>0.08</v>
      </c>
      <c r="R51" s="1324"/>
    </row>
    <row r="52" spans="1:18" s="1289" customFormat="1" ht="13.8" thickBot="1">
      <c r="A52" s="921"/>
      <c r="B52" s="923"/>
      <c r="C52" s="924"/>
      <c r="D52" s="897"/>
      <c r="E52" s="925" t="s">
        <v>699</v>
      </c>
      <c r="F52" s="989"/>
      <c r="I52" s="1339" t="s">
        <v>832</v>
      </c>
      <c r="J52" s="1340">
        <v>0.08</v>
      </c>
      <c r="K52" s="1339" t="s">
        <v>833</v>
      </c>
      <c r="L52" s="1340"/>
      <c r="O52" s="1331" t="s">
        <v>408</v>
      </c>
      <c r="P52" s="1323" t="s">
        <v>834</v>
      </c>
      <c r="Q52" s="1324">
        <f ca="1">J53</f>
        <v>35.17</v>
      </c>
      <c r="R52" s="1324" t="s">
        <v>835</v>
      </c>
    </row>
    <row r="53" spans="1:18" s="1289" customFormat="1" ht="36.6" thickBot="1">
      <c r="A53" s="1077" t="s">
        <v>440</v>
      </c>
      <c r="B53" s="1278" t="s">
        <v>700</v>
      </c>
      <c r="C53" s="306">
        <f ca="1">ROUND(IF(F53="押一",C49/12*F11,IF(F53="押二",C49/12*2*F11,IF(F53="押三",C49/12*3*F11,C54*F11))),0)</f>
        <v>0</v>
      </c>
      <c r="D53" s="148" t="s">
        <v>2113</v>
      </c>
      <c r="E53" s="303" t="s">
        <v>701</v>
      </c>
      <c r="F53" s="1051"/>
      <c r="I53" s="1341" t="s">
        <v>836</v>
      </c>
      <c r="J53" s="2003">
        <f ca="1">IF(M47="住宅",IF(D1="——",MAX(J51,L48),MAX(J51,L48-'数据-取费表'!B24)),IF(D1="——",MIN(J51,L48),MIN(J51,L48-'数据-取费表'!B24)))</f>
        <v>35.17</v>
      </c>
      <c r="K53" s="3404" t="s">
        <v>837</v>
      </c>
      <c r="L53" s="3405"/>
      <c r="O53" s="1322" t="s">
        <v>409</v>
      </c>
      <c r="P53" s="1323" t="s">
        <v>838</v>
      </c>
      <c r="Q53" s="1324">
        <f ca="1">Q47+Q48</f>
        <v>1166</v>
      </c>
      <c r="R53" s="1324" t="s">
        <v>410</v>
      </c>
    </row>
    <row r="54" spans="1:18" s="1289" customFormat="1" ht="24.6"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48"/>
      <c r="E55" s="1279"/>
      <c r="F55" s="1342"/>
      <c r="I55" s="1345" t="s">
        <v>840</v>
      </c>
      <c r="J55" s="1346">
        <f ca="1">ROUND(IF(J47="钢混",J57/J50,1-(1-2%)*(J50-J57)/J50),3)</f>
        <v>0.314</v>
      </c>
      <c r="K55" s="1347" t="s">
        <v>841</v>
      </c>
      <c r="L55" s="1348"/>
      <c r="O55" s="1315" t="s">
        <v>811</v>
      </c>
      <c r="P55" s="1316" t="s">
        <v>812</v>
      </c>
      <c r="Q55" s="1317" t="s">
        <v>813</v>
      </c>
      <c r="R55" s="1317" t="s">
        <v>814</v>
      </c>
    </row>
    <row r="56" spans="1:18" s="1289" customFormat="1" ht="37.200000000000003" thickTop="1" thickBot="1">
      <c r="A56" s="901">
        <v>2</v>
      </c>
      <c r="B56" s="902" t="s">
        <v>704</v>
      </c>
      <c r="C56" s="222">
        <f ca="1">C13</f>
        <v>1757</v>
      </c>
      <c r="D56" s="1349"/>
      <c r="E56" s="1350"/>
      <c r="F56" s="1342"/>
      <c r="I56" s="1351" t="s">
        <v>842</v>
      </c>
      <c r="J56" s="1352" t="s">
        <v>3477</v>
      </c>
      <c r="K56" s="1325" t="s">
        <v>843</v>
      </c>
      <c r="L56" s="1328" t="str">
        <f ca="1">IF(L48&lt;J51,"——",L48-J53)</f>
        <v>——</v>
      </c>
      <c r="O56" s="1322" t="s">
        <v>403</v>
      </c>
      <c r="P56" s="1323" t="s">
        <v>817</v>
      </c>
      <c r="Q56" s="1324">
        <f ca="1">C40+J29</f>
        <v>1114</v>
      </c>
      <c r="R56" s="1324" t="s">
        <v>818</v>
      </c>
    </row>
    <row r="57" spans="1:18" s="1289" customFormat="1" ht="24.6" thickBot="1">
      <c r="A57" s="1353"/>
      <c r="B57" s="894" t="s">
        <v>767</v>
      </c>
      <c r="C57" s="228">
        <f ca="1">C29</f>
        <v>1952</v>
      </c>
      <c r="D57" s="1354"/>
      <c r="E57" s="1355"/>
      <c r="F57" s="1356"/>
      <c r="I57" s="1357" t="s">
        <v>844</v>
      </c>
      <c r="J57" s="1358">
        <f ca="1">IF(OR(M47="住宅",J51&lt;L48,J56="是"),"——",J51-L48)</f>
        <v>18.829999999999998</v>
      </c>
      <c r="K57" s="1325" t="s">
        <v>845</v>
      </c>
      <c r="L57" s="1328" t="str">
        <f ca="1">IF(L48&lt;J51,"——",IF(L55="比较法",L49,IF(L55="基准地价",L50,L51)))</f>
        <v>——</v>
      </c>
      <c r="O57" s="1322" t="s">
        <v>404</v>
      </c>
      <c r="P57" s="1323" t="s">
        <v>846</v>
      </c>
      <c r="Q57" s="1324">
        <f ca="1">L60</f>
        <v>0</v>
      </c>
      <c r="R57" s="1324" t="s">
        <v>847</v>
      </c>
    </row>
    <row r="58" spans="1:18" s="1289" customFormat="1" ht="24.6" thickBot="1">
      <c r="A58" s="305" t="s">
        <v>393</v>
      </c>
      <c r="B58" s="902" t="s">
        <v>714</v>
      </c>
      <c r="C58" s="306">
        <f ca="1">ROUND(C59+C64+C65+C66,0)</f>
        <v>13</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781</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IF(项目基本情况!B11="自然人","——",ROUND(C48*F60/(1+'数据-取费表'!C42),2))</f>
        <v>0</v>
      </c>
      <c r="D60" s="908" t="s">
        <v>724</v>
      </c>
      <c r="E60" s="894" t="s">
        <v>712</v>
      </c>
      <c r="F60" s="320">
        <f t="shared" ref="F60:F66" si="0">F32</f>
        <v>5.5000000000000007E-2</v>
      </c>
      <c r="I60" s="1360" t="s">
        <v>853</v>
      </c>
      <c r="J60" s="1361">
        <f ca="1">IF(OR(M47="住宅",J51&lt;L48,J56="是"),"0",ROUND(J59/(1+J52)^J53,0))</f>
        <v>52</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IF(项目基本情况!B11="自然人","——",IF(D61="按租金收入计税",ROUND(C49*F61/(1+'数据-取费表'!C42),2),IF(D61="按房产原值计税",ROUND(C57*F61*0.7,2),INDIRECT("'数据-取费表'!Aj"&amp;$G$1))))</f>
        <v>0</v>
      </c>
      <c r="D61" s="1275" t="s">
        <v>3323</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IF(项目基本情况!B11="自然人","——",ROUND(F62*F63/10000,2))</f>
        <v>0.13</v>
      </c>
      <c r="D62" s="909" t="s">
        <v>786</v>
      </c>
      <c r="E62" s="894" t="s">
        <v>787</v>
      </c>
      <c r="F62" s="315">
        <f t="shared" si="0"/>
        <v>1.5</v>
      </c>
      <c r="I62" s="1364" t="s">
        <v>858</v>
      </c>
      <c r="J62" s="608" t="s">
        <v>859</v>
      </c>
      <c r="K62" s="608" t="s">
        <v>860</v>
      </c>
      <c r="L62" s="608" t="s">
        <v>861</v>
      </c>
      <c r="M62" s="1365" t="s">
        <v>862</v>
      </c>
      <c r="O62" s="1322" t="s">
        <v>409</v>
      </c>
      <c r="P62" s="1323" t="s">
        <v>863</v>
      </c>
      <c r="Q62" s="1324">
        <f ca="1">Q56+Q57</f>
        <v>1114</v>
      </c>
      <c r="R62" s="1324" t="s">
        <v>410</v>
      </c>
    </row>
    <row r="63" spans="1:18" s="1289" customFormat="1" ht="13.8" thickBot="1">
      <c r="A63" s="316"/>
      <c r="B63" s="900"/>
      <c r="C63" s="26"/>
      <c r="D63" s="910"/>
      <c r="E63" s="894" t="s">
        <v>788</v>
      </c>
      <c r="F63" s="293">
        <f t="shared" ca="1" si="0"/>
        <v>891.05</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ROUND(C57*F64,2)</f>
        <v>9.76</v>
      </c>
      <c r="D64" s="908" t="s">
        <v>791</v>
      </c>
      <c r="E64" s="894" t="s">
        <v>783</v>
      </c>
      <c r="F64" s="318">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ROUND(C56*F65,2)</f>
        <v>3.51</v>
      </c>
      <c r="D65" s="908" t="s">
        <v>743</v>
      </c>
      <c r="E65" s="894" t="s">
        <v>744</v>
      </c>
      <c r="F65" s="319">
        <f t="shared" ca="1" si="0"/>
        <v>2E-3</v>
      </c>
      <c r="I65" s="1364" t="s">
        <v>867</v>
      </c>
      <c r="J65" s="608">
        <v>40</v>
      </c>
      <c r="K65" s="608">
        <v>30</v>
      </c>
      <c r="L65" s="608">
        <v>50</v>
      </c>
      <c r="M65" s="1366">
        <v>0.02</v>
      </c>
      <c r="O65" s="1322" t="s">
        <v>403</v>
      </c>
      <c r="P65" s="1323" t="s">
        <v>868</v>
      </c>
      <c r="Q65" s="1324">
        <f ca="1">C40+J29</f>
        <v>1114</v>
      </c>
      <c r="R65" s="1324" t="s">
        <v>818</v>
      </c>
    </row>
    <row r="66" spans="1:18" s="1289" customFormat="1" ht="16.2" thickBot="1">
      <c r="A66" s="926" t="s">
        <v>793</v>
      </c>
      <c r="B66" s="894" t="s">
        <v>728</v>
      </c>
      <c r="C66" s="21">
        <f ca="1">ROUND(C48*F66,2)</f>
        <v>0</v>
      </c>
      <c r="D66" s="908" t="s">
        <v>794</v>
      </c>
      <c r="E66" s="894" t="s">
        <v>712</v>
      </c>
      <c r="F66" s="302">
        <f t="shared" ca="1" si="0"/>
        <v>0.02</v>
      </c>
      <c r="O66" s="1322" t="s">
        <v>404</v>
      </c>
      <c r="P66" s="1323" t="s">
        <v>846</v>
      </c>
      <c r="Q66" s="1324">
        <f ca="1">L60</f>
        <v>0</v>
      </c>
      <c r="R66" s="1324" t="s">
        <v>869</v>
      </c>
    </row>
    <row r="67" spans="1:18" s="1289" customFormat="1" ht="24.6" thickBot="1">
      <c r="A67" s="901" t="s">
        <v>394</v>
      </c>
      <c r="B67" s="911" t="s">
        <v>752</v>
      </c>
      <c r="C67" s="306">
        <f ca="1">C48-C58</f>
        <v>-13</v>
      </c>
      <c r="D67" s="907" t="s">
        <v>753</v>
      </c>
      <c r="E67" s="912"/>
      <c r="F67" s="913"/>
      <c r="O67" s="1331" t="s">
        <v>405</v>
      </c>
      <c r="P67" s="1323" t="s">
        <v>850</v>
      </c>
      <c r="Q67" s="1367">
        <f ca="1">L51</f>
        <v>-1231</v>
      </c>
      <c r="R67" s="1324" t="s">
        <v>870</v>
      </c>
    </row>
    <row r="68" spans="1:18" s="1289" customFormat="1" ht="16.2" thickBot="1">
      <c r="A68" s="891" t="s">
        <v>395</v>
      </c>
      <c r="B68" s="892" t="s">
        <v>774</v>
      </c>
      <c r="C68" s="291">
        <f ca="1">ROUND(C67*(1-((1+F70)/(1+F68))^F69)/(F68-F70),0)</f>
        <v>-189</v>
      </c>
      <c r="D68" s="909" t="s">
        <v>758</v>
      </c>
      <c r="E68" s="894" t="s">
        <v>759</v>
      </c>
      <c r="F68" s="302">
        <f ca="1">F40</f>
        <v>0.06</v>
      </c>
      <c r="O68" s="1331" t="s">
        <v>406</v>
      </c>
      <c r="P68" s="1368" t="s">
        <v>871</v>
      </c>
      <c r="Q68" s="1324">
        <f ca="1">ROUND(Q69-Q70*Q71,0)</f>
        <v>-72</v>
      </c>
      <c r="R68" s="1324" t="s">
        <v>414</v>
      </c>
    </row>
    <row r="69" spans="1:18" s="1289" customFormat="1" ht="13.8" thickBot="1">
      <c r="A69" s="895"/>
      <c r="B69" s="896"/>
      <c r="C69" s="296"/>
      <c r="D69" s="914" t="s">
        <v>762</v>
      </c>
      <c r="E69" s="894" t="s">
        <v>763</v>
      </c>
      <c r="F69" s="322">
        <f ca="1">F41</f>
        <v>35.17</v>
      </c>
      <c r="O69" s="1331" t="s">
        <v>411</v>
      </c>
      <c r="P69" s="1368" t="s">
        <v>872</v>
      </c>
      <c r="Q69" s="1324">
        <f ca="1">C39</f>
        <v>60.11</v>
      </c>
      <c r="R69" s="1324" t="s">
        <v>818</v>
      </c>
    </row>
    <row r="70" spans="1:18" s="1289" customFormat="1" ht="13.8" thickBot="1">
      <c r="A70" s="898"/>
      <c r="B70" s="899"/>
      <c r="C70" s="300"/>
      <c r="D70" s="910"/>
      <c r="E70" s="894" t="s">
        <v>766</v>
      </c>
      <c r="F70" s="989"/>
      <c r="O70" s="1331" t="s">
        <v>412</v>
      </c>
      <c r="P70" s="1368" t="s">
        <v>873</v>
      </c>
      <c r="Q70" s="1324">
        <f ca="1">C13</f>
        <v>1757</v>
      </c>
      <c r="R70" s="1324" t="s">
        <v>818</v>
      </c>
    </row>
    <row r="71" spans="1:18" s="1289" customFormat="1" ht="13.8" thickBot="1">
      <c r="A71" s="915" t="s">
        <v>396</v>
      </c>
      <c r="B71" s="916" t="s">
        <v>776</v>
      </c>
      <c r="C71" s="325">
        <f ca="1">ROUND(C68*10000/F71,0)</f>
        <v>-1533</v>
      </c>
      <c r="D71" s="917" t="s">
        <v>777</v>
      </c>
      <c r="E71" s="918" t="s">
        <v>778</v>
      </c>
      <c r="F71" s="328">
        <f ca="1">F43</f>
        <v>1232.79</v>
      </c>
      <c r="O71" s="1331" t="s">
        <v>413</v>
      </c>
      <c r="P71" s="1368" t="s">
        <v>874</v>
      </c>
      <c r="Q71" s="1334">
        <f ca="1">C76</f>
        <v>7.4999999999999997E-2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132</v>
      </c>
      <c r="D75" s="1289"/>
      <c r="E75" s="1289"/>
      <c r="F75" s="1289"/>
      <c r="K75" s="1306"/>
      <c r="L75" s="1289"/>
      <c r="O75" s="1322" t="s">
        <v>409</v>
      </c>
      <c r="P75" s="1323" t="s">
        <v>838</v>
      </c>
      <c r="Q75" s="1324">
        <f ca="1">Q65+Q66</f>
        <v>1114</v>
      </c>
      <c r="R75" s="1324" t="s">
        <v>410</v>
      </c>
    </row>
    <row r="76" spans="1:18">
      <c r="B76" s="331" t="s">
        <v>796</v>
      </c>
      <c r="C76" s="332">
        <f ca="1">INDIRECT("'数据-取费表'!j"&amp;$G$1)</f>
        <v>7.4999999999999997E-2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-1.1960000000000002</v>
      </c>
    </row>
    <row r="80" spans="1:18">
      <c r="B80" s="329" t="s">
        <v>800</v>
      </c>
      <c r="C80" s="264">
        <f ca="1">ROUND(C75/C39,3)</f>
        <v>2.1960000000000002</v>
      </c>
    </row>
    <row r="81" spans="2:3">
      <c r="B81" s="260" t="s">
        <v>801</v>
      </c>
      <c r="C81" s="228"/>
    </row>
    <row r="82" spans="2:3">
      <c r="B82" s="263" t="s">
        <v>802</v>
      </c>
      <c r="C82" s="265">
        <f ca="1">1-C83</f>
        <v>-0.57699999999999996</v>
      </c>
    </row>
    <row r="83" spans="2:3">
      <c r="B83" s="263" t="s">
        <v>803</v>
      </c>
      <c r="C83" s="264">
        <f ca="1">ROUND(C13/C40,3)</f>
        <v>1.577</v>
      </c>
    </row>
  </sheetData>
  <sheetProtection algorithmName="SHA-512" hashValue="oBhTT9mk5I3nBTjWju0zKjNml8WM6fWh9mQH85xrb1FxeleScO2+VACq4Pn7EHlcwpyc1j6qscBcaM8nEet27Q==" saltValue="bQvWehwRrUMFEbyMpFg2YA==" spinCount="100000"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c r="D1" s="1268" t="s">
        <v>43</v>
      </c>
      <c r="E1" s="1269" t="s">
        <v>678</v>
      </c>
      <c r="F1" s="997">
        <f ca="1">J53</f>
        <v>0</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21"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0</v>
      </c>
      <c r="K5" s="1270" t="s">
        <v>889</v>
      </c>
      <c r="L5" s="1006"/>
      <c r="M5" s="1007"/>
    </row>
    <row r="6" spans="1:37" ht="18" customHeight="1">
      <c r="A6" s="1004" t="s">
        <v>398</v>
      </c>
      <c r="B6" s="3406" t="s">
        <v>694</v>
      </c>
      <c r="C6" s="1009">
        <f ca="1">ROUND(F6*F8*F7*(1-F9),0)</f>
        <v>0</v>
      </c>
      <c r="D6" s="145" t="s">
        <v>2103</v>
      </c>
      <c r="E6" s="292" t="s">
        <v>696</v>
      </c>
      <c r="F6" s="293">
        <f ca="1">INDIRECT("'数据-取费表'!u"&amp;$G$1)</f>
        <v>0</v>
      </c>
      <c r="G6" s="1289"/>
      <c r="H6" s="1004" t="s">
        <v>398</v>
      </c>
      <c r="I6" s="3406" t="s">
        <v>694</v>
      </c>
      <c r="J6" s="291">
        <f ca="1">ROUND(M6*M8*M7*(1-M9),0)</f>
        <v>0</v>
      </c>
      <c r="K6" s="1281" t="s">
        <v>2104</v>
      </c>
      <c r="L6" s="292" t="s">
        <v>696</v>
      </c>
      <c r="M6" s="293">
        <f ca="1">INDIRECT("'数据-取费表'!z"&amp;$G$1)</f>
        <v>0</v>
      </c>
    </row>
    <row r="7" spans="1:37" ht="18" customHeight="1">
      <c r="A7" s="1008"/>
      <c r="B7" s="3407"/>
      <c r="C7" s="1010"/>
      <c r="D7" s="297"/>
      <c r="E7" s="1011" t="s">
        <v>697</v>
      </c>
      <c r="F7" s="293">
        <f ca="1">IF(INDIRECT("'数据-取费表'!ah"&amp;$G$1)="",INDIRECT("'数据-取费表'!k"&amp;$G$1),INDIRECT("'数据-取费表'!ah"&amp;$G$1))</f>
        <v>0</v>
      </c>
      <c r="G7" s="1289"/>
      <c r="H7" s="294"/>
      <c r="I7" s="3407"/>
      <c r="J7" s="296"/>
      <c r="K7" s="297"/>
      <c r="L7" s="292" t="s">
        <v>697</v>
      </c>
      <c r="M7" s="293">
        <f ca="1">F7</f>
        <v>0</v>
      </c>
    </row>
    <row r="8" spans="1:37" ht="18" customHeight="1">
      <c r="A8" s="294"/>
      <c r="B8" s="3407"/>
      <c r="C8" s="296"/>
      <c r="D8" s="297"/>
      <c r="E8" s="292" t="s">
        <v>698</v>
      </c>
      <c r="F8" s="293">
        <f ca="1">INDIRECT("'数据-取费表'!ai"&amp;$G$1)</f>
        <v>0</v>
      </c>
      <c r="G8" s="1289"/>
      <c r="H8" s="294"/>
      <c r="I8" s="3407"/>
      <c r="J8" s="296"/>
      <c r="K8" s="297"/>
      <c r="L8" s="292" t="s">
        <v>698</v>
      </c>
      <c r="M8" s="293">
        <f ca="1">INDIRECT("'数据-取费表'!ai"&amp;$G$1)</f>
        <v>0</v>
      </c>
    </row>
    <row r="9" spans="1:37" ht="18" customHeight="1">
      <c r="A9" s="294"/>
      <c r="B9" s="3408"/>
      <c r="C9" s="296"/>
      <c r="D9" s="297"/>
      <c r="E9" s="292" t="s">
        <v>699</v>
      </c>
      <c r="F9" s="302">
        <f ca="1">INDIRECT("'数据-取费表'!w"&amp;$G$1)</f>
        <v>0</v>
      </c>
      <c r="G9" s="1289"/>
      <c r="H9" s="294"/>
      <c r="I9" s="3408"/>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282" t="s">
        <v>2115</v>
      </c>
      <c r="L10" s="303" t="s">
        <v>701</v>
      </c>
      <c r="M10" s="1051"/>
    </row>
    <row r="11" spans="1:37" ht="18" customHeight="1">
      <c r="A11" s="298"/>
      <c r="B11" s="1272" t="s">
        <v>890</v>
      </c>
      <c r="C11" s="903"/>
      <c r="D11" s="297"/>
      <c r="E11" s="303" t="s">
        <v>702</v>
      </c>
      <c r="F11" s="304">
        <f ca="1">'数据-取费表'!B39</f>
        <v>1.4999999999999999E-2</v>
      </c>
      <c r="G11" s="1289"/>
      <c r="H11" s="1012"/>
      <c r="I11" s="1272" t="s">
        <v>891</v>
      </c>
      <c r="J11" s="903"/>
      <c r="K11" s="644"/>
      <c r="L11" s="303"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ROUND(F17*(F43+INDIRECT("'数据-取费表'!S"&amp;$G$1)),0)</f>
        <v>0</v>
      </c>
      <c r="D17" s="292" t="s">
        <v>717</v>
      </c>
      <c r="E17" s="292" t="s">
        <v>718</v>
      </c>
      <c r="F17" s="23">
        <f>'数据-取费表'!B35</f>
        <v>200</v>
      </c>
      <c r="G17" s="1300"/>
      <c r="H17" s="926"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0.03</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IF(K19="按租金收入计税",ROUND(J6*M19/(1+'数据-取费表'!C42),0),ROUND(C29*M19*0.7,0))</f>
        <v>0</v>
      </c>
      <c r="K19" s="1275" t="s">
        <v>3323</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0.05</v>
      </c>
      <c r="G20" s="1300"/>
      <c r="H20" s="926"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0.03</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3</v>
      </c>
      <c r="G23" s="1300"/>
      <c r="H23" s="926"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1.4E-3</v>
      </c>
      <c r="D24" s="136" t="str">
        <f>IF(F23&lt;=1,"销售费用×利率×(建设周期÷2)","销售费用×((1+利率)^(建设周期÷2)-1)")</f>
        <v>销售费用×((1+利率)^(建设周期÷2)-1)</v>
      </c>
      <c r="E24" s="292" t="s">
        <v>747</v>
      </c>
      <c r="F24" s="320">
        <f ca="1">'数据-取费表'!B40</f>
        <v>3.1E-2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ht="18" customHeight="1">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5.2400000000000002E-2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8"/>
      <c r="I30" s="1302"/>
      <c r="J30" s="1303"/>
      <c r="K30" s="119"/>
      <c r="L30" s="2469"/>
      <c r="M30" s="2470"/>
    </row>
    <row r="31" spans="1:37" ht="18" customHeight="1">
      <c r="A31" s="926"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7" t="s">
        <v>2294</v>
      </c>
      <c r="I31" s="1302"/>
      <c r="J31" s="1303"/>
      <c r="K31" s="119"/>
      <c r="L31" s="2469"/>
      <c r="M31" s="2470"/>
    </row>
    <row r="32" spans="1:37" ht="18" customHeight="1">
      <c r="A32" s="926" t="s">
        <v>397</v>
      </c>
      <c r="B32" s="292" t="s">
        <v>723</v>
      </c>
      <c r="C32" s="21">
        <f ca="1">IF(项目基本情况!B11="自然人","——",ROUND(C6*F32/(1+'数据-取费表'!C42),0))</f>
        <v>0</v>
      </c>
      <c r="D32" s="1253" t="s">
        <v>724</v>
      </c>
      <c r="E32" s="292" t="s">
        <v>712</v>
      </c>
      <c r="F32" s="320">
        <f>'数据-取费表'!B41</f>
        <v>5.5000000000000007E-2</v>
      </c>
      <c r="G32" s="1289"/>
      <c r="H32" s="2468"/>
      <c r="I32" s="1302"/>
      <c r="J32" s="1303"/>
      <c r="K32" s="119"/>
      <c r="L32" s="2469"/>
      <c r="M32" s="2470"/>
    </row>
    <row r="33" spans="1:18" ht="18" customHeight="1">
      <c r="A33" s="926" t="s">
        <v>399</v>
      </c>
      <c r="B33" s="292" t="s">
        <v>727</v>
      </c>
      <c r="C33" s="21">
        <f ca="1">IF(项目基本情况!B11="自然人","——",IF(D33="按租金收入计税",ROUND(C6*F33/(1+'数据-取费表'!C42),0),IF(D33="按房产原值计税",ROUND(C29*F33*0.7,0),INDIRECT("'数据-取费表'!Aj"&amp;$G$1))))</f>
        <v>0</v>
      </c>
      <c r="D33" s="1275" t="s">
        <v>3323</v>
      </c>
      <c r="E33" s="292" t="s">
        <v>712</v>
      </c>
      <c r="F33" s="312">
        <f>IF(D33="按票据","——",IF(D33="按租金收入计税",'数据-取费表'!B51,'数据-取费表'!B50))</f>
        <v>0.12</v>
      </c>
      <c r="G33" s="1289"/>
      <c r="H33" s="2471"/>
      <c r="I33" s="1302"/>
      <c r="J33" s="1303"/>
      <c r="K33" s="2472"/>
      <c r="L33" s="2471"/>
      <c r="M33" s="2471"/>
    </row>
    <row r="34" spans="1:18" ht="18" customHeight="1">
      <c r="A34" s="1004" t="s">
        <v>680</v>
      </c>
      <c r="B34" s="145" t="s">
        <v>730</v>
      </c>
      <c r="C34" s="22">
        <f ca="1">IF(项目基本情况!B11="自然人","——",ROUND(F34*F35,0))</f>
        <v>0</v>
      </c>
      <c r="D34" s="314" t="s">
        <v>731</v>
      </c>
      <c r="E34" s="292" t="s">
        <v>732</v>
      </c>
      <c r="F34" s="315">
        <f>'数据-取费表'!B52</f>
        <v>1.5</v>
      </c>
      <c r="G34" s="1289"/>
      <c r="H34" s="2468"/>
      <c r="I34" s="1302"/>
      <c r="J34" s="1303"/>
      <c r="K34" s="2473"/>
      <c r="L34" s="2474"/>
      <c r="M34" s="2474"/>
    </row>
    <row r="35" spans="1:18" ht="18" customHeight="1">
      <c r="A35" s="1038"/>
      <c r="B35" s="1036"/>
      <c r="C35" s="26"/>
      <c r="D35" s="317"/>
      <c r="E35" s="292" t="s">
        <v>736</v>
      </c>
      <c r="F35" s="293">
        <f ca="1">INDIRECT("'数据-取费表'!r"&amp;$G$1)</f>
        <v>0</v>
      </c>
      <c r="G35" s="1289"/>
      <c r="H35" s="2468"/>
      <c r="I35" s="1302"/>
      <c r="J35" s="1303"/>
      <c r="K35" s="2472"/>
      <c r="L35" s="2471"/>
      <c r="M35" s="2471"/>
    </row>
    <row r="36" spans="1:18" ht="18" customHeight="1">
      <c r="A36" s="1037" t="s">
        <v>402</v>
      </c>
      <c r="B36" s="292" t="s">
        <v>738</v>
      </c>
      <c r="C36" s="21">
        <f ca="1">ROUND(C29*F36,0)</f>
        <v>0</v>
      </c>
      <c r="D36" s="1253" t="s">
        <v>771</v>
      </c>
      <c r="E36" s="292" t="s">
        <v>712</v>
      </c>
      <c r="F36" s="318">
        <f ca="1">INDIRECT("'数据-取费表'!Ak"&amp;$G$1)</f>
        <v>0</v>
      </c>
      <c r="G36" s="1289"/>
      <c r="H36" s="2471"/>
      <c r="I36" s="1302"/>
      <c r="J36" s="1303"/>
      <c r="K36" s="2328"/>
      <c r="L36" s="2471"/>
      <c r="M36" s="2471"/>
    </row>
    <row r="37" spans="1:18" ht="18" customHeight="1">
      <c r="A37" s="926" t="s">
        <v>437</v>
      </c>
      <c r="B37" s="292" t="s">
        <v>742</v>
      </c>
      <c r="C37" s="21">
        <f ca="1">ROUND(C13*F37,0)</f>
        <v>0</v>
      </c>
      <c r="D37" s="1253" t="s">
        <v>743</v>
      </c>
      <c r="E37" s="292" t="s">
        <v>744</v>
      </c>
      <c r="F37" s="319">
        <f ca="1">INDIRECT("'数据-取费表'!Al"&amp;$G$1)</f>
        <v>0</v>
      </c>
      <c r="G37" s="1289"/>
      <c r="H37" s="2471"/>
      <c r="I37" s="1302"/>
      <c r="J37" s="1303"/>
      <c r="K37" s="2328"/>
      <c r="L37" s="2471"/>
      <c r="M37" s="2471"/>
    </row>
    <row r="38" spans="1:18" ht="18" customHeight="1" thickBot="1">
      <c r="A38" s="1024" t="s">
        <v>684</v>
      </c>
      <c r="B38" s="1025" t="s">
        <v>728</v>
      </c>
      <c r="C38" s="1026">
        <f ca="1">ROUND(C5*F38,0)</f>
        <v>0</v>
      </c>
      <c r="D38" s="1027" t="s">
        <v>748</v>
      </c>
      <c r="E38" s="1025" t="s">
        <v>744</v>
      </c>
      <c r="F38" s="1021">
        <f ca="1">INDIRECT("'数据-取费表'!Am"&amp;$G$1)</f>
        <v>0</v>
      </c>
      <c r="G38" s="1289"/>
      <c r="H38" s="2471"/>
      <c r="I38" s="1302"/>
      <c r="J38" s="1303"/>
      <c r="K38" s="2469"/>
      <c r="L38" s="2471"/>
      <c r="M38" s="2471"/>
    </row>
    <row r="39" spans="1:18" ht="24.6" customHeight="1" thickTop="1">
      <c r="A39" s="1014" t="s">
        <v>394</v>
      </c>
      <c r="B39" s="1029" t="s">
        <v>772</v>
      </c>
      <c r="C39" s="300">
        <f ca="1">C5-C30</f>
        <v>0</v>
      </c>
      <c r="D39" s="1030" t="s">
        <v>773</v>
      </c>
      <c r="E39" s="1031"/>
      <c r="F39" s="1032"/>
      <c r="G39" s="1289"/>
      <c r="H39" s="2471"/>
      <c r="I39" s="1302"/>
      <c r="J39" s="1303"/>
      <c r="K39" s="2469"/>
      <c r="L39" s="2471"/>
      <c r="M39" s="2471"/>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9"/>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766</v>
      </c>
      <c r="F42" s="302">
        <f ca="1">INDIRECT("'数据-取费表'!v"&amp;$G$1)</f>
        <v>0</v>
      </c>
      <c r="G42" s="1289"/>
      <c r="H42" s="119"/>
      <c r="I42" s="1302"/>
      <c r="J42" s="1303"/>
      <c r="K42" s="2328"/>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7" t="s">
        <v>3339</v>
      </c>
      <c r="B45" s="1304"/>
      <c r="C45" s="1373" t="e">
        <f ca="1">ROUND((C68-C40)/10000,4)</f>
        <v>#DIV/0!</v>
      </c>
      <c r="D45" s="3128" t="s">
        <v>3340</v>
      </c>
      <c r="E45" s="1304"/>
      <c r="F45" s="1304"/>
      <c r="O45" s="1307" t="s">
        <v>808</v>
      </c>
      <c r="P45" s="1363"/>
      <c r="Q45" s="1363"/>
      <c r="R45" s="1363"/>
    </row>
    <row r="46" spans="1:18" s="1289" customFormat="1" ht="13.8"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90" t="s">
        <v>687</v>
      </c>
      <c r="B47" s="922" t="s">
        <v>688</v>
      </c>
      <c r="C47" s="92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9" t="s">
        <v>439</v>
      </c>
      <c r="B49" s="1276" t="s">
        <v>779</v>
      </c>
      <c r="C49" s="1049">
        <f ca="1">ROUND(F49*F51*F50*(1-F52),0)</f>
        <v>0</v>
      </c>
      <c r="D49" s="990" t="s">
        <v>695</v>
      </c>
      <c r="E49" s="1277" t="s">
        <v>780</v>
      </c>
      <c r="F49" s="995"/>
      <c r="H49" s="680"/>
      <c r="I49" s="1325" t="s">
        <v>823</v>
      </c>
      <c r="J49" s="1329"/>
      <c r="K49" s="1327" t="s">
        <v>824</v>
      </c>
      <c r="L49" s="1330"/>
      <c r="O49" s="1331" t="s">
        <v>405</v>
      </c>
      <c r="P49" s="1323" t="s">
        <v>825</v>
      </c>
      <c r="Q49" s="1324">
        <f ca="1">C29</f>
        <v>0</v>
      </c>
      <c r="R49" s="1324" t="s">
        <v>818</v>
      </c>
    </row>
    <row r="50" spans="1:18" s="1289" customFormat="1" ht="13.8" thickBot="1">
      <c r="A50" s="920"/>
      <c r="B50" s="923"/>
      <c r="C50" s="924"/>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3" t="s">
        <v>700</v>
      </c>
      <c r="C53" s="306">
        <f ca="1">ROUND(IF(F53="押一",C49/12*F11,IF(F53="押二",C49/12*2*F11,IF(F53="押三",C49/12*3*F11,C54*F11))),0)</f>
        <v>0</v>
      </c>
      <c r="D53" s="148" t="s">
        <v>2116</v>
      </c>
      <c r="E53" s="303" t="s">
        <v>701</v>
      </c>
      <c r="F53" s="1051"/>
      <c r="I53" s="1341" t="s">
        <v>836</v>
      </c>
      <c r="J53" s="2003">
        <f ca="1">IF(M47="住宅",IF(D1="——",MAX(J51,L48),MAX(J51,L48-'数据-取费表'!B24)),IF(D1="——",MIN(J51,L48),MIN(J51,L48-'数据-取费表'!B24)))</f>
        <v>0</v>
      </c>
      <c r="K53" s="3404" t="s">
        <v>837</v>
      </c>
      <c r="L53" s="3405"/>
      <c r="O53" s="1322" t="s">
        <v>409</v>
      </c>
      <c r="P53" s="1323" t="s">
        <v>838</v>
      </c>
      <c r="Q53" s="1324" t="e">
        <f ca="1">Q47+Q48</f>
        <v>#DIV/0!</v>
      </c>
      <c r="R53" s="1324" t="s">
        <v>410</v>
      </c>
    </row>
    <row r="54" spans="1:18" s="1289" customFormat="1" ht="13.8" thickBot="1">
      <c r="A54" s="919"/>
      <c r="B54" s="1374" t="s">
        <v>891</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6" thickBot="1">
      <c r="A57" s="1353"/>
      <c r="B57" s="894"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5" t="s">
        <v>393</v>
      </c>
      <c r="B58" s="902" t="s">
        <v>714</v>
      </c>
      <c r="C58" s="306">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3323</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8"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2" thickBot="1">
      <c r="A66" s="926" t="s">
        <v>793</v>
      </c>
      <c r="B66" s="894" t="s">
        <v>728</v>
      </c>
      <c r="C66" s="21">
        <f ca="1">ROUND(C48*F66,0)</f>
        <v>0</v>
      </c>
      <c r="D66" s="908" t="s">
        <v>794</v>
      </c>
      <c r="E66" s="894" t="s">
        <v>712</v>
      </c>
      <c r="F66" s="302">
        <f t="shared" ca="1" si="0"/>
        <v>0</v>
      </c>
      <c r="O66" s="1322" t="s">
        <v>404</v>
      </c>
      <c r="P66" s="1323" t="s">
        <v>846</v>
      </c>
      <c r="Q66" s="1324" t="e">
        <f ca="1">L60</f>
        <v>#DIV/0!</v>
      </c>
      <c r="R66" s="1324" t="s">
        <v>869</v>
      </c>
    </row>
    <row r="67" spans="1:18" s="1289" customFormat="1" ht="24.6"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2"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8" thickBot="1">
      <c r="A69" s="895"/>
      <c r="B69" s="896"/>
      <c r="C69" s="296"/>
      <c r="D69" s="914" t="s">
        <v>762</v>
      </c>
      <c r="E69" s="894" t="s">
        <v>763</v>
      </c>
      <c r="F69" s="322">
        <f ca="1">F41</f>
        <v>0</v>
      </c>
      <c r="O69" s="1331" t="s">
        <v>411</v>
      </c>
      <c r="P69" s="1368" t="s">
        <v>872</v>
      </c>
      <c r="Q69" s="1324">
        <f ca="1">C39</f>
        <v>0</v>
      </c>
      <c r="R69" s="1324" t="s">
        <v>818</v>
      </c>
    </row>
    <row r="70" spans="1:18" s="1289" customFormat="1" ht="13.8" thickBot="1">
      <c r="A70" s="898"/>
      <c r="B70" s="899"/>
      <c r="C70" s="300"/>
      <c r="D70" s="910"/>
      <c r="E70" s="894" t="s">
        <v>766</v>
      </c>
      <c r="F70" s="989"/>
      <c r="O70" s="1331" t="s">
        <v>412</v>
      </c>
      <c r="P70" s="1368" t="s">
        <v>873</v>
      </c>
      <c r="Q70" s="1324">
        <f ca="1">C13</f>
        <v>0</v>
      </c>
      <c r="R70" s="1324" t="s">
        <v>818</v>
      </c>
    </row>
    <row r="71" spans="1:18" s="1289" customFormat="1" ht="13.8" thickBot="1">
      <c r="A71" s="915" t="s">
        <v>396</v>
      </c>
      <c r="B71" s="916" t="s">
        <v>776</v>
      </c>
      <c r="C71" s="325" t="e">
        <f ca="1">ROUND(C68/F71,0)</f>
        <v>#DIV/0!</v>
      </c>
      <c r="D71" s="917" t="s">
        <v>777</v>
      </c>
      <c r="E71" s="918" t="s">
        <v>778</v>
      </c>
      <c r="F71" s="328">
        <f ca="1">F43</f>
        <v>0</v>
      </c>
      <c r="O71" s="1331" t="s">
        <v>413</v>
      </c>
      <c r="P71" s="1368" t="s">
        <v>874</v>
      </c>
      <c r="Q71" s="1334">
        <f ca="1">C76</f>
        <v>0</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2423</v>
      </c>
      <c r="B1" s="2581"/>
      <c r="C1" s="2593"/>
      <c r="D1" s="2593"/>
      <c r="E1" s="2582"/>
      <c r="F1" s="2583"/>
      <c r="G1" s="2584"/>
      <c r="J1" s="2587" t="s">
        <v>2302</v>
      </c>
      <c r="K1" s="2588"/>
      <c r="L1" s="2588"/>
      <c r="M1" s="2588"/>
      <c r="N1" s="2588"/>
      <c r="O1" s="2588"/>
      <c r="P1" s="2588"/>
      <c r="Q1" s="2588"/>
      <c r="R1" s="2589"/>
      <c r="S1" s="2590"/>
      <c r="T1" s="2590"/>
      <c r="U1" s="2590"/>
    </row>
    <row r="2" spans="1:22" s="2602" customFormat="1" ht="13.2" customHeight="1">
      <c r="A2" s="1290" t="s">
        <v>2303</v>
      </c>
      <c r="B2" s="2592" t="e">
        <f>IF(D2="——",C40,C40+E2)</f>
        <v>#DIV/0!</v>
      </c>
      <c r="C2" s="2593" t="s">
        <v>2304</v>
      </c>
      <c r="D2" s="3136" t="s">
        <v>3346</v>
      </c>
      <c r="E2" s="3137"/>
      <c r="F2" s="2595"/>
      <c r="G2" s="2596"/>
      <c r="H2" s="2597"/>
      <c r="I2" s="2598"/>
      <c r="J2" s="3409" t="s">
        <v>2305</v>
      </c>
      <c r="K2" s="3410"/>
      <c r="L2" s="2599" t="s">
        <v>2306</v>
      </c>
      <c r="M2" s="2599" t="s">
        <v>2307</v>
      </c>
      <c r="N2" s="2599" t="s">
        <v>2308</v>
      </c>
      <c r="O2" s="2599" t="s">
        <v>2309</v>
      </c>
      <c r="P2" s="2599" t="s">
        <v>2310</v>
      </c>
      <c r="Q2" s="2600" t="s">
        <v>2311</v>
      </c>
      <c r="R2" s="2601" t="s">
        <v>2312</v>
      </c>
      <c r="S2" s="2590"/>
      <c r="T2" s="2590"/>
      <c r="U2" s="2590"/>
      <c r="V2" s="2598"/>
    </row>
    <row r="3" spans="1:22" s="2602" customFormat="1" ht="13.2" customHeight="1">
      <c r="A3" s="2603" t="s">
        <v>2313</v>
      </c>
      <c r="B3" s="2604" t="e">
        <f>ROUND(B2*10000/B4,0)</f>
        <v>#DIV/0!</v>
      </c>
      <c r="C3" s="2593" t="s">
        <v>2314</v>
      </c>
      <c r="D3" s="2593"/>
      <c r="E3" s="2594"/>
      <c r="F3" s="2595"/>
      <c r="G3" s="2596"/>
      <c r="H3" s="2597"/>
      <c r="I3" s="2598"/>
      <c r="J3" s="3411" t="s">
        <v>2315</v>
      </c>
      <c r="K3" s="3412"/>
      <c r="L3" s="2605"/>
      <c r="M3" s="2605"/>
      <c r="N3" s="2605"/>
      <c r="O3" s="2605"/>
      <c r="P3" s="2605"/>
      <c r="Q3" s="2606"/>
      <c r="R3" s="2607">
        <f>SUM(L3:Q3)</f>
        <v>0</v>
      </c>
      <c r="S3" s="2590"/>
      <c r="T3" s="2590"/>
      <c r="U3" s="2590"/>
      <c r="V3" s="2598"/>
    </row>
    <row r="4" spans="1:22" s="2602" customFormat="1" ht="13.2" customHeight="1">
      <c r="A4" s="2608" t="s">
        <v>2316</v>
      </c>
      <c r="B4" s="2609"/>
      <c r="C4" s="2593"/>
      <c r="D4" s="2593"/>
      <c r="E4" s="2594"/>
      <c r="F4" s="2595"/>
      <c r="G4" s="2596"/>
      <c r="H4" s="2597"/>
      <c r="I4" s="2598"/>
      <c r="J4" s="3411" t="s">
        <v>2317</v>
      </c>
      <c r="K4" s="3412"/>
      <c r="L4" s="2610"/>
      <c r="M4" s="2610"/>
      <c r="N4" s="2610"/>
      <c r="O4" s="2610"/>
      <c r="P4" s="2610"/>
      <c r="Q4" s="2611"/>
      <c r="R4" s="2612">
        <f>SUM(L4:Q4)</f>
        <v>0</v>
      </c>
      <c r="S4" s="2590"/>
      <c r="T4" s="2590"/>
      <c r="U4" s="2590"/>
      <c r="V4" s="2598"/>
    </row>
    <row r="5" spans="1:22" s="2602" customFormat="1" ht="13.2" customHeight="1" thickBot="1">
      <c r="A5" s="2613" t="s">
        <v>2318</v>
      </c>
      <c r="B5" s="2614"/>
      <c r="C5" s="2593"/>
      <c r="D5" s="2615"/>
      <c r="E5" s="2595"/>
      <c r="F5" s="2595"/>
      <c r="G5" s="2596"/>
      <c r="H5" s="2597"/>
      <c r="I5" s="2598"/>
      <c r="J5" s="2616" t="s">
        <v>2319</v>
      </c>
      <c r="K5" s="2617"/>
      <c r="L5" s="2617"/>
      <c r="M5" s="2618"/>
      <c r="N5" s="2618"/>
      <c r="O5" s="2618"/>
      <c r="P5" s="2618"/>
      <c r="Q5" s="2618"/>
      <c r="R5" s="2601">
        <f>SUM(R14,R19,R24,R25,R27,R28)</f>
        <v>0</v>
      </c>
      <c r="S5" s="2590"/>
      <c r="T5" s="2590" t="s">
        <v>2320</v>
      </c>
      <c r="U5" s="2590" t="e">
        <f>ROUND(R5*10000/365/R3,1)</f>
        <v>#DIV/0!</v>
      </c>
      <c r="V5" s="2598"/>
    </row>
    <row r="6" spans="1:22" s="2602" customFormat="1" ht="13.2" customHeight="1" thickBot="1">
      <c r="A6" s="3413" t="s">
        <v>2321</v>
      </c>
      <c r="B6" s="3414"/>
      <c r="C6" s="3415"/>
      <c r="D6" s="2619"/>
      <c r="E6" s="2620"/>
      <c r="F6" s="2621"/>
      <c r="G6" s="2622"/>
      <c r="H6" s="2597"/>
      <c r="I6" s="2598"/>
      <c r="J6" s="3416">
        <v>1</v>
      </c>
      <c r="K6" s="3417" t="s">
        <v>2322</v>
      </c>
      <c r="L6" s="2623" t="s">
        <v>2323</v>
      </c>
      <c r="M6" s="2624" t="s">
        <v>2324</v>
      </c>
      <c r="N6" s="2624" t="s">
        <v>2325</v>
      </c>
      <c r="O6" s="2624" t="s">
        <v>2326</v>
      </c>
      <c r="P6" s="2624" t="s">
        <v>2327</v>
      </c>
      <c r="Q6" s="2624" t="s">
        <v>2328</v>
      </c>
      <c r="R6" s="2607" t="s">
        <v>2329</v>
      </c>
      <c r="S6" s="2590"/>
      <c r="T6" s="2590" t="s">
        <v>2330</v>
      </c>
      <c r="U6" s="2590"/>
      <c r="V6" s="2598"/>
    </row>
    <row r="7" spans="1:22" s="2602" customFormat="1" ht="13.2" customHeight="1">
      <c r="A7" s="2625" t="s">
        <v>2331</v>
      </c>
      <c r="B7" s="2626"/>
      <c r="C7" s="2627"/>
      <c r="D7" s="2628">
        <f>SUM(D9,D10,D11,D17,0)</f>
        <v>0</v>
      </c>
      <c r="E7" s="2629" t="e">
        <f>E9+E10+E11+E17</f>
        <v>#DIV/0!</v>
      </c>
      <c r="F7" s="2630"/>
      <c r="G7" s="2631"/>
      <c r="H7" s="2597"/>
      <c r="I7" s="2598"/>
      <c r="J7" s="3416"/>
      <c r="K7" s="3418"/>
      <c r="L7" s="2632" t="s">
        <v>2332</v>
      </c>
      <c r="M7" s="2633"/>
      <c r="N7" s="2609"/>
      <c r="O7" s="2634"/>
      <c r="P7" s="2634"/>
      <c r="Q7" s="2635">
        <v>365</v>
      </c>
      <c r="R7" s="2636">
        <f>ROUND(M7*N7*O7*P7*Q7/10000,0)</f>
        <v>0</v>
      </c>
      <c r="S7" s="2590"/>
      <c r="T7" s="2590" t="s">
        <v>2333</v>
      </c>
      <c r="U7" s="2590"/>
      <c r="V7" s="2598"/>
    </row>
    <row r="8" spans="1:22" s="2602" customFormat="1" ht="13.2" customHeight="1">
      <c r="A8" s="2637" t="s">
        <v>2334</v>
      </c>
      <c r="B8" s="3420" t="s">
        <v>2335</v>
      </c>
      <c r="C8" s="3421"/>
      <c r="D8" s="2638" t="s">
        <v>2336</v>
      </c>
      <c r="E8" s="2639" t="s">
        <v>2337</v>
      </c>
      <c r="F8" s="2640" t="s">
        <v>2338</v>
      </c>
      <c r="G8" s="2641"/>
      <c r="H8" s="2597"/>
      <c r="I8" s="2598"/>
      <c r="J8" s="3416"/>
      <c r="K8" s="3418"/>
      <c r="L8" s="2632" t="s">
        <v>2339</v>
      </c>
      <c r="M8" s="2633"/>
      <c r="N8" s="2609"/>
      <c r="O8" s="2634"/>
      <c r="P8" s="2634"/>
      <c r="Q8" s="2635">
        <v>365</v>
      </c>
      <c r="R8" s="2636">
        <f t="shared" ref="R8:R13" si="0">ROUND(M8*N8*O8*P8*Q8/10000,0)</f>
        <v>0</v>
      </c>
      <c r="S8" s="2590"/>
      <c r="T8" s="2590" t="s">
        <v>2340</v>
      </c>
      <c r="U8" s="2590"/>
      <c r="V8" s="2598"/>
    </row>
    <row r="9" spans="1:22" s="2602" customFormat="1" ht="13.2" customHeight="1">
      <c r="A9" s="2637">
        <v>1</v>
      </c>
      <c r="B9" s="3420" t="s">
        <v>2341</v>
      </c>
      <c r="C9" s="3421"/>
      <c r="D9" s="2638">
        <f>ROUND(D6*E9,0)</f>
        <v>0</v>
      </c>
      <c r="E9" s="2642"/>
      <c r="F9" s="2643" t="s">
        <v>2342</v>
      </c>
      <c r="G9" s="2622"/>
      <c r="H9" s="2597"/>
      <c r="I9" s="2598"/>
      <c r="J9" s="3416"/>
      <c r="K9" s="3418"/>
      <c r="L9" s="2632" t="s">
        <v>2343</v>
      </c>
      <c r="M9" s="2633"/>
      <c r="N9" s="2609"/>
      <c r="O9" s="2634"/>
      <c r="P9" s="2634"/>
      <c r="Q9" s="2635">
        <v>365</v>
      </c>
      <c r="R9" s="2636">
        <f t="shared" si="0"/>
        <v>0</v>
      </c>
      <c r="S9" s="2590"/>
      <c r="T9" s="2590"/>
      <c r="U9" s="2590"/>
      <c r="V9" s="2598"/>
    </row>
    <row r="10" spans="1:22" s="2602" customFormat="1" ht="13.2" customHeight="1">
      <c r="A10" s="2637">
        <v>2</v>
      </c>
      <c r="B10" s="3420" t="s">
        <v>2344</v>
      </c>
      <c r="C10" s="3421"/>
      <c r="D10" s="2638">
        <f>ROUND(D6*E10,0)</f>
        <v>0</v>
      </c>
      <c r="E10" s="2642"/>
      <c r="F10" s="2643" t="s">
        <v>2345</v>
      </c>
      <c r="G10" s="2622"/>
      <c r="H10" s="2597"/>
      <c r="I10" s="2598"/>
      <c r="J10" s="3416"/>
      <c r="K10" s="3418"/>
      <c r="L10" s="2632" t="s">
        <v>2346</v>
      </c>
      <c r="M10" s="2633"/>
      <c r="N10" s="2609"/>
      <c r="O10" s="2634"/>
      <c r="P10" s="2634"/>
      <c r="Q10" s="2635">
        <v>365</v>
      </c>
      <c r="R10" s="2636">
        <f t="shared" si="0"/>
        <v>0</v>
      </c>
      <c r="S10" s="2590"/>
      <c r="T10" s="2590"/>
      <c r="U10" s="2590"/>
      <c r="V10" s="2598"/>
    </row>
    <row r="11" spans="1:22" s="2602" customFormat="1" ht="13.2" customHeight="1">
      <c r="A11" s="2637">
        <v>3</v>
      </c>
      <c r="B11" s="3420" t="s">
        <v>2347</v>
      </c>
      <c r="C11" s="3421"/>
      <c r="D11" s="2638">
        <f>D12+D14+D15+D16</f>
        <v>0</v>
      </c>
      <c r="E11" s="2644" t="e">
        <f>D11/D6</f>
        <v>#DIV/0!</v>
      </c>
      <c r="F11" s="2640"/>
      <c r="G11" s="2641"/>
      <c r="H11" s="2597"/>
      <c r="I11" s="2598"/>
      <c r="J11" s="3416"/>
      <c r="K11" s="3418"/>
      <c r="L11" s="2632" t="s">
        <v>2348</v>
      </c>
      <c r="M11" s="2633"/>
      <c r="N11" s="2609"/>
      <c r="O11" s="2634"/>
      <c r="P11" s="2634"/>
      <c r="Q11" s="2635">
        <v>365</v>
      </c>
      <c r="R11" s="2636">
        <f t="shared" si="0"/>
        <v>0</v>
      </c>
      <c r="S11" s="2590"/>
      <c r="T11" s="2590"/>
      <c r="U11" s="2590"/>
      <c r="V11" s="2598"/>
    </row>
    <row r="12" spans="1:22" s="2602" customFormat="1" ht="13.2" customHeight="1">
      <c r="A12" s="2645" t="s">
        <v>2349</v>
      </c>
      <c r="B12" s="3422" t="s">
        <v>2350</v>
      </c>
      <c r="C12" s="3423"/>
      <c r="D12" s="2646">
        <f>ROUND(D13*1.2%*(1-30%),0)</f>
        <v>0</v>
      </c>
      <c r="E12" s="2647">
        <v>1.2E-2</v>
      </c>
      <c r="F12" s="2640" t="s">
        <v>2351</v>
      </c>
      <c r="G12" s="2641"/>
      <c r="H12" s="2597"/>
      <c r="I12" s="2598"/>
      <c r="J12" s="3416"/>
      <c r="K12" s="3418"/>
      <c r="L12" s="2632" t="s">
        <v>2352</v>
      </c>
      <c r="M12" s="2633"/>
      <c r="N12" s="2609"/>
      <c r="O12" s="2634"/>
      <c r="P12" s="2634"/>
      <c r="Q12" s="2635">
        <v>365</v>
      </c>
      <c r="R12" s="2636">
        <f t="shared" si="0"/>
        <v>0</v>
      </c>
      <c r="S12" s="2590"/>
      <c r="T12" s="2590"/>
      <c r="U12" s="2590"/>
      <c r="V12" s="2598"/>
    </row>
    <row r="13" spans="1:22" s="2602" customFormat="1" ht="13.2" customHeight="1">
      <c r="A13" s="2645"/>
      <c r="B13" s="2648"/>
      <c r="C13" s="2649" t="s">
        <v>2353</v>
      </c>
      <c r="D13" s="2650"/>
      <c r="E13" s="2651"/>
      <c r="F13" s="2640"/>
      <c r="G13" s="2641"/>
      <c r="H13" s="2597"/>
      <c r="I13" s="2598"/>
      <c r="J13" s="3416"/>
      <c r="K13" s="3418"/>
      <c r="L13" s="2632" t="s">
        <v>2354</v>
      </c>
      <c r="M13" s="2633"/>
      <c r="N13" s="2609"/>
      <c r="O13" s="2634"/>
      <c r="P13" s="2634"/>
      <c r="Q13" s="2635">
        <v>365</v>
      </c>
      <c r="R13" s="2636">
        <f t="shared" si="0"/>
        <v>0</v>
      </c>
      <c r="S13" s="2590"/>
      <c r="T13" s="2590"/>
      <c r="U13" s="2590"/>
      <c r="V13" s="2598"/>
    </row>
    <row r="14" spans="1:22" s="2602" customFormat="1" ht="13.2" customHeight="1">
      <c r="A14" s="2645" t="s">
        <v>2355</v>
      </c>
      <c r="B14" s="3422" t="s">
        <v>2356</v>
      </c>
      <c r="C14" s="3423"/>
      <c r="D14" s="2646">
        <f>ROUND(E14*B5/10000,0)</f>
        <v>0</v>
      </c>
      <c r="E14" s="2635"/>
      <c r="F14" s="2640" t="s">
        <v>2357</v>
      </c>
      <c r="G14" s="2641"/>
      <c r="H14" s="2597"/>
      <c r="I14" s="2598"/>
      <c r="J14" s="3416"/>
      <c r="K14" s="3419"/>
      <c r="L14" s="2652" t="s">
        <v>2358</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2359</v>
      </c>
      <c r="B15" s="3422" t="s">
        <v>2360</v>
      </c>
      <c r="C15" s="3423"/>
      <c r="D15" s="2646">
        <f>ROUND(D6*E15,0)</f>
        <v>0</v>
      </c>
      <c r="E15" s="2647">
        <v>5.5E-2</v>
      </c>
      <c r="F15" s="2640" t="s">
        <v>2361</v>
      </c>
      <c r="G15" s="2622"/>
      <c r="H15" s="2597"/>
      <c r="I15" s="2598"/>
      <c r="J15" s="3416">
        <v>2</v>
      </c>
      <c r="K15" s="3417" t="s">
        <v>2362</v>
      </c>
      <c r="L15" s="2632" t="s">
        <v>2363</v>
      </c>
      <c r="M15" s="2633" t="s">
        <v>2364</v>
      </c>
      <c r="N15" s="2633" t="s">
        <v>2365</v>
      </c>
      <c r="O15" s="2634" t="s">
        <v>2366</v>
      </c>
      <c r="P15" s="2634" t="s">
        <v>2328</v>
      </c>
      <c r="Q15" s="2609" t="s">
        <v>2367</v>
      </c>
      <c r="R15" s="2656" t="s">
        <v>2329</v>
      </c>
      <c r="S15" s="2590"/>
      <c r="T15" s="2590"/>
      <c r="U15" s="2590"/>
      <c r="V15" s="2598"/>
    </row>
    <row r="16" spans="1:22" s="2602" customFormat="1" ht="13.2" customHeight="1">
      <c r="A16" s="2645" t="s">
        <v>2368</v>
      </c>
      <c r="B16" s="3422" t="s">
        <v>2369</v>
      </c>
      <c r="C16" s="3423"/>
      <c r="D16" s="2657">
        <f>D6*E16</f>
        <v>0</v>
      </c>
      <c r="E16" s="2658"/>
      <c r="F16" s="2643" t="s">
        <v>2370</v>
      </c>
      <c r="G16" s="2622"/>
      <c r="H16" s="2597"/>
      <c r="I16" s="2598"/>
      <c r="J16" s="3416"/>
      <c r="K16" s="3418"/>
      <c r="L16" s="2632" t="s">
        <v>2371</v>
      </c>
      <c r="M16" s="2633"/>
      <c r="N16" s="2633"/>
      <c r="O16" s="2634"/>
      <c r="P16" s="2635">
        <v>365</v>
      </c>
      <c r="Q16" s="2609"/>
      <c r="R16" s="2656">
        <f>ROUND(M16*N16*O16*P16/10000,0)</f>
        <v>0</v>
      </c>
      <c r="S16" s="2590"/>
      <c r="T16" s="2590"/>
      <c r="U16" s="2590"/>
      <c r="V16" s="2598"/>
    </row>
    <row r="17" spans="1:22" s="2602" customFormat="1" ht="13.2" customHeight="1" thickBot="1">
      <c r="A17" s="2659">
        <v>4</v>
      </c>
      <c r="B17" s="3424" t="s">
        <v>2372</v>
      </c>
      <c r="C17" s="3425"/>
      <c r="D17" s="2660">
        <f>ROUND(D6*E17,0)</f>
        <v>0</v>
      </c>
      <c r="E17" s="2661"/>
      <c r="F17" s="2662" t="s">
        <v>2373</v>
      </c>
      <c r="G17" s="2622"/>
      <c r="H17" s="2597"/>
      <c r="I17" s="2598"/>
      <c r="J17" s="3416"/>
      <c r="K17" s="3418"/>
      <c r="L17" s="2632" t="s">
        <v>2374</v>
      </c>
      <c r="M17" s="2633"/>
      <c r="N17" s="2633"/>
      <c r="O17" s="2634"/>
      <c r="P17" s="2635">
        <v>365</v>
      </c>
      <c r="Q17" s="2609"/>
      <c r="R17" s="2656">
        <f>ROUND(M17*N17*O17*P17/10000,0)</f>
        <v>0</v>
      </c>
      <c r="S17" s="2590"/>
      <c r="T17" s="2590"/>
      <c r="U17" s="2590"/>
      <c r="V17" s="2598"/>
    </row>
    <row r="18" spans="1:22" s="2602" customFormat="1" ht="13.2" customHeight="1" thickBot="1">
      <c r="A18" s="2625" t="s">
        <v>2375</v>
      </c>
      <c r="B18" s="2626"/>
      <c r="C18" s="2626"/>
      <c r="D18" s="2663">
        <f>ROUND(D6*E18,0)</f>
        <v>0</v>
      </c>
      <c r="E18" s="2664"/>
      <c r="F18" s="2665" t="s">
        <v>2376</v>
      </c>
      <c r="G18" s="2622"/>
      <c r="H18" s="2597"/>
      <c r="I18" s="2598"/>
      <c r="J18" s="3416"/>
      <c r="K18" s="3418"/>
      <c r="L18" s="2632" t="s">
        <v>2377</v>
      </c>
      <c r="M18" s="2633"/>
      <c r="N18" s="2633"/>
      <c r="O18" s="2634"/>
      <c r="P18" s="2635">
        <v>365</v>
      </c>
      <c r="Q18" s="2609"/>
      <c r="R18" s="2656">
        <f>ROUND(M18*N18*O18*P18/10000,0)</f>
        <v>0</v>
      </c>
      <c r="S18" s="2590"/>
      <c r="T18" s="2590"/>
      <c r="U18" s="2590"/>
      <c r="V18" s="2598"/>
    </row>
    <row r="19" spans="1:22" s="2602" customFormat="1" ht="13.2" customHeight="1" thickBot="1">
      <c r="A19" s="2666" t="s">
        <v>2378</v>
      </c>
      <c r="B19" s="2620"/>
      <c r="C19" s="2620"/>
      <c r="D19" s="2620"/>
      <c r="E19" s="2620"/>
      <c r="F19" s="2621"/>
      <c r="G19" s="2641"/>
      <c r="H19" s="2597"/>
      <c r="I19" s="2598"/>
      <c r="J19" s="3416"/>
      <c r="K19" s="3419"/>
      <c r="L19" s="2652" t="s">
        <v>2358</v>
      </c>
      <c r="M19" s="2653"/>
      <c r="N19" s="2653">
        <f>SUM(N16:N18)</f>
        <v>0</v>
      </c>
      <c r="O19" s="2654"/>
      <c r="P19" s="2667" t="s">
        <v>2422</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6">
        <v>3</v>
      </c>
      <c r="K20" s="3417" t="s">
        <v>2379</v>
      </c>
      <c r="L20" s="2632" t="s">
        <v>2380</v>
      </c>
      <c r="M20" s="2633" t="s">
        <v>2381</v>
      </c>
      <c r="N20" s="2670" t="s">
        <v>2382</v>
      </c>
      <c r="O20" s="2634" t="s">
        <v>2383</v>
      </c>
      <c r="P20" s="2635" t="s">
        <v>2384</v>
      </c>
      <c r="Q20" s="2609" t="s">
        <v>2385</v>
      </c>
      <c r="R20" s="2656" t="s">
        <v>2386</v>
      </c>
      <c r="S20" s="2590"/>
      <c r="T20" s="2590"/>
      <c r="U20" s="2590"/>
      <c r="V20" s="2598"/>
    </row>
    <row r="21" spans="1:22" s="2602" customFormat="1" ht="13.2" customHeight="1">
      <c r="A21" s="2625"/>
      <c r="B21" s="2626"/>
      <c r="C21" s="2671" t="s">
        <v>2387</v>
      </c>
      <c r="D21" s="2672" t="s">
        <v>2388</v>
      </c>
      <c r="E21" s="2673" t="s">
        <v>2389</v>
      </c>
      <c r="F21" s="2669"/>
      <c r="G21" s="2641"/>
      <c r="H21" s="2597"/>
      <c r="I21" s="2598"/>
      <c r="J21" s="3416"/>
      <c r="K21" s="3418"/>
      <c r="L21" s="2632" t="s">
        <v>2390</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2391</v>
      </c>
      <c r="D22" s="2676" t="s">
        <v>2392</v>
      </c>
      <c r="E22" s="2677" t="s">
        <v>2393</v>
      </c>
      <c r="F22" s="2669"/>
      <c r="G22" s="2590"/>
      <c r="H22" s="2597"/>
      <c r="I22" s="2598"/>
      <c r="J22" s="3416"/>
      <c r="K22" s="3418"/>
      <c r="L22" s="2632" t="s">
        <v>2394</v>
      </c>
      <c r="M22" s="2633"/>
      <c r="N22" s="2633"/>
      <c r="O22" s="2634"/>
      <c r="P22" s="2635">
        <v>365</v>
      </c>
      <c r="Q22" s="2609"/>
      <c r="R22" s="2674">
        <f>ROUND(M22*N22*O22*P22/10000,0)</f>
        <v>0</v>
      </c>
      <c r="S22" s="2590"/>
      <c r="T22" s="2590"/>
      <c r="U22" s="2590"/>
      <c r="V22" s="2598"/>
    </row>
    <row r="23" spans="1:22" s="2602" customFormat="1" ht="13.2" customHeight="1">
      <c r="A23" s="2678">
        <v>1</v>
      </c>
      <c r="B23" s="2679" t="s">
        <v>2395</v>
      </c>
      <c r="C23" s="2680">
        <f>D6</f>
        <v>0</v>
      </c>
      <c r="D23" s="2681">
        <f>C23*(1+D24)</f>
        <v>0</v>
      </c>
      <c r="E23" s="2682">
        <f>D23*(1+E24)</f>
        <v>0</v>
      </c>
      <c r="F23" s="2683"/>
      <c r="G23" s="2684"/>
      <c r="H23" s="2597"/>
      <c r="I23" s="2598"/>
      <c r="J23" s="3416"/>
      <c r="K23" s="3418"/>
      <c r="L23" s="2632" t="s">
        <v>2396</v>
      </c>
      <c r="M23" s="2633"/>
      <c r="N23" s="2633"/>
      <c r="O23" s="2634"/>
      <c r="P23" s="2635">
        <v>365</v>
      </c>
      <c r="Q23" s="2609"/>
      <c r="R23" s="2674">
        <f>ROUND(M23*N23*O23*P23/10000,0)</f>
        <v>0</v>
      </c>
      <c r="S23" s="2590"/>
      <c r="T23" s="2590"/>
      <c r="U23" s="2590"/>
      <c r="V23" s="2598"/>
    </row>
    <row r="24" spans="1:22" s="2602" customFormat="1" ht="13.2" customHeight="1">
      <c r="A24" s="2685"/>
      <c r="B24" s="2686" t="s">
        <v>2397</v>
      </c>
      <c r="C24" s="2687"/>
      <c r="D24" s="2688"/>
      <c r="E24" s="2689"/>
      <c r="F24" s="2690"/>
      <c r="G24" s="2684"/>
      <c r="H24" s="2597"/>
      <c r="I24" s="2598"/>
      <c r="J24" s="3416"/>
      <c r="K24" s="3419"/>
      <c r="L24" s="2652" t="s">
        <v>2358</v>
      </c>
      <c r="M24" s="2653">
        <f>SUM(M21:M23)</f>
        <v>0</v>
      </c>
      <c r="N24" s="2653"/>
      <c r="O24" s="2654"/>
      <c r="P24" s="2667" t="s">
        <v>2422</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2398</v>
      </c>
      <c r="L25" s="2693"/>
      <c r="M25" s="2693"/>
      <c r="N25" s="2693"/>
      <c r="O25" s="2693"/>
      <c r="P25" s="2694"/>
      <c r="Q25" s="2695">
        <v>0</v>
      </c>
      <c r="R25" s="2668">
        <f>ROUND(R14*Q25,0)</f>
        <v>0</v>
      </c>
      <c r="S25" s="2590"/>
      <c r="T25" s="2590"/>
      <c r="U25" s="2590"/>
      <c r="V25" s="2696"/>
    </row>
    <row r="26" spans="1:22" s="2697" customFormat="1" ht="13.2" customHeight="1">
      <c r="A26" s="2678">
        <v>2</v>
      </c>
      <c r="B26" s="2679" t="s">
        <v>2399</v>
      </c>
      <c r="C26" s="2680">
        <f>D7</f>
        <v>0</v>
      </c>
      <c r="D26" s="2681">
        <f>D23*D27</f>
        <v>0</v>
      </c>
      <c r="E26" s="2682">
        <f>E23*E27</f>
        <v>0</v>
      </c>
      <c r="F26" s="2683"/>
      <c r="G26" s="2684"/>
      <c r="H26" s="2597"/>
      <c r="I26" s="2598"/>
      <c r="J26" s="3426">
        <v>5</v>
      </c>
      <c r="K26" s="2698" t="s">
        <v>2400</v>
      </c>
      <c r="L26" s="2699"/>
      <c r="M26" s="2700"/>
      <c r="N26" s="2701" t="s">
        <v>2401</v>
      </c>
      <c r="O26" s="2701" t="s">
        <v>2402</v>
      </c>
      <c r="P26" s="2702" t="s">
        <v>2403</v>
      </c>
      <c r="Q26" s="2702" t="s">
        <v>2404</v>
      </c>
      <c r="R26" s="2607" t="s">
        <v>2329</v>
      </c>
      <c r="S26" s="2641"/>
      <c r="T26" s="2641"/>
      <c r="U26" s="2641"/>
      <c r="V26" s="2696"/>
    </row>
    <row r="27" spans="1:22" s="2602" customFormat="1" ht="13.2" customHeight="1">
      <c r="A27" s="2685"/>
      <c r="B27" s="2686" t="s">
        <v>2405</v>
      </c>
      <c r="C27" s="2703" t="e">
        <f>E7</f>
        <v>#DIV/0!</v>
      </c>
      <c r="D27" s="2688"/>
      <c r="E27" s="2689"/>
      <c r="F27" s="2690"/>
      <c r="G27" s="2684"/>
      <c r="H27" s="2704"/>
      <c r="I27" s="2696"/>
      <c r="J27" s="342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2406</v>
      </c>
      <c r="F28" s="2690"/>
      <c r="G28" s="2590"/>
      <c r="H28" s="2704"/>
      <c r="I28" s="2696"/>
      <c r="J28" s="2710">
        <v>6</v>
      </c>
      <c r="K28" s="2711" t="s">
        <v>2407</v>
      </c>
      <c r="L28" s="2712" t="s">
        <v>2408</v>
      </c>
      <c r="M28" s="2713"/>
      <c r="N28" s="2712" t="s">
        <v>2409</v>
      </c>
      <c r="O28" s="2714"/>
      <c r="P28" s="2712" t="s">
        <v>2410</v>
      </c>
      <c r="Q28" s="2715">
        <v>1.4999999999999999E-2</v>
      </c>
      <c r="R28" s="2716"/>
      <c r="S28" s="2590"/>
      <c r="T28" s="2590"/>
      <c r="U28" s="2590"/>
      <c r="V28" s="2696"/>
    </row>
    <row r="29" spans="1:22" s="2697" customFormat="1" ht="13.2" customHeight="1">
      <c r="A29" s="2678">
        <v>3</v>
      </c>
      <c r="B29" s="2679" t="s">
        <v>2411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2405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2412</v>
      </c>
      <c r="K31" s="2588"/>
      <c r="L31" s="2588"/>
      <c r="M31" s="2588"/>
      <c r="N31" s="2588"/>
      <c r="O31" s="2588"/>
      <c r="P31" s="2588"/>
      <c r="Q31" s="2588"/>
      <c r="R31" s="2589"/>
      <c r="S31" s="2590"/>
      <c r="T31" s="2590"/>
      <c r="U31" s="2590"/>
      <c r="V31" s="2696"/>
    </row>
    <row r="32" spans="1:22" s="2697" customFormat="1" ht="13.2" customHeight="1">
      <c r="A32" s="2678">
        <v>4</v>
      </c>
      <c r="B32" s="2679" t="s">
        <v>2413</v>
      </c>
      <c r="C32" s="2680">
        <f>C23-C26-C29</f>
        <v>0</v>
      </c>
      <c r="D32" s="2681">
        <f>D23-D26-D29</f>
        <v>0</v>
      </c>
      <c r="E32" s="2682">
        <f>E23-E26-E29</f>
        <v>0</v>
      </c>
      <c r="F32" s="2683"/>
      <c r="G32" s="2590"/>
      <c r="H32" s="2597"/>
      <c r="I32" s="2598"/>
      <c r="J32" s="3409" t="s">
        <v>2305</v>
      </c>
      <c r="K32" s="3410"/>
      <c r="L32" s="2599" t="s">
        <v>2306</v>
      </c>
      <c r="M32" s="2599" t="s">
        <v>2307</v>
      </c>
      <c r="N32" s="2599" t="s">
        <v>2308</v>
      </c>
      <c r="O32" s="2599" t="s">
        <v>2309</v>
      </c>
      <c r="P32" s="2599" t="s">
        <v>2310</v>
      </c>
      <c r="Q32" s="2600" t="s">
        <v>2311</v>
      </c>
      <c r="R32" s="2719" t="s">
        <v>2312</v>
      </c>
      <c r="S32" s="2590"/>
      <c r="T32" s="2590"/>
      <c r="U32" s="2590"/>
      <c r="V32" s="2696"/>
    </row>
    <row r="33" spans="1:23" s="2602" customFormat="1" ht="13.2" customHeight="1">
      <c r="A33" s="2678"/>
      <c r="B33" s="2679"/>
      <c r="C33" s="2680"/>
      <c r="D33" s="2720"/>
      <c r="E33" s="2721"/>
      <c r="F33" s="2683"/>
      <c r="G33" s="2590"/>
      <c r="H33" s="2704"/>
      <c r="I33" s="2696"/>
      <c r="J33" s="3411" t="s">
        <v>2315</v>
      </c>
      <c r="K33" s="3412"/>
      <c r="L33" s="2605"/>
      <c r="M33" s="2605"/>
      <c r="N33" s="2605"/>
      <c r="O33" s="2605"/>
      <c r="P33" s="2605"/>
      <c r="Q33" s="2606"/>
      <c r="R33" s="2722">
        <f>SUM(L33:Q33)</f>
        <v>0</v>
      </c>
      <c r="S33" s="2590"/>
      <c r="T33" s="2590"/>
      <c r="U33" s="2590"/>
      <c r="V33" s="2598"/>
    </row>
    <row r="34" spans="1:23" s="2602" customFormat="1" ht="13.2" customHeight="1">
      <c r="A34" s="2678">
        <v>5</v>
      </c>
      <c r="B34" s="2679" t="s">
        <v>2414</v>
      </c>
      <c r="C34" s="2723"/>
      <c r="D34" s="2724"/>
      <c r="E34" s="2725"/>
      <c r="F34" s="2683"/>
      <c r="G34" s="2590"/>
      <c r="H34" s="2704"/>
      <c r="I34" s="2696"/>
      <c r="J34" s="3411" t="s">
        <v>2317</v>
      </c>
      <c r="K34" s="341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2415</v>
      </c>
      <c r="C35" s="2727"/>
      <c r="D35" s="2728"/>
      <c r="E35" s="2729"/>
      <c r="F35" s="2683"/>
      <c r="G35" s="2730"/>
      <c r="H35" s="2597"/>
      <c r="I35" s="2696"/>
      <c r="J35" s="2616" t="s">
        <v>2319</v>
      </c>
      <c r="K35" s="2617"/>
      <c r="L35" s="2617"/>
      <c r="M35" s="2618"/>
      <c r="N35" s="2618"/>
      <c r="O35" s="2618"/>
      <c r="P35" s="2618"/>
      <c r="Q35" s="2618"/>
      <c r="R35" s="2731">
        <f>R40+R41+R43</f>
        <v>0</v>
      </c>
      <c r="S35" s="2590"/>
      <c r="T35" s="2590" t="s">
        <v>2320</v>
      </c>
      <c r="U35" s="2590"/>
      <c r="V35" s="2598"/>
    </row>
    <row r="36" spans="1:23" s="2602" customFormat="1" ht="13.2" customHeight="1" thickBot="1">
      <c r="A36" s="2678">
        <v>7</v>
      </c>
      <c r="B36" s="2732" t="s">
        <v>2416</v>
      </c>
      <c r="C36" s="2733"/>
      <c r="D36" s="2734"/>
      <c r="E36" s="2735"/>
      <c r="F36" s="2736">
        <f>C36+D36+E36</f>
        <v>0</v>
      </c>
      <c r="G36" s="2590"/>
      <c r="H36" s="2597"/>
      <c r="I36" s="2598"/>
      <c r="J36" s="3416">
        <v>1</v>
      </c>
      <c r="K36" s="3417" t="s">
        <v>2417</v>
      </c>
      <c r="L36" s="2623"/>
      <c r="M36" s="2624"/>
      <c r="N36" s="2624"/>
      <c r="O36" s="2624"/>
      <c r="P36" s="2624"/>
      <c r="Q36" s="2624"/>
      <c r="R36" s="2607" t="s">
        <v>2329</v>
      </c>
      <c r="S36" s="2590"/>
      <c r="T36" s="2590" t="s">
        <v>2330</v>
      </c>
      <c r="U36" s="2590"/>
      <c r="V36" s="2598"/>
    </row>
    <row r="37" spans="1:23" s="2602" customFormat="1" ht="13.2" customHeight="1">
      <c r="A37" s="2678"/>
      <c r="B37" s="2679"/>
      <c r="C37" s="2679"/>
      <c r="D37" s="2679"/>
      <c r="E37" s="2679"/>
      <c r="F37" s="2683"/>
      <c r="G37" s="2590"/>
      <c r="H37" s="2597"/>
      <c r="I37" s="2598"/>
      <c r="J37" s="3416"/>
      <c r="K37" s="3418"/>
      <c r="L37" s="2632"/>
      <c r="M37" s="2633"/>
      <c r="N37" s="2609"/>
      <c r="O37" s="2634"/>
      <c r="P37" s="2634"/>
      <c r="Q37" s="2635"/>
      <c r="R37" s="2636"/>
      <c r="S37" s="2590"/>
      <c r="T37" s="2590" t="s">
        <v>2333</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6"/>
      <c r="K38" s="3418"/>
      <c r="L38" s="2632"/>
      <c r="M38" s="2633"/>
      <c r="N38" s="2609"/>
      <c r="O38" s="2634"/>
      <c r="P38" s="2634"/>
      <c r="Q38" s="2635"/>
      <c r="R38" s="2636"/>
      <c r="S38" s="2590"/>
      <c r="T38" s="2590" t="s">
        <v>2340</v>
      </c>
      <c r="U38" s="2590"/>
      <c r="V38" s="2598"/>
    </row>
    <row r="39" spans="1:23" s="2602" customFormat="1" ht="13.2" customHeight="1">
      <c r="A39" s="2678">
        <v>9</v>
      </c>
      <c r="B39" s="2679" t="s">
        <v>2418</v>
      </c>
      <c r="C39" s="2646" t="e">
        <f>C38</f>
        <v>#DIV/0!</v>
      </c>
      <c r="D39" s="2679">
        <f>D38/(1+D34)^C36</f>
        <v>0</v>
      </c>
      <c r="E39" s="2679">
        <f>E38/(1+E34)^(C36+D36)</f>
        <v>0</v>
      </c>
      <c r="F39" s="2683"/>
      <c r="G39" s="2598"/>
      <c r="H39" s="2597"/>
      <c r="I39" s="2598"/>
      <c r="J39" s="3416"/>
      <c r="K39" s="3418"/>
      <c r="L39" s="2632"/>
      <c r="M39" s="2633"/>
      <c r="N39" s="2609"/>
      <c r="O39" s="2634"/>
      <c r="P39" s="2634"/>
      <c r="Q39" s="2635"/>
      <c r="R39" s="2636"/>
      <c r="S39" s="2590"/>
      <c r="T39" s="2590"/>
      <c r="U39" s="2590"/>
      <c r="V39" s="2598"/>
    </row>
    <row r="40" spans="1:23" s="2602" customFormat="1" ht="13.2" customHeight="1">
      <c r="A40" s="2737">
        <v>10</v>
      </c>
      <c r="B40" s="2679" t="s">
        <v>2419</v>
      </c>
      <c r="C40" s="2738" t="e">
        <f>C39+D39+E39</f>
        <v>#DIV/0!</v>
      </c>
      <c r="D40" s="2739"/>
      <c r="E40" s="2739"/>
      <c r="F40" s="2740"/>
      <c r="G40" s="2590"/>
      <c r="H40" s="2597"/>
      <c r="I40" s="2598"/>
      <c r="J40" s="3416"/>
      <c r="K40" s="3419"/>
      <c r="L40" s="2652" t="s">
        <v>2358</v>
      </c>
      <c r="M40" s="2653"/>
      <c r="N40" s="2653"/>
      <c r="O40" s="2654"/>
      <c r="P40" s="2654"/>
      <c r="Q40" s="2655"/>
      <c r="R40" s="2601">
        <f>SUM(R37:R39)</f>
        <v>0</v>
      </c>
      <c r="S40" s="2590"/>
      <c r="T40" s="2590"/>
      <c r="U40" s="2590"/>
      <c r="V40" s="2598"/>
    </row>
    <row r="41" spans="1:23" s="2602" customFormat="1" ht="13.2" customHeight="1" thickBot="1">
      <c r="A41" s="2741">
        <v>11</v>
      </c>
      <c r="B41" s="2742" t="s">
        <v>2420</v>
      </c>
      <c r="C41" s="2742" t="e">
        <f>ROUND(C40*10000/B4,0)</f>
        <v>#DIV/0!</v>
      </c>
      <c r="D41" s="2743"/>
      <c r="E41" s="2743"/>
      <c r="F41" s="2744"/>
      <c r="G41" s="2597"/>
      <c r="H41" s="2597"/>
      <c r="I41" s="2598"/>
      <c r="J41" s="2691">
        <v>2</v>
      </c>
      <c r="K41" s="2692" t="s">
        <v>2398</v>
      </c>
      <c r="L41" s="2693"/>
      <c r="M41" s="2693"/>
      <c r="N41" s="2693"/>
      <c r="O41" s="2693"/>
      <c r="P41" s="2694"/>
      <c r="Q41" s="2695"/>
      <c r="R41" s="2668">
        <f>ROUND(R40*Q41,0)</f>
        <v>0</v>
      </c>
      <c r="S41" s="2590"/>
      <c r="T41" s="2590"/>
      <c r="U41" s="2641"/>
      <c r="V41" s="2598"/>
    </row>
    <row r="42" spans="1:23" s="2602" customFormat="1" ht="13.2" customHeight="1">
      <c r="G42" s="2597"/>
      <c r="H42" s="2597"/>
      <c r="I42" s="2598"/>
      <c r="J42" s="3426">
        <v>3</v>
      </c>
      <c r="K42" s="2698" t="s">
        <v>2400</v>
      </c>
      <c r="L42" s="2699"/>
      <c r="M42" s="2700"/>
      <c r="N42" s="2701" t="s">
        <v>2401</v>
      </c>
      <c r="O42" s="2701" t="s">
        <v>2402</v>
      </c>
      <c r="P42" s="2702" t="s">
        <v>2403</v>
      </c>
      <c r="Q42" s="2702" t="s">
        <v>2404</v>
      </c>
      <c r="R42" s="2607" t="s">
        <v>2329</v>
      </c>
      <c r="S42" s="2641"/>
      <c r="T42" s="2641"/>
      <c r="U42" s="2590"/>
      <c r="V42" s="2598"/>
    </row>
    <row r="43" spans="1:23" ht="13.2" customHeight="1">
      <c r="A43" s="2602"/>
      <c r="B43" s="2602"/>
      <c r="C43" s="2602"/>
      <c r="D43" s="2602"/>
      <c r="E43" s="2602"/>
      <c r="F43" s="2602"/>
      <c r="I43" s="2585"/>
      <c r="J43" s="342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2407</v>
      </c>
      <c r="L44" s="2747" t="s">
        <v>2408</v>
      </c>
      <c r="M44" s="2713"/>
      <c r="N44" s="2747" t="s">
        <v>2409</v>
      </c>
      <c r="O44" s="2713"/>
      <c r="P44" s="2747" t="s">
        <v>2410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7"/>
      <c r="G1" s="457"/>
      <c r="H1" s="457"/>
      <c r="I1" s="457"/>
      <c r="J1" s="457"/>
      <c r="K1" s="457"/>
      <c r="L1" s="457"/>
      <c r="M1" s="457"/>
      <c r="N1" s="457"/>
      <c r="O1" s="457"/>
      <c r="P1" s="457"/>
      <c r="Q1" s="457"/>
      <c r="R1" s="457"/>
      <c r="S1" s="457"/>
    </row>
    <row r="2" spans="1:22" ht="15.6">
      <c r="A2" s="1725" t="s">
        <v>1462</v>
      </c>
      <c r="B2" s="809">
        <f ca="1">SUMIF(B6:B13,"&lt;&gt;#ref!",B6:B13)</f>
        <v>1166</v>
      </c>
      <c r="C2" s="1726" t="s">
        <v>1651</v>
      </c>
      <c r="D2" s="1727" t="s">
        <v>1652</v>
      </c>
      <c r="E2" s="2390">
        <f>SUM(E6:E13)</f>
        <v>1232.79</v>
      </c>
      <c r="F2" s="2477"/>
      <c r="G2" s="457"/>
      <c r="H2" s="457"/>
      <c r="I2" s="457"/>
      <c r="J2" s="457"/>
      <c r="K2" s="457"/>
      <c r="L2" s="457"/>
      <c r="M2" s="457"/>
      <c r="N2" s="457"/>
      <c r="O2" s="457"/>
      <c r="P2" s="457"/>
      <c r="Q2" s="457"/>
      <c r="R2" s="457"/>
      <c r="S2" s="457"/>
    </row>
    <row r="3" spans="1:22" ht="15.6">
      <c r="A3" s="1725" t="s">
        <v>686</v>
      </c>
      <c r="B3" s="2384">
        <f ca="1">ROUND(B2*10000/E2,0)</f>
        <v>9458</v>
      </c>
      <c r="C3" s="1726" t="s">
        <v>1659</v>
      </c>
      <c r="D3" s="2477"/>
      <c r="E3" s="2480"/>
      <c r="F3" s="2477"/>
      <c r="G3" s="457"/>
      <c r="H3" s="457"/>
      <c r="I3" s="457"/>
      <c r="J3" s="457"/>
      <c r="K3" s="457"/>
      <c r="L3" s="457"/>
      <c r="M3" s="457"/>
      <c r="N3" s="457"/>
      <c r="O3" s="457"/>
      <c r="P3" s="457"/>
      <c r="Q3" s="457"/>
      <c r="R3" s="457"/>
      <c r="S3" s="457"/>
    </row>
    <row r="4" spans="1:22" ht="15.6">
      <c r="A4" s="2481"/>
      <c r="B4" s="2477"/>
      <c r="C4" s="2477"/>
      <c r="D4" s="2477"/>
      <c r="E4" s="2480"/>
      <c r="F4" s="2477"/>
      <c r="G4" s="457"/>
      <c r="H4" s="457"/>
      <c r="I4" s="457"/>
      <c r="J4" s="457"/>
      <c r="K4" s="457"/>
      <c r="L4" s="457"/>
      <c r="M4" s="457"/>
      <c r="N4" s="457"/>
      <c r="O4" s="457"/>
      <c r="P4" s="457"/>
      <c r="Q4" s="457"/>
      <c r="R4" s="457"/>
      <c r="S4" s="457"/>
    </row>
    <row r="5" spans="1:22" ht="14.4">
      <c r="A5" s="2386" t="s">
        <v>1653</v>
      </c>
      <c r="B5" s="3428" t="s">
        <v>1654</v>
      </c>
      <c r="C5" s="3429"/>
      <c r="D5" s="2478"/>
      <c r="E5" s="1728" t="s">
        <v>1655</v>
      </c>
      <c r="F5" s="127" t="s">
        <v>1656</v>
      </c>
      <c r="G5" s="457"/>
      <c r="H5" s="457"/>
      <c r="I5" s="457"/>
      <c r="J5" s="457"/>
      <c r="K5" s="457"/>
      <c r="L5" s="457"/>
      <c r="M5" s="457"/>
      <c r="N5" s="457"/>
      <c r="O5" s="457"/>
      <c r="P5" s="457"/>
      <c r="Q5" s="457"/>
      <c r="R5" s="457"/>
      <c r="S5" s="457"/>
    </row>
    <row r="6" spans="1:22" ht="14.4">
      <c r="A6" s="2387" t="str">
        <f>'数据-取费表'!AN6</f>
        <v>收益法</v>
      </c>
      <c r="B6" s="2385">
        <f ca="1">IF(F6="是",'数据-取费表'!AO6,0)</f>
        <v>1166</v>
      </c>
      <c r="C6" s="1726" t="s">
        <v>1651</v>
      </c>
      <c r="D6" s="2477"/>
      <c r="E6" s="2389">
        <f>IF(OR(A6=0,F6="否"),0,'数据-取费表'!K6+'数据-取费表'!S6)</f>
        <v>1232.79</v>
      </c>
      <c r="F6" s="1729" t="s">
        <v>1657</v>
      </c>
      <c r="G6" s="457"/>
      <c r="H6" s="457"/>
      <c r="I6" s="457"/>
      <c r="J6" s="457"/>
      <c r="K6" s="457"/>
      <c r="L6" s="457"/>
      <c r="M6" s="457"/>
      <c r="N6" s="457"/>
      <c r="O6" s="457"/>
      <c r="P6" s="457"/>
      <c r="Q6" s="457"/>
      <c r="R6" s="457"/>
      <c r="S6" s="457"/>
    </row>
    <row r="7" spans="1:22" ht="14.4">
      <c r="A7" s="2387">
        <f>'数据-取费表'!AN7</f>
        <v>0</v>
      </c>
      <c r="B7" s="2385" t="e">
        <f ca="1">IF(F7="是",'数据-取费表'!AO7,0)</f>
        <v>#REF!</v>
      </c>
      <c r="C7" s="1726" t="s">
        <v>1651</v>
      </c>
      <c r="D7" s="2477"/>
      <c r="E7" s="2389">
        <f>IF(OR(A7=0,F7="否"),0,'数据-取费表'!K7+'数据-取费表'!S7)</f>
        <v>0</v>
      </c>
      <c r="F7" s="1729" t="s">
        <v>1657</v>
      </c>
      <c r="G7" s="457"/>
      <c r="H7" s="457"/>
      <c r="I7" s="457"/>
      <c r="J7" s="457"/>
      <c r="K7" s="457"/>
      <c r="L7" s="457"/>
      <c r="M7" s="457"/>
      <c r="N7" s="457"/>
      <c r="O7" s="457"/>
      <c r="P7" s="457"/>
      <c r="Q7" s="457"/>
      <c r="R7" s="457"/>
      <c r="S7" s="457"/>
    </row>
    <row r="8" spans="1:22" ht="14.4">
      <c r="A8" s="2387">
        <f>'数据-取费表'!AN8</f>
        <v>0</v>
      </c>
      <c r="B8" s="2385" t="e">
        <f ca="1">IF(F8="是",'数据-取费表'!AO8,0)</f>
        <v>#REF!</v>
      </c>
      <c r="C8" s="1726" t="s">
        <v>1651</v>
      </c>
      <c r="D8" s="2477"/>
      <c r="E8" s="2389">
        <f>IF(OR(A8=0,F8="否"),0,'数据-取费表'!K8+'数据-取费表'!S8)</f>
        <v>0</v>
      </c>
      <c r="F8" s="1729" t="s">
        <v>1657</v>
      </c>
      <c r="G8" s="457"/>
      <c r="H8" s="457"/>
      <c r="I8" s="457"/>
      <c r="J8" s="457"/>
      <c r="K8" s="457"/>
      <c r="L8" s="457"/>
      <c r="M8" s="457"/>
      <c r="N8" s="457"/>
      <c r="O8" s="457"/>
      <c r="P8" s="457"/>
      <c r="Q8" s="457"/>
      <c r="R8" s="457"/>
      <c r="S8" s="457"/>
    </row>
    <row r="9" spans="1:22" ht="14.4">
      <c r="A9" s="2387">
        <f>'数据-取费表'!AN9</f>
        <v>0</v>
      </c>
      <c r="B9" s="2385" t="e">
        <f ca="1">IF(F9="是",'数据-取费表'!AO9,0)</f>
        <v>#REF!</v>
      </c>
      <c r="C9" s="1726" t="s">
        <v>1651</v>
      </c>
      <c r="D9" s="2477"/>
      <c r="E9" s="2389">
        <f>IF(OR(A9=0,F9="否"),0,'数据-取费表'!K9+'数据-取费表'!S9)</f>
        <v>0</v>
      </c>
      <c r="F9" s="1729" t="s">
        <v>1657</v>
      </c>
      <c r="G9" s="457"/>
      <c r="H9" s="457"/>
      <c r="I9" s="457"/>
      <c r="J9" s="457"/>
      <c r="K9" s="457"/>
      <c r="L9" s="457"/>
      <c r="M9" s="457"/>
      <c r="N9" s="457"/>
      <c r="O9" s="457"/>
      <c r="P9" s="457"/>
      <c r="Q9" s="457"/>
      <c r="R9" s="457"/>
      <c r="S9" s="457"/>
    </row>
    <row r="10" spans="1:22" ht="14.4">
      <c r="A10" s="2387">
        <f>'数据-取费表'!AN10</f>
        <v>0</v>
      </c>
      <c r="B10" s="2385" t="e">
        <f ca="1">IF(F10="是",'数据-取费表'!AO10,0)</f>
        <v>#REF!</v>
      </c>
      <c r="C10" s="1726" t="s">
        <v>1651</v>
      </c>
      <c r="D10" s="2477"/>
      <c r="E10" s="2389">
        <f>IF(OR(A10=0,F10="否"),0,'数据-取费表'!K10+'数据-取费表'!S10)</f>
        <v>0</v>
      </c>
      <c r="F10" s="1729" t="s">
        <v>1657</v>
      </c>
      <c r="G10" s="457"/>
      <c r="H10" s="457"/>
      <c r="I10" s="457"/>
      <c r="J10" s="457"/>
      <c r="K10" s="457"/>
      <c r="L10" s="457"/>
      <c r="M10" s="457"/>
      <c r="N10" s="457"/>
      <c r="O10" s="457"/>
      <c r="P10" s="457"/>
      <c r="Q10" s="457"/>
      <c r="R10" s="457"/>
      <c r="S10" s="457"/>
    </row>
    <row r="11" spans="1:22" ht="14.4">
      <c r="A11" s="2387">
        <f>'数据-取费表'!AN11</f>
        <v>0</v>
      </c>
      <c r="B11" s="2385" t="e">
        <f ca="1">IF(F11="是",'数据-取费表'!AO11,0)</f>
        <v>#REF!</v>
      </c>
      <c r="C11" s="1726" t="s">
        <v>1651</v>
      </c>
      <c r="D11" s="2477"/>
      <c r="E11" s="2389">
        <f>IF(OR(A11=0,F11="否"),0,'数据-取费表'!K11+'数据-取费表'!S11)</f>
        <v>0</v>
      </c>
      <c r="F11" s="1729" t="s">
        <v>1657</v>
      </c>
      <c r="G11" s="457"/>
      <c r="H11" s="457"/>
      <c r="I11" s="457"/>
      <c r="J11" s="457"/>
      <c r="K11" s="457"/>
      <c r="L11" s="457"/>
      <c r="M11" s="457"/>
      <c r="N11" s="457"/>
      <c r="O11" s="457"/>
      <c r="P11" s="457"/>
      <c r="Q11" s="457"/>
      <c r="R11" s="457"/>
      <c r="S11" s="457"/>
    </row>
    <row r="12" spans="1:22" ht="14.4">
      <c r="A12" s="2387">
        <f>'数据-取费表'!AN12</f>
        <v>0</v>
      </c>
      <c r="B12" s="2385" t="e">
        <f ca="1">IF(F12="是",'数据-取费表'!AO12,0)</f>
        <v>#REF!</v>
      </c>
      <c r="C12" s="1726" t="s">
        <v>1651</v>
      </c>
      <c r="D12" s="2477"/>
      <c r="E12" s="2389">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0</v>
      </c>
      <c r="C3" s="342" t="s">
        <v>1665</v>
      </c>
      <c r="D3" s="341">
        <f>IF(D1="",'数据-汇总表'!E3,SUMIF('数据-汇总表'!$C19:$C33,D1,'数据-汇总表'!$E19:$E33))</f>
        <v>1232.79</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4.4">
      <c r="A4" s="343" t="s">
        <v>1666</v>
      </c>
      <c r="B4" s="344"/>
      <c r="C4" s="3448" t="s">
        <v>1667</v>
      </c>
      <c r="D4" s="3449"/>
      <c r="E4" s="3450" t="s">
        <v>1668</v>
      </c>
      <c r="F4" s="3451"/>
      <c r="G4" s="3448" t="s">
        <v>1669</v>
      </c>
      <c r="H4" s="3449"/>
      <c r="I4" s="3448" t="s">
        <v>1670</v>
      </c>
      <c r="J4" s="3449"/>
      <c r="K4" s="1741" t="s">
        <v>1671</v>
      </c>
      <c r="L4" s="2484"/>
      <c r="M4" s="2485"/>
      <c r="N4" s="2485"/>
      <c r="O4" s="2485"/>
      <c r="P4" s="3452" t="s">
        <v>1672</v>
      </c>
      <c r="Q4" s="3453"/>
      <c r="R4" s="3435" t="s">
        <v>1668</v>
      </c>
      <c r="S4" s="3436"/>
      <c r="T4" s="3435" t="s">
        <v>1669</v>
      </c>
      <c r="U4" s="3436"/>
      <c r="V4" s="3460" t="s">
        <v>1670</v>
      </c>
      <c r="W4" s="3460"/>
      <c r="X4" s="1262"/>
      <c r="Y4" s="3435" t="s">
        <v>1672</v>
      </c>
      <c r="Z4" s="3436"/>
      <c r="AA4" s="3430" t="s">
        <v>1668</v>
      </c>
      <c r="AB4" s="3430" t="s">
        <v>1669</v>
      </c>
      <c r="AC4" s="3430" t="s">
        <v>1670</v>
      </c>
    </row>
    <row r="5" spans="1:29">
      <c r="A5" s="346"/>
      <c r="B5" s="347"/>
      <c r="C5" s="3441" t="s">
        <v>1673</v>
      </c>
      <c r="D5" s="3442"/>
      <c r="E5" s="3439" t="s">
        <v>1674</v>
      </c>
      <c r="F5" s="3440"/>
      <c r="G5" s="3441" t="s">
        <v>1675</v>
      </c>
      <c r="H5" s="3442"/>
      <c r="I5" s="3441" t="s">
        <v>1676</v>
      </c>
      <c r="J5" s="3442"/>
      <c r="K5" s="1742"/>
      <c r="L5" s="2484"/>
      <c r="M5" s="2485"/>
      <c r="N5" s="2485"/>
      <c r="O5" s="2485"/>
      <c r="P5" s="3454"/>
      <c r="Q5" s="3455"/>
      <c r="R5" s="3437"/>
      <c r="S5" s="3438"/>
      <c r="T5" s="3437"/>
      <c r="U5" s="3438"/>
      <c r="V5" s="3460"/>
      <c r="W5" s="3460"/>
      <c r="X5" s="1262"/>
      <c r="Y5" s="3437"/>
      <c r="Z5" s="3438"/>
      <c r="AA5" s="3431"/>
      <c r="AB5" s="3431"/>
      <c r="AC5" s="3431"/>
    </row>
    <row r="6" spans="1:29" ht="15" thickBot="1">
      <c r="A6" s="348"/>
      <c r="B6" s="349"/>
      <c r="C6" s="3443" t="s">
        <v>1677</v>
      </c>
      <c r="D6" s="3444"/>
      <c r="E6" s="3445" t="s">
        <v>1677</v>
      </c>
      <c r="F6" s="3446"/>
      <c r="G6" s="3443" t="s">
        <v>1677</v>
      </c>
      <c r="H6" s="3444"/>
      <c r="I6" s="3443" t="s">
        <v>1677</v>
      </c>
      <c r="J6" s="3444"/>
      <c r="K6" s="1742" t="s">
        <v>1678</v>
      </c>
      <c r="L6" s="2484"/>
      <c r="M6" s="2485"/>
      <c r="N6" s="2485"/>
      <c r="O6" s="2485"/>
      <c r="P6" s="3456"/>
      <c r="Q6" s="3457"/>
      <c r="R6" s="3437"/>
      <c r="S6" s="3438"/>
      <c r="T6" s="3458"/>
      <c r="U6" s="3459"/>
      <c r="V6" s="3460"/>
      <c r="W6" s="3460"/>
      <c r="X6" s="1262"/>
      <c r="Y6" s="3458"/>
      <c r="Z6" s="3459"/>
      <c r="AA6" s="3432"/>
      <c r="AB6" s="3432"/>
      <c r="AC6" s="3432"/>
    </row>
    <row r="7" spans="1:29" s="102" customFormat="1" ht="15" thickBot="1">
      <c r="A7" s="350" t="s">
        <v>1679</v>
      </c>
      <c r="B7" s="351"/>
      <c r="C7" s="352">
        <f>'数据-取费表'!B2</f>
        <v>45728</v>
      </c>
      <c r="D7" s="353">
        <v>100</v>
      </c>
      <c r="E7" s="354"/>
      <c r="F7" s="355">
        <f>SUMIF(58:58,YEAR(E7)&amp;"-"&amp;MONTH(E7),59:59)</f>
        <v>0</v>
      </c>
      <c r="G7" s="354"/>
      <c r="H7" s="353">
        <f>SUMIF(58:58,YEAR(G7)&amp;"-"&amp;MONTH(G7),59:59)</f>
        <v>0</v>
      </c>
      <c r="I7" s="354"/>
      <c r="J7" s="353">
        <f>SUMIF(58:58,YEAR(I7)&amp;"-"&amp;MONTH(I7),59:59)</f>
        <v>0</v>
      </c>
      <c r="K7" s="1743"/>
      <c r="L7" s="2486"/>
      <c r="M7" s="2437"/>
      <c r="N7" s="2437"/>
      <c r="O7" s="2437"/>
      <c r="P7" s="3433" t="s">
        <v>1680</v>
      </c>
      <c r="Q7" s="3461"/>
      <c r="R7" s="662" t="s">
        <v>20</v>
      </c>
      <c r="S7" s="663">
        <f t="shared" ref="S7:S15" si="0">F7</f>
        <v>0</v>
      </c>
      <c r="T7" s="662" t="s">
        <v>20</v>
      </c>
      <c r="U7" s="663">
        <f t="shared" ref="U7:U15" si="1">H7</f>
        <v>0</v>
      </c>
      <c r="V7" s="662" t="s">
        <v>20</v>
      </c>
      <c r="W7" s="663">
        <f t="shared" ref="W7:W15" si="2">J7</f>
        <v>0</v>
      </c>
      <c r="X7" s="664"/>
      <c r="Y7" s="3433" t="s">
        <v>1680</v>
      </c>
      <c r="Z7" s="3434"/>
      <c r="AA7" s="50" t="e">
        <f>D7/F7</f>
        <v>#DIV/0!</v>
      </c>
      <c r="AB7" s="50" t="e">
        <f>D7/H7</f>
        <v>#DIV/0!</v>
      </c>
      <c r="AC7" s="50" t="e">
        <f>D7/J7</f>
        <v>#DIV/0!</v>
      </c>
    </row>
    <row r="8" spans="1:29" s="102" customFormat="1" ht="1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6"/>
      <c r="M8" s="2437"/>
      <c r="N8" s="2437"/>
      <c r="O8" s="2437"/>
      <c r="P8" s="3433" t="s">
        <v>1683</v>
      </c>
      <c r="Q8" s="3434"/>
      <c r="R8" s="662" t="s">
        <v>20</v>
      </c>
      <c r="S8" s="663">
        <f t="shared" si="0"/>
        <v>100</v>
      </c>
      <c r="T8" s="662" t="s">
        <v>20</v>
      </c>
      <c r="U8" s="663">
        <f t="shared" si="1"/>
        <v>100</v>
      </c>
      <c r="V8" s="662" t="s">
        <v>20</v>
      </c>
      <c r="W8" s="663">
        <f t="shared" si="2"/>
        <v>100</v>
      </c>
      <c r="X8" s="664"/>
      <c r="Y8" s="3433" t="s">
        <v>1683</v>
      </c>
      <c r="Z8" s="3434"/>
      <c r="AA8" s="50">
        <f t="shared" ref="AA8:AA19" si="3">D8/F8</f>
        <v>1</v>
      </c>
      <c r="AB8" s="50">
        <f t="shared" ref="AB8:AB19" si="4">D8/H8</f>
        <v>1</v>
      </c>
      <c r="AC8" s="50">
        <f t="shared" ref="AC8:AC19" si="5">D8/J8</f>
        <v>1</v>
      </c>
    </row>
    <row r="9" spans="1:29" s="102"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6"/>
      <c r="M9" s="2437"/>
      <c r="N9" s="2437"/>
      <c r="O9" s="2437"/>
      <c r="P9" s="3447" t="s">
        <v>1686</v>
      </c>
      <c r="Q9" s="528" t="str">
        <f t="shared" ref="Q9:Q15" si="6">B9</f>
        <v>用途</v>
      </c>
      <c r="R9" s="662" t="s">
        <v>14</v>
      </c>
      <c r="S9" s="663">
        <f t="shared" si="0"/>
        <v>100</v>
      </c>
      <c r="T9" s="662" t="s">
        <v>14</v>
      </c>
      <c r="U9" s="663">
        <f t="shared" si="1"/>
        <v>100</v>
      </c>
      <c r="V9" s="662" t="s">
        <v>14</v>
      </c>
      <c r="W9" s="663">
        <f t="shared" si="2"/>
        <v>100</v>
      </c>
      <c r="X9" s="664"/>
      <c r="Y9" s="3377" t="s">
        <v>1687</v>
      </c>
      <c r="Z9" s="50" t="str">
        <f t="shared" ref="Z9:Z15" si="7">Q9</f>
        <v>用途</v>
      </c>
      <c r="AA9" s="50">
        <f t="shared" si="3"/>
        <v>1</v>
      </c>
      <c r="AB9" s="50">
        <f t="shared" si="4"/>
        <v>1</v>
      </c>
      <c r="AC9" s="50">
        <f t="shared" si="5"/>
        <v>1</v>
      </c>
    </row>
    <row r="10" spans="1:29" s="364" customFormat="1" ht="28.8">
      <c r="A10" s="361"/>
      <c r="B10" s="362" t="s">
        <v>1688</v>
      </c>
      <c r="C10" s="3130"/>
      <c r="D10" s="117">
        <v>100</v>
      </c>
      <c r="E10" s="3131"/>
      <c r="F10" s="362">
        <f>SUMIF(65:65,E10,66:66)-SUMIF(65:65,C10,66:66)+100</f>
        <v>100</v>
      </c>
      <c r="G10" s="3130"/>
      <c r="H10" s="117">
        <f>SUMIF(65:65,G10,66:66)-SUMIF(65:65,C10,66:66)+100</f>
        <v>100</v>
      </c>
      <c r="I10" s="3130"/>
      <c r="J10" s="117">
        <f>SUMIF(65:65,I10,66:66)-SUMIF(65:65,C10,66:66)+100</f>
        <v>100</v>
      </c>
      <c r="K10" s="1743"/>
      <c r="L10" s="2487"/>
      <c r="M10" s="2488"/>
      <c r="N10" s="2488"/>
      <c r="O10" s="2488"/>
      <c r="P10" s="3447"/>
      <c r="Q10" s="528" t="str">
        <f t="shared" si="6"/>
        <v>土地使用年限（年）</v>
      </c>
      <c r="R10" s="662" t="s">
        <v>14</v>
      </c>
      <c r="S10" s="663">
        <f t="shared" si="0"/>
        <v>100</v>
      </c>
      <c r="T10" s="662" t="s">
        <v>14</v>
      </c>
      <c r="U10" s="663">
        <f t="shared" si="1"/>
        <v>100</v>
      </c>
      <c r="V10" s="662" t="s">
        <v>14</v>
      </c>
      <c r="W10" s="663">
        <f t="shared" si="2"/>
        <v>100</v>
      </c>
      <c r="X10" s="664"/>
      <c r="Y10" s="3377"/>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9"/>
      <c r="M11" s="2485"/>
      <c r="N11" s="2485"/>
      <c r="O11" s="2485"/>
      <c r="P11" s="3447"/>
      <c r="Q11" s="528" t="str">
        <f t="shared" si="6"/>
        <v>容积率</v>
      </c>
      <c r="R11" s="662" t="s">
        <v>18</v>
      </c>
      <c r="S11" s="663" t="e">
        <f t="shared" si="0"/>
        <v>#N/A</v>
      </c>
      <c r="T11" s="662" t="s">
        <v>18</v>
      </c>
      <c r="U11" s="663" t="e">
        <f t="shared" si="1"/>
        <v>#N/A</v>
      </c>
      <c r="V11" s="662" t="s">
        <v>18</v>
      </c>
      <c r="W11" s="663" t="e">
        <f t="shared" si="2"/>
        <v>#N/A</v>
      </c>
      <c r="X11" s="664"/>
      <c r="Y11" s="3377"/>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6"/>
      <c r="M12" s="2437"/>
      <c r="N12" s="2437"/>
      <c r="O12" s="2437"/>
      <c r="P12" s="3447"/>
      <c r="Q12" s="528">
        <f t="shared" si="6"/>
        <v>111</v>
      </c>
      <c r="R12" s="662" t="s">
        <v>18</v>
      </c>
      <c r="S12" s="663">
        <f t="shared" si="0"/>
        <v>100</v>
      </c>
      <c r="T12" s="662" t="s">
        <v>18</v>
      </c>
      <c r="U12" s="663">
        <f t="shared" si="1"/>
        <v>100</v>
      </c>
      <c r="V12" s="662" t="s">
        <v>18</v>
      </c>
      <c r="W12" s="663">
        <f t="shared" si="2"/>
        <v>100</v>
      </c>
      <c r="X12" s="664"/>
      <c r="Y12" s="337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90"/>
      <c r="M13" s="2485"/>
      <c r="N13" s="2485"/>
      <c r="O13" s="2485"/>
      <c r="P13" s="3447"/>
      <c r="Q13" s="528">
        <f t="shared" si="6"/>
        <v>111</v>
      </c>
      <c r="R13" s="662" t="s">
        <v>18</v>
      </c>
      <c r="S13" s="663">
        <f t="shared" si="0"/>
        <v>100</v>
      </c>
      <c r="T13" s="662" t="s">
        <v>18</v>
      </c>
      <c r="U13" s="663">
        <f t="shared" si="1"/>
        <v>100</v>
      </c>
      <c r="V13" s="662" t="s">
        <v>18</v>
      </c>
      <c r="W13" s="663">
        <f t="shared" si="2"/>
        <v>100</v>
      </c>
      <c r="X13" s="664"/>
      <c r="Y13" s="3377"/>
      <c r="Z13" s="50">
        <f t="shared" si="7"/>
        <v>111</v>
      </c>
      <c r="AA13" s="50">
        <f t="shared" si="3"/>
        <v>1</v>
      </c>
      <c r="AB13" s="50">
        <f t="shared" si="4"/>
        <v>1</v>
      </c>
      <c r="AC13" s="50">
        <f t="shared" si="5"/>
        <v>1</v>
      </c>
    </row>
    <row r="14" spans="1:29" ht="15.6"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90"/>
      <c r="M14" s="2485"/>
      <c r="N14" s="2485"/>
      <c r="O14" s="2485"/>
      <c r="P14" s="3447"/>
      <c r="Q14" s="528">
        <f t="shared" si="6"/>
        <v>111</v>
      </c>
      <c r="R14" s="662" t="s">
        <v>18</v>
      </c>
      <c r="S14" s="663">
        <f t="shared" si="0"/>
        <v>100</v>
      </c>
      <c r="T14" s="662" t="s">
        <v>18</v>
      </c>
      <c r="U14" s="663">
        <f t="shared" si="1"/>
        <v>100</v>
      </c>
      <c r="V14" s="662" t="s">
        <v>18</v>
      </c>
      <c r="W14" s="663">
        <f t="shared" si="2"/>
        <v>100</v>
      </c>
      <c r="X14" s="664"/>
      <c r="Y14" s="3377"/>
      <c r="Z14" s="50">
        <f t="shared" si="7"/>
        <v>111</v>
      </c>
      <c r="AA14" s="50">
        <f t="shared" si="3"/>
        <v>1</v>
      </c>
      <c r="AB14" s="50">
        <f t="shared" si="4"/>
        <v>1</v>
      </c>
      <c r="AC14" s="50">
        <f t="shared" si="5"/>
        <v>1</v>
      </c>
    </row>
    <row r="15" spans="1:29" ht="15">
      <c r="A15" s="377" t="s">
        <v>1690</v>
      </c>
      <c r="B15" s="58" t="s">
        <v>1257</v>
      </c>
      <c r="C15" s="1747">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90"/>
      <c r="M15" s="2485"/>
      <c r="N15" s="2485"/>
      <c r="O15" s="2485"/>
      <c r="P15" s="3473" t="s">
        <v>1691</v>
      </c>
      <c r="Q15" s="1260" t="str">
        <f t="shared" si="6"/>
        <v>居住社区成熟度</v>
      </c>
      <c r="R15" s="665" t="s">
        <v>18</v>
      </c>
      <c r="S15" s="666">
        <f t="shared" si="0"/>
        <v>100</v>
      </c>
      <c r="T15" s="665" t="s">
        <v>18</v>
      </c>
      <c r="U15" s="666">
        <f t="shared" si="1"/>
        <v>100</v>
      </c>
      <c r="V15" s="665" t="s">
        <v>18</v>
      </c>
      <c r="W15" s="666">
        <f t="shared" si="2"/>
        <v>100</v>
      </c>
      <c r="X15" s="1262"/>
      <c r="Y15" s="3466"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90"/>
      <c r="M16" s="2485"/>
      <c r="N16" s="2485"/>
      <c r="O16" s="2485"/>
      <c r="P16" s="3474"/>
      <c r="Q16" s="1260"/>
      <c r="R16" s="665"/>
      <c r="S16" s="666"/>
      <c r="T16" s="665"/>
      <c r="U16" s="666"/>
      <c r="V16" s="665"/>
      <c r="W16" s="666"/>
      <c r="X16" s="1262"/>
      <c r="Y16" s="3467"/>
      <c r="Z16" s="1261"/>
      <c r="AA16" s="1261">
        <v>1</v>
      </c>
      <c r="AB16" s="1261">
        <v>1</v>
      </c>
      <c r="AC16" s="1261">
        <v>1</v>
      </c>
    </row>
    <row r="17" spans="1:29" ht="15">
      <c r="A17" s="365"/>
      <c r="B17" s="388" t="s">
        <v>1259</v>
      </c>
      <c r="C17" s="1751">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90"/>
      <c r="M17" s="2485"/>
      <c r="N17" s="2485"/>
      <c r="O17" s="2485"/>
      <c r="P17" s="3474"/>
      <c r="Q17" s="1260" t="str">
        <f>B17</f>
        <v>交通便捷度</v>
      </c>
      <c r="R17" s="665" t="s">
        <v>18</v>
      </c>
      <c r="S17" s="666">
        <f>F17</f>
        <v>100</v>
      </c>
      <c r="T17" s="665" t="s">
        <v>18</v>
      </c>
      <c r="U17" s="666">
        <f>H17</f>
        <v>100</v>
      </c>
      <c r="V17" s="665" t="s">
        <v>18</v>
      </c>
      <c r="W17" s="666">
        <f>J17</f>
        <v>100</v>
      </c>
      <c r="X17" s="1262"/>
      <c r="Y17" s="3467"/>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90"/>
      <c r="M18" s="2485"/>
      <c r="N18" s="2485"/>
      <c r="O18" s="2485"/>
      <c r="P18" s="3474"/>
      <c r="Q18" s="1260"/>
      <c r="R18" s="665"/>
      <c r="S18" s="666"/>
      <c r="T18" s="665"/>
      <c r="U18" s="666"/>
      <c r="V18" s="665"/>
      <c r="W18" s="666"/>
      <c r="X18" s="1262"/>
      <c r="Y18" s="3467"/>
      <c r="Z18" s="1261"/>
      <c r="AA18" s="1261">
        <v>1</v>
      </c>
      <c r="AB18" s="1261">
        <v>1</v>
      </c>
      <c r="AC18" s="1261">
        <v>1</v>
      </c>
    </row>
    <row r="19" spans="1:29" ht="15">
      <c r="A19" s="365"/>
      <c r="B19" s="388" t="s">
        <v>1258</v>
      </c>
      <c r="C19" s="1751">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90"/>
      <c r="M19" s="2485"/>
      <c r="N19" s="2485"/>
      <c r="O19" s="2485"/>
      <c r="P19" s="3474"/>
      <c r="Q19" s="1260" t="str">
        <f>B19</f>
        <v>公共配套设施</v>
      </c>
      <c r="R19" s="665" t="s">
        <v>18</v>
      </c>
      <c r="S19" s="666">
        <f>F19</f>
        <v>100</v>
      </c>
      <c r="T19" s="665" t="s">
        <v>18</v>
      </c>
      <c r="U19" s="666">
        <f>H19</f>
        <v>100</v>
      </c>
      <c r="V19" s="665" t="s">
        <v>18</v>
      </c>
      <c r="W19" s="666">
        <f>J19</f>
        <v>100</v>
      </c>
      <c r="X19" s="1262"/>
      <c r="Y19" s="3467"/>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90"/>
      <c r="M20" s="2485"/>
      <c r="N20" s="2485"/>
      <c r="O20" s="2485"/>
      <c r="P20" s="3474"/>
      <c r="Q20" s="1260"/>
      <c r="R20" s="665"/>
      <c r="S20" s="666"/>
      <c r="T20" s="665"/>
      <c r="U20" s="666"/>
      <c r="V20" s="665"/>
      <c r="W20" s="666"/>
      <c r="X20" s="1262"/>
      <c r="Y20" s="3467"/>
      <c r="Z20" s="1261"/>
      <c r="AA20" s="1261">
        <v>1</v>
      </c>
      <c r="AB20" s="1261">
        <v>1</v>
      </c>
      <c r="AC20" s="1261">
        <v>1</v>
      </c>
    </row>
    <row r="21" spans="1:29" ht="15">
      <c r="A21" s="365"/>
      <c r="B21" s="584" t="s">
        <v>1260</v>
      </c>
      <c r="C21" s="1751">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90"/>
      <c r="M21" s="2485"/>
      <c r="N21" s="2485"/>
      <c r="O21" s="2485"/>
      <c r="P21" s="3474"/>
      <c r="Q21" s="1260" t="str">
        <f>B21</f>
        <v>基础设施水平</v>
      </c>
      <c r="R21" s="665" t="s">
        <v>14</v>
      </c>
      <c r="S21" s="666">
        <f>F21</f>
        <v>100</v>
      </c>
      <c r="T21" s="665" t="s">
        <v>14</v>
      </c>
      <c r="U21" s="666">
        <f>H21</f>
        <v>100</v>
      </c>
      <c r="V21" s="665" t="s">
        <v>14</v>
      </c>
      <c r="W21" s="666">
        <f>J21</f>
        <v>100</v>
      </c>
      <c r="X21" s="1262"/>
      <c r="Y21" s="3467"/>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90"/>
      <c r="M22" s="2485"/>
      <c r="N22" s="2485"/>
      <c r="O22" s="2485"/>
      <c r="P22" s="3474"/>
      <c r="Q22" s="1260"/>
      <c r="R22" s="665"/>
      <c r="S22" s="666"/>
      <c r="T22" s="665"/>
      <c r="U22" s="666"/>
      <c r="V22" s="665"/>
      <c r="W22" s="666"/>
      <c r="X22" s="1262"/>
      <c r="Y22" s="3467"/>
      <c r="Z22" s="1261"/>
      <c r="AA22" s="1261">
        <v>1</v>
      </c>
      <c r="AB22" s="1261">
        <v>1</v>
      </c>
      <c r="AC22" s="1261">
        <v>1</v>
      </c>
    </row>
    <row r="23" spans="1:29" ht="15">
      <c r="A23" s="365"/>
      <c r="B23" s="388" t="s">
        <v>1261</v>
      </c>
      <c r="C23" s="1751">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90"/>
      <c r="M23" s="2485"/>
      <c r="N23" s="2485"/>
      <c r="O23" s="2485"/>
      <c r="P23" s="3474"/>
      <c r="Q23" s="1260" t="str">
        <f>B23</f>
        <v>自然及人文环境</v>
      </c>
      <c r="R23" s="665" t="s">
        <v>18</v>
      </c>
      <c r="S23" s="666">
        <f>F23</f>
        <v>100</v>
      </c>
      <c r="T23" s="665" t="s">
        <v>18</v>
      </c>
      <c r="U23" s="666">
        <f>H23</f>
        <v>100</v>
      </c>
      <c r="V23" s="665" t="s">
        <v>18</v>
      </c>
      <c r="W23" s="666">
        <f>J23</f>
        <v>100</v>
      </c>
      <c r="X23" s="1262"/>
      <c r="Y23" s="3467"/>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90"/>
      <c r="M24" s="2485"/>
      <c r="N24" s="2485"/>
      <c r="O24" s="2485"/>
      <c r="P24" s="3474"/>
      <c r="Q24" s="1260"/>
      <c r="R24" s="665"/>
      <c r="S24" s="666"/>
      <c r="T24" s="665"/>
      <c r="U24" s="666"/>
      <c r="V24" s="665"/>
      <c r="W24" s="666"/>
      <c r="X24" s="1262"/>
      <c r="Y24" s="3467"/>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90"/>
      <c r="M25" s="2485"/>
      <c r="N25" s="2485"/>
      <c r="O25" s="2485"/>
      <c r="P25" s="3474"/>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67"/>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90"/>
      <c r="M26" s="2485"/>
      <c r="N26" s="2485"/>
      <c r="O26" s="2485"/>
      <c r="P26" s="3474"/>
      <c r="Q26" s="1260" t="str">
        <f t="shared" si="11"/>
        <v>朝向</v>
      </c>
      <c r="R26" s="665" t="s">
        <v>18</v>
      </c>
      <c r="S26" s="666">
        <f t="shared" si="12"/>
        <v>100</v>
      </c>
      <c r="T26" s="665" t="s">
        <v>18</v>
      </c>
      <c r="U26" s="666">
        <f t="shared" si="13"/>
        <v>100</v>
      </c>
      <c r="V26" s="665" t="s">
        <v>18</v>
      </c>
      <c r="W26" s="666">
        <f t="shared" si="14"/>
        <v>100</v>
      </c>
      <c r="X26" s="1262"/>
      <c r="Y26" s="3467"/>
      <c r="Z26" s="1261" t="str">
        <f>Q26</f>
        <v>朝向</v>
      </c>
      <c r="AA26" s="1261">
        <f t="shared" si="15"/>
        <v>1</v>
      </c>
      <c r="AB26" s="1261">
        <f t="shared" si="16"/>
        <v>1</v>
      </c>
      <c r="AC26" s="1261">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5"/>
      <c r="L27" s="2486"/>
      <c r="M27" s="2437"/>
      <c r="N27" s="2437"/>
      <c r="O27" s="2437"/>
      <c r="P27" s="3474"/>
      <c r="Q27" s="528">
        <f t="shared" si="11"/>
        <v>111</v>
      </c>
      <c r="R27" s="662" t="s">
        <v>18</v>
      </c>
      <c r="S27" s="663">
        <f t="shared" si="12"/>
        <v>100</v>
      </c>
      <c r="T27" s="662" t="s">
        <v>18</v>
      </c>
      <c r="U27" s="663">
        <f t="shared" si="13"/>
        <v>100</v>
      </c>
      <c r="V27" s="662" t="s">
        <v>18</v>
      </c>
      <c r="W27" s="663">
        <f t="shared" si="14"/>
        <v>100</v>
      </c>
      <c r="X27" s="664"/>
      <c r="Y27" s="3467"/>
      <c r="Z27" s="50">
        <f>Q27</f>
        <v>111</v>
      </c>
      <c r="AA27" s="1261">
        <f t="shared" si="15"/>
        <v>1</v>
      </c>
      <c r="AB27" s="1261">
        <f t="shared" si="16"/>
        <v>1</v>
      </c>
      <c r="AC27" s="1261">
        <f t="shared" si="17"/>
        <v>1</v>
      </c>
    </row>
    <row r="28" spans="1:29" ht="15">
      <c r="A28" s="365"/>
      <c r="B28" s="1064">
        <v>111</v>
      </c>
      <c r="C28" s="371"/>
      <c r="D28" s="372">
        <v>100</v>
      </c>
      <c r="E28" s="371"/>
      <c r="F28" s="372">
        <f>SUMIF(92:92,E28,93:93)-SUMIF(92:92,C28,93:93)+100</f>
        <v>100</v>
      </c>
      <c r="G28" s="1759"/>
      <c r="H28" s="372">
        <f>SUMIF(92:92,G28,93:93)-SUMIF(92:92,C28,93:93)+100</f>
        <v>100</v>
      </c>
      <c r="I28" s="371"/>
      <c r="J28" s="372">
        <f>SUMIF(92:92,I28,93:93)-SUMIF(92:92,C28,93:93)+100</f>
        <v>100</v>
      </c>
      <c r="K28" s="1745"/>
      <c r="L28" s="2490"/>
      <c r="M28" s="2485"/>
      <c r="N28" s="2485"/>
      <c r="O28" s="2485"/>
      <c r="P28" s="3474"/>
      <c r="Q28" s="1260">
        <f t="shared" si="11"/>
        <v>111</v>
      </c>
      <c r="R28" s="665" t="s">
        <v>18</v>
      </c>
      <c r="S28" s="666">
        <f t="shared" si="12"/>
        <v>100</v>
      </c>
      <c r="T28" s="665" t="s">
        <v>18</v>
      </c>
      <c r="U28" s="666">
        <f t="shared" si="13"/>
        <v>100</v>
      </c>
      <c r="V28" s="665" t="s">
        <v>18</v>
      </c>
      <c r="W28" s="666">
        <f t="shared" si="14"/>
        <v>100</v>
      </c>
      <c r="X28" s="1262"/>
      <c r="Y28" s="3467"/>
      <c r="Z28" s="1261">
        <f t="shared" ref="Z28:Z46" si="18">Q28</f>
        <v>111</v>
      </c>
      <c r="AA28" s="1261">
        <f t="shared" si="15"/>
        <v>1</v>
      </c>
      <c r="AB28" s="1261">
        <f t="shared" si="16"/>
        <v>1</v>
      </c>
      <c r="AC28" s="1261">
        <f t="shared" si="17"/>
        <v>1</v>
      </c>
    </row>
    <row r="29" spans="1:29" ht="15">
      <c r="A29" s="365"/>
      <c r="B29" s="1064">
        <v>111</v>
      </c>
      <c r="C29" s="371"/>
      <c r="D29" s="372">
        <v>100</v>
      </c>
      <c r="E29" s="371"/>
      <c r="F29" s="372">
        <f>SUMIF(94:94,E29,95:95)-SUMIF(94:94,C29,95:95)+100</f>
        <v>100</v>
      </c>
      <c r="G29" s="1759"/>
      <c r="H29" s="372">
        <f>SUMIF(94:94,G29,95:95)-SUMIF(94:94,C29,95:95)+100</f>
        <v>100</v>
      </c>
      <c r="I29" s="371"/>
      <c r="J29" s="372">
        <f>SUMIF(94:94,I29,95:95)-SUMIF(94:94,C29,95:95)+100</f>
        <v>100</v>
      </c>
      <c r="K29" s="1745"/>
      <c r="L29" s="2490"/>
      <c r="M29" s="2485"/>
      <c r="N29" s="2485"/>
      <c r="O29" s="2485"/>
      <c r="P29" s="3474"/>
      <c r="Q29" s="1260">
        <f t="shared" si="11"/>
        <v>111</v>
      </c>
      <c r="R29" s="665" t="s">
        <v>18</v>
      </c>
      <c r="S29" s="666">
        <f t="shared" si="12"/>
        <v>100</v>
      </c>
      <c r="T29" s="665" t="s">
        <v>18</v>
      </c>
      <c r="U29" s="666">
        <f t="shared" si="13"/>
        <v>100</v>
      </c>
      <c r="V29" s="665" t="s">
        <v>18</v>
      </c>
      <c r="W29" s="666">
        <f t="shared" si="14"/>
        <v>100</v>
      </c>
      <c r="X29" s="1262"/>
      <c r="Y29" s="3467"/>
      <c r="Z29" s="1261">
        <f t="shared" si="18"/>
        <v>111</v>
      </c>
      <c r="AA29" s="1261">
        <f t="shared" si="15"/>
        <v>1</v>
      </c>
      <c r="AB29" s="1261">
        <f t="shared" si="16"/>
        <v>1</v>
      </c>
      <c r="AC29" s="1261">
        <f t="shared" si="17"/>
        <v>1</v>
      </c>
    </row>
    <row r="30" spans="1:29" ht="15">
      <c r="A30" s="365"/>
      <c r="B30" s="1064">
        <v>111</v>
      </c>
      <c r="C30" s="371"/>
      <c r="D30" s="372">
        <v>100</v>
      </c>
      <c r="E30" s="371"/>
      <c r="F30" s="372">
        <f>SUMIF(96:96,E30,97:97)-SUMIF(96:96,C30,97:97)+100</f>
        <v>100</v>
      </c>
      <c r="G30" s="1759"/>
      <c r="H30" s="372">
        <f>SUMIF(96:96,G30,97:97)-SUMIF(96:96,C30,97:97)+100</f>
        <v>100</v>
      </c>
      <c r="I30" s="371"/>
      <c r="J30" s="372">
        <f>SUMIF(96:96,I30,97:97)-SUMIF(96:96,C30,97:97)+100</f>
        <v>100</v>
      </c>
      <c r="K30" s="1745"/>
      <c r="L30" s="2490"/>
      <c r="M30" s="2485"/>
      <c r="N30" s="2485"/>
      <c r="O30" s="2485"/>
      <c r="P30" s="3474"/>
      <c r="Q30" s="1260">
        <f t="shared" si="11"/>
        <v>111</v>
      </c>
      <c r="R30" s="665" t="s">
        <v>18</v>
      </c>
      <c r="S30" s="666">
        <f t="shared" si="12"/>
        <v>100</v>
      </c>
      <c r="T30" s="665" t="s">
        <v>18</v>
      </c>
      <c r="U30" s="666">
        <f t="shared" si="13"/>
        <v>100</v>
      </c>
      <c r="V30" s="665" t="s">
        <v>18</v>
      </c>
      <c r="W30" s="666">
        <f t="shared" si="14"/>
        <v>100</v>
      </c>
      <c r="X30" s="1262"/>
      <c r="Y30" s="3467"/>
      <c r="Z30" s="1261">
        <f t="shared" si="18"/>
        <v>111</v>
      </c>
      <c r="AA30" s="1261">
        <f t="shared" si="15"/>
        <v>1</v>
      </c>
      <c r="AB30" s="1261">
        <f t="shared" si="16"/>
        <v>1</v>
      </c>
      <c r="AC30" s="1261">
        <f t="shared" si="17"/>
        <v>1</v>
      </c>
    </row>
    <row r="31" spans="1:29" ht="15.6" thickBot="1">
      <c r="A31" s="373"/>
      <c r="B31" s="1064">
        <v>111</v>
      </c>
      <c r="C31" s="374"/>
      <c r="D31" s="375">
        <v>100</v>
      </c>
      <c r="E31" s="374"/>
      <c r="F31" s="375">
        <f>SUMIF(98:98,E31,99:99)-SUMIF(98:98,C31,99:99)+100</f>
        <v>100</v>
      </c>
      <c r="G31" s="1760"/>
      <c r="H31" s="375">
        <f>SUMIF(98:98,G31,99:99)-SUMIF(98:98,C31,99:99)+100</f>
        <v>100</v>
      </c>
      <c r="I31" s="374"/>
      <c r="J31" s="375">
        <f>SUMIF(98:98,I31,99:99)-SUMIF(98:98,C31,99:99)+100</f>
        <v>100</v>
      </c>
      <c r="K31" s="1745"/>
      <c r="L31" s="2490"/>
      <c r="M31" s="2485"/>
      <c r="N31" s="2485"/>
      <c r="O31" s="2485"/>
      <c r="P31" s="3474"/>
      <c r="Q31" s="1260">
        <f t="shared" si="11"/>
        <v>111</v>
      </c>
      <c r="R31" s="665" t="s">
        <v>18</v>
      </c>
      <c r="S31" s="666">
        <f t="shared" si="12"/>
        <v>100</v>
      </c>
      <c r="T31" s="665" t="s">
        <v>18</v>
      </c>
      <c r="U31" s="666">
        <f t="shared" si="13"/>
        <v>100</v>
      </c>
      <c r="V31" s="665" t="s">
        <v>18</v>
      </c>
      <c r="W31" s="666">
        <f t="shared" si="14"/>
        <v>100</v>
      </c>
      <c r="X31" s="1262"/>
      <c r="Y31" s="3467"/>
      <c r="Z31" s="1261">
        <f t="shared" si="18"/>
        <v>111</v>
      </c>
      <c r="AA31" s="1261">
        <f t="shared" si="15"/>
        <v>1</v>
      </c>
      <c r="AB31" s="1261">
        <f t="shared" si="16"/>
        <v>1</v>
      </c>
      <c r="AC31" s="1261">
        <f t="shared" si="17"/>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90"/>
      <c r="M32" s="2485"/>
      <c r="N32" s="2485"/>
      <c r="O32" s="2485"/>
      <c r="P32" s="3468" t="s">
        <v>1696</v>
      </c>
      <c r="Q32" s="1260" t="str">
        <f t="shared" si="11"/>
        <v>建筑类型</v>
      </c>
      <c r="R32" s="665" t="s">
        <v>18</v>
      </c>
      <c r="S32" s="666">
        <f t="shared" si="12"/>
        <v>100</v>
      </c>
      <c r="T32" s="665" t="s">
        <v>18</v>
      </c>
      <c r="U32" s="666">
        <f t="shared" si="13"/>
        <v>100</v>
      </c>
      <c r="V32" s="665" t="s">
        <v>18</v>
      </c>
      <c r="W32" s="666">
        <f t="shared" si="14"/>
        <v>100</v>
      </c>
      <c r="X32" s="1262"/>
      <c r="Y32" s="3471"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9"/>
      <c r="M33" s="2491"/>
      <c r="N33" s="2491"/>
      <c r="O33" s="2491"/>
      <c r="P33" s="3469"/>
      <c r="Q33" s="529" t="str">
        <f t="shared" si="11"/>
        <v>项目建筑规模</v>
      </c>
      <c r="R33" s="667" t="s">
        <v>18</v>
      </c>
      <c r="S33" s="668" t="e">
        <f t="shared" si="12"/>
        <v>#N/A</v>
      </c>
      <c r="T33" s="667" t="s">
        <v>18</v>
      </c>
      <c r="U33" s="668" t="e">
        <f t="shared" si="13"/>
        <v>#N/A</v>
      </c>
      <c r="V33" s="667" t="s">
        <v>18</v>
      </c>
      <c r="W33" s="668" t="e">
        <f t="shared" si="14"/>
        <v>#N/A</v>
      </c>
      <c r="X33" s="669"/>
      <c r="Y33" s="3471"/>
      <c r="Z33" s="670" t="str">
        <f t="shared" si="18"/>
        <v>项目建筑规模</v>
      </c>
      <c r="AA33" s="1261" t="e">
        <f t="shared" si="15"/>
        <v>#N/A</v>
      </c>
      <c r="AB33" s="1261" t="e">
        <f t="shared" si="16"/>
        <v>#N/A</v>
      </c>
      <c r="AC33" s="1261" t="e">
        <f t="shared" si="17"/>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90"/>
      <c r="M34" s="2485"/>
      <c r="N34" s="2485"/>
      <c r="O34" s="2485"/>
      <c r="P34" s="3469"/>
      <c r="Q34" s="1260" t="str">
        <f t="shared" si="11"/>
        <v>建筑结构</v>
      </c>
      <c r="R34" s="665" t="s">
        <v>18</v>
      </c>
      <c r="S34" s="666">
        <f t="shared" si="12"/>
        <v>100</v>
      </c>
      <c r="T34" s="665" t="s">
        <v>18</v>
      </c>
      <c r="U34" s="666">
        <f t="shared" si="13"/>
        <v>100</v>
      </c>
      <c r="V34" s="665" t="s">
        <v>18</v>
      </c>
      <c r="W34" s="666">
        <f t="shared" si="14"/>
        <v>100</v>
      </c>
      <c r="X34" s="1262"/>
      <c r="Y34" s="3471"/>
      <c r="Z34" s="1261" t="str">
        <f t="shared" si="18"/>
        <v>建筑结构</v>
      </c>
      <c r="AA34" s="1261">
        <f t="shared" si="15"/>
        <v>1</v>
      </c>
      <c r="AB34" s="1261">
        <f t="shared" si="16"/>
        <v>1</v>
      </c>
      <c r="AC34" s="1261">
        <f t="shared" si="17"/>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90"/>
      <c r="M35" s="2485"/>
      <c r="N35" s="2485"/>
      <c r="O35" s="2485"/>
      <c r="P35" s="3469"/>
      <c r="Q35" s="1260" t="str">
        <f t="shared" si="11"/>
        <v>建筑品质</v>
      </c>
      <c r="R35" s="665" t="s">
        <v>18</v>
      </c>
      <c r="S35" s="666">
        <f t="shared" si="12"/>
        <v>100</v>
      </c>
      <c r="T35" s="665" t="s">
        <v>18</v>
      </c>
      <c r="U35" s="666">
        <f t="shared" si="13"/>
        <v>100</v>
      </c>
      <c r="V35" s="665" t="s">
        <v>18</v>
      </c>
      <c r="W35" s="666">
        <f t="shared" si="14"/>
        <v>100</v>
      </c>
      <c r="X35" s="1262"/>
      <c r="Y35" s="3471"/>
      <c r="Z35" s="1261" t="str">
        <f t="shared" si="18"/>
        <v>建筑品质</v>
      </c>
      <c r="AA35" s="1261">
        <f t="shared" si="15"/>
        <v>1</v>
      </c>
      <c r="AB35" s="1261">
        <f t="shared" si="16"/>
        <v>1</v>
      </c>
      <c r="AC35" s="1261">
        <f t="shared" si="17"/>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90"/>
      <c r="M36" s="2485"/>
      <c r="N36" s="2485"/>
      <c r="O36" s="2485"/>
      <c r="P36" s="3469"/>
      <c r="Q36" s="1260" t="str">
        <f t="shared" si="11"/>
        <v>公共部分装修</v>
      </c>
      <c r="R36" s="665" t="s">
        <v>18</v>
      </c>
      <c r="S36" s="666">
        <f t="shared" si="12"/>
        <v>100</v>
      </c>
      <c r="T36" s="665" t="s">
        <v>18</v>
      </c>
      <c r="U36" s="666">
        <f t="shared" si="13"/>
        <v>100</v>
      </c>
      <c r="V36" s="665" t="s">
        <v>18</v>
      </c>
      <c r="W36" s="666">
        <f t="shared" si="14"/>
        <v>100</v>
      </c>
      <c r="X36" s="1262"/>
      <c r="Y36" s="3471"/>
      <c r="Z36" s="1261" t="str">
        <f t="shared" si="18"/>
        <v>公共部分装修</v>
      </c>
      <c r="AA36" s="1261">
        <f t="shared" si="15"/>
        <v>1</v>
      </c>
      <c r="AB36" s="1261">
        <f t="shared" si="16"/>
        <v>1</v>
      </c>
      <c r="AC36" s="1261">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6"/>
      <c r="M37" s="2437"/>
      <c r="N37" s="2437"/>
      <c r="O37" s="2437"/>
      <c r="P37" s="3469"/>
      <c r="Q37" s="528" t="str">
        <f t="shared" si="11"/>
        <v>成新度</v>
      </c>
      <c r="R37" s="662" t="s">
        <v>18</v>
      </c>
      <c r="S37" s="663" t="e">
        <f t="shared" si="12"/>
        <v>#N/A</v>
      </c>
      <c r="T37" s="662" t="s">
        <v>18</v>
      </c>
      <c r="U37" s="663" t="e">
        <f t="shared" si="13"/>
        <v>#N/A</v>
      </c>
      <c r="V37" s="662" t="s">
        <v>18</v>
      </c>
      <c r="W37" s="663" t="e">
        <f t="shared" si="14"/>
        <v>#N/A</v>
      </c>
      <c r="X37" s="664"/>
      <c r="Y37" s="3471"/>
      <c r="Z37" s="50" t="str">
        <f t="shared" si="18"/>
        <v>成新度</v>
      </c>
      <c r="AA37" s="50" t="e">
        <f t="shared" si="15"/>
        <v>#N/A</v>
      </c>
      <c r="AB37" s="50" t="e">
        <f t="shared" si="16"/>
        <v>#N/A</v>
      </c>
      <c r="AC37" s="50" t="e">
        <f t="shared" si="17"/>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90"/>
      <c r="M38" s="2485"/>
      <c r="N38" s="2485"/>
      <c r="O38" s="2485"/>
      <c r="P38" s="3469" t="s">
        <v>1696</v>
      </c>
      <c r="Q38" s="1260" t="str">
        <f t="shared" si="11"/>
        <v>物业管理</v>
      </c>
      <c r="R38" s="665" t="s">
        <v>18</v>
      </c>
      <c r="S38" s="666">
        <f t="shared" si="12"/>
        <v>100</v>
      </c>
      <c r="T38" s="665" t="s">
        <v>18</v>
      </c>
      <c r="U38" s="666">
        <f t="shared" si="13"/>
        <v>100</v>
      </c>
      <c r="V38" s="665" t="s">
        <v>18</v>
      </c>
      <c r="W38" s="666">
        <f t="shared" si="14"/>
        <v>100</v>
      </c>
      <c r="X38" s="1262"/>
      <c r="Y38" s="3471" t="s">
        <v>1696</v>
      </c>
      <c r="Z38" s="1261" t="str">
        <f t="shared" si="18"/>
        <v>物业管理</v>
      </c>
      <c r="AA38" s="1261">
        <f t="shared" si="15"/>
        <v>1</v>
      </c>
      <c r="AB38" s="1261">
        <f t="shared" si="16"/>
        <v>1</v>
      </c>
      <c r="AC38" s="1261">
        <f t="shared" si="17"/>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90"/>
      <c r="M39" s="2485"/>
      <c r="N39" s="2485"/>
      <c r="O39" s="2485"/>
      <c r="P39" s="3469"/>
      <c r="Q39" s="1260" t="str">
        <f t="shared" si="11"/>
        <v>市政基础设施</v>
      </c>
      <c r="R39" s="665" t="s">
        <v>18</v>
      </c>
      <c r="S39" s="666">
        <f t="shared" si="12"/>
        <v>100</v>
      </c>
      <c r="T39" s="665" t="s">
        <v>18</v>
      </c>
      <c r="U39" s="666">
        <f t="shared" si="13"/>
        <v>100</v>
      </c>
      <c r="V39" s="665" t="s">
        <v>18</v>
      </c>
      <c r="W39" s="666">
        <f t="shared" si="14"/>
        <v>100</v>
      </c>
      <c r="X39" s="1262"/>
      <c r="Y39" s="3471"/>
      <c r="Z39" s="1261" t="str">
        <f t="shared" si="18"/>
        <v>市政基础设施</v>
      </c>
      <c r="AA39" s="1261">
        <f t="shared" si="15"/>
        <v>1</v>
      </c>
      <c r="AB39" s="1261">
        <f t="shared" si="16"/>
        <v>1</v>
      </c>
      <c r="AC39" s="1261">
        <f t="shared" si="17"/>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90"/>
      <c r="M40" s="2485"/>
      <c r="N40" s="2485"/>
      <c r="O40" s="2485"/>
      <c r="P40" s="3469"/>
      <c r="Q40" s="1260" t="str">
        <f t="shared" si="11"/>
        <v>房型</v>
      </c>
      <c r="R40" s="665" t="s">
        <v>18</v>
      </c>
      <c r="S40" s="666">
        <f t="shared" si="12"/>
        <v>100</v>
      </c>
      <c r="T40" s="665" t="s">
        <v>18</v>
      </c>
      <c r="U40" s="666">
        <f t="shared" si="13"/>
        <v>100</v>
      </c>
      <c r="V40" s="665" t="s">
        <v>18</v>
      </c>
      <c r="W40" s="666">
        <f t="shared" si="14"/>
        <v>100</v>
      </c>
      <c r="X40" s="1262"/>
      <c r="Y40" s="3471"/>
      <c r="Z40" s="1261" t="str">
        <f t="shared" si="18"/>
        <v>房型</v>
      </c>
      <c r="AA40" s="1261">
        <f t="shared" si="15"/>
        <v>1</v>
      </c>
      <c r="AB40" s="1261">
        <f t="shared" si="16"/>
        <v>1</v>
      </c>
      <c r="AC40" s="1261">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9"/>
      <c r="M41" s="2491"/>
      <c r="N41" s="2491"/>
      <c r="O41" s="2491"/>
      <c r="P41" s="3469"/>
      <c r="Q41" s="529" t="str">
        <f t="shared" si="11"/>
        <v>单套/主力户型建筑面积</v>
      </c>
      <c r="R41" s="667" t="s">
        <v>18</v>
      </c>
      <c r="S41" s="668">
        <f t="shared" si="12"/>
        <v>100</v>
      </c>
      <c r="T41" s="667" t="s">
        <v>18</v>
      </c>
      <c r="U41" s="668">
        <f t="shared" si="13"/>
        <v>100</v>
      </c>
      <c r="V41" s="667" t="s">
        <v>18</v>
      </c>
      <c r="W41" s="668">
        <f t="shared" si="14"/>
        <v>100</v>
      </c>
      <c r="X41" s="669"/>
      <c r="Y41" s="3471"/>
      <c r="Z41" s="670" t="str">
        <f t="shared" si="18"/>
        <v>单套/主力户型建筑面积</v>
      </c>
      <c r="AA41" s="1261">
        <f t="shared" si="15"/>
        <v>1</v>
      </c>
      <c r="AB41" s="1261">
        <f t="shared" si="16"/>
        <v>1</v>
      </c>
      <c r="AC41" s="1261">
        <f t="shared" si="17"/>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90"/>
      <c r="M42" s="2485"/>
      <c r="N42" s="2485"/>
      <c r="O42" s="2485"/>
      <c r="P42" s="3469"/>
      <c r="Q42" s="1260" t="str">
        <f t="shared" si="11"/>
        <v>内部装修</v>
      </c>
      <c r="R42" s="665" t="s">
        <v>18</v>
      </c>
      <c r="S42" s="666">
        <f t="shared" si="12"/>
        <v>100</v>
      </c>
      <c r="T42" s="665" t="s">
        <v>18</v>
      </c>
      <c r="U42" s="666">
        <f t="shared" si="13"/>
        <v>100</v>
      </c>
      <c r="V42" s="665" t="s">
        <v>18</v>
      </c>
      <c r="W42" s="666">
        <f t="shared" si="14"/>
        <v>100</v>
      </c>
      <c r="X42" s="1262"/>
      <c r="Y42" s="3471"/>
      <c r="Z42" s="1261" t="str">
        <f t="shared" si="18"/>
        <v>内部装修</v>
      </c>
      <c r="AA42" s="1261">
        <f t="shared" si="15"/>
        <v>1</v>
      </c>
      <c r="AB42" s="1261">
        <f t="shared" si="16"/>
        <v>1</v>
      </c>
      <c r="AC42" s="1261">
        <f t="shared" si="17"/>
        <v>1</v>
      </c>
    </row>
    <row r="43" spans="1:29" ht="28.8">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90"/>
      <c r="M43" s="2485"/>
      <c r="N43" s="2485"/>
      <c r="O43" s="2485"/>
      <c r="P43" s="3469"/>
      <c r="Q43" s="1260" t="str">
        <f t="shared" si="11"/>
        <v>内部装修维护情况</v>
      </c>
      <c r="R43" s="665" t="s">
        <v>18</v>
      </c>
      <c r="S43" s="666">
        <f t="shared" si="12"/>
        <v>100</v>
      </c>
      <c r="T43" s="665" t="s">
        <v>18</v>
      </c>
      <c r="U43" s="666">
        <f t="shared" si="13"/>
        <v>100</v>
      </c>
      <c r="V43" s="665" t="s">
        <v>18</v>
      </c>
      <c r="W43" s="666">
        <f t="shared" si="14"/>
        <v>100</v>
      </c>
      <c r="X43" s="1262"/>
      <c r="Y43" s="3471"/>
      <c r="Z43" s="1261" t="str">
        <f t="shared" si="18"/>
        <v>内部装修维护情况</v>
      </c>
      <c r="AA43" s="1261">
        <f t="shared" si="15"/>
        <v>1</v>
      </c>
      <c r="AB43" s="1261">
        <f t="shared" si="16"/>
        <v>1</v>
      </c>
      <c r="AC43" s="1261">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6"/>
      <c r="M44" s="2437"/>
      <c r="N44" s="2437"/>
      <c r="O44" s="2437"/>
      <c r="P44" s="3469"/>
      <c r="Q44" s="528">
        <f t="shared" si="11"/>
        <v>111</v>
      </c>
      <c r="R44" s="662" t="s">
        <v>18</v>
      </c>
      <c r="S44" s="663">
        <f t="shared" si="12"/>
        <v>100</v>
      </c>
      <c r="T44" s="662" t="s">
        <v>18</v>
      </c>
      <c r="U44" s="663">
        <f t="shared" si="13"/>
        <v>100</v>
      </c>
      <c r="V44" s="662" t="s">
        <v>18</v>
      </c>
      <c r="W44" s="663">
        <f t="shared" si="14"/>
        <v>100</v>
      </c>
      <c r="X44" s="664"/>
      <c r="Y44" s="3471"/>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90"/>
      <c r="M45" s="2485"/>
      <c r="N45" s="2485"/>
      <c r="O45" s="2485"/>
      <c r="P45" s="3469"/>
      <c r="Q45" s="1260">
        <f t="shared" si="11"/>
        <v>111</v>
      </c>
      <c r="R45" s="665" t="s">
        <v>18</v>
      </c>
      <c r="S45" s="666">
        <f t="shared" si="12"/>
        <v>100</v>
      </c>
      <c r="T45" s="665" t="s">
        <v>18</v>
      </c>
      <c r="U45" s="666">
        <f t="shared" si="13"/>
        <v>100</v>
      </c>
      <c r="V45" s="665" t="s">
        <v>18</v>
      </c>
      <c r="W45" s="666">
        <f t="shared" si="14"/>
        <v>100</v>
      </c>
      <c r="X45" s="1262"/>
      <c r="Y45" s="3471"/>
      <c r="Z45" s="1261">
        <f t="shared" si="18"/>
        <v>111</v>
      </c>
      <c r="AA45" s="1261">
        <f t="shared" si="15"/>
        <v>1</v>
      </c>
      <c r="AB45" s="1261">
        <f t="shared" si="16"/>
        <v>1</v>
      </c>
      <c r="AC45" s="1261">
        <f t="shared" si="17"/>
        <v>1</v>
      </c>
    </row>
    <row r="46" spans="1:29" ht="15.6"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90"/>
      <c r="M46" s="2485"/>
      <c r="N46" s="2485"/>
      <c r="O46" s="2485"/>
      <c r="P46" s="3470"/>
      <c r="Q46" s="1260">
        <f t="shared" si="11"/>
        <v>111</v>
      </c>
      <c r="R46" s="665" t="s">
        <v>17</v>
      </c>
      <c r="S46" s="666">
        <f t="shared" si="12"/>
        <v>100</v>
      </c>
      <c r="T46" s="665" t="s">
        <v>17</v>
      </c>
      <c r="U46" s="666">
        <f t="shared" si="13"/>
        <v>100</v>
      </c>
      <c r="V46" s="665" t="s">
        <v>17</v>
      </c>
      <c r="W46" s="666">
        <f t="shared" si="14"/>
        <v>100</v>
      </c>
      <c r="X46" s="1262"/>
      <c r="Y46" s="3472"/>
      <c r="Z46" s="1261">
        <f t="shared" si="18"/>
        <v>111</v>
      </c>
      <c r="AA46" s="1261">
        <f t="shared" si="15"/>
        <v>1</v>
      </c>
      <c r="AB46" s="1261">
        <f t="shared" si="16"/>
        <v>1</v>
      </c>
      <c r="AC46" s="1261">
        <f t="shared" si="17"/>
        <v>1</v>
      </c>
    </row>
    <row r="47" spans="1:29" ht="14.4">
      <c r="A47" s="414" t="s">
        <v>1708</v>
      </c>
      <c r="B47" s="415"/>
      <c r="C47" s="1079" t="s">
        <v>16</v>
      </c>
      <c r="D47" s="416"/>
      <c r="E47" s="417"/>
      <c r="F47" s="418"/>
      <c r="G47" s="419"/>
      <c r="H47" s="420"/>
      <c r="I47" s="417"/>
      <c r="J47" s="420"/>
      <c r="K47" s="1764"/>
      <c r="L47" s="2492"/>
      <c r="M47" s="2485"/>
      <c r="N47" s="2485"/>
      <c r="O47" s="2485"/>
      <c r="P47" s="3465" t="str">
        <f>A47</f>
        <v>成交单价（元/平方米）</v>
      </c>
      <c r="Q47" s="3465"/>
      <c r="R47" s="3460">
        <f>E47</f>
        <v>0</v>
      </c>
      <c r="S47" s="3460"/>
      <c r="T47" s="3460">
        <f>G47</f>
        <v>0</v>
      </c>
      <c r="U47" s="3460"/>
      <c r="V47" s="3460">
        <f>I47</f>
        <v>0</v>
      </c>
      <c r="W47" s="3460"/>
      <c r="X47" s="383"/>
      <c r="Y47" s="671"/>
      <c r="Z47" s="383"/>
      <c r="AA47" s="383"/>
      <c r="AB47" s="383"/>
      <c r="AC47" s="383"/>
    </row>
    <row r="48" spans="1:29" ht="15" thickBot="1">
      <c r="A48" s="421" t="s">
        <v>1709</v>
      </c>
      <c r="B48" s="422"/>
      <c r="C48" s="1080" t="e">
        <f>R49</f>
        <v>#DIV/0!</v>
      </c>
      <c r="D48" s="2138" t="s">
        <v>2135</v>
      </c>
      <c r="E48" s="1081" t="e">
        <f>R48</f>
        <v>#DIV/0!</v>
      </c>
      <c r="F48" s="2139"/>
      <c r="G48" s="1080" t="e">
        <f>T48</f>
        <v>#DIV/0!</v>
      </c>
      <c r="H48" s="2139"/>
      <c r="I48" s="1081" t="e">
        <f>V48</f>
        <v>#DIV/0!</v>
      </c>
      <c r="J48" s="2139"/>
      <c r="K48" s="2140">
        <f>F48+H48+J48</f>
        <v>0</v>
      </c>
      <c r="L48" s="2492"/>
      <c r="M48" s="2485"/>
      <c r="N48" s="2485"/>
      <c r="O48" s="2485"/>
      <c r="P48" s="3465" t="str">
        <f>A48</f>
        <v>比较价值（元/平方米）</v>
      </c>
      <c r="Q48" s="3465"/>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383"/>
      <c r="Y48" s="383"/>
      <c r="Z48" s="383"/>
      <c r="AA48" s="383"/>
      <c r="AB48" s="383"/>
      <c r="AC48" s="383"/>
    </row>
    <row r="49" spans="1:29" ht="15" thickBot="1">
      <c r="A49" s="425" t="s">
        <v>1710</v>
      </c>
      <c r="B49" s="426"/>
      <c r="C49" s="1082" t="e">
        <f>R49</f>
        <v>#DIV/0!</v>
      </c>
      <c r="D49" s="349"/>
      <c r="E49" s="349"/>
      <c r="F49" s="349"/>
      <c r="G49" s="349"/>
      <c r="H49" s="349"/>
      <c r="I49" s="349"/>
      <c r="J49" s="349"/>
      <c r="K49" s="1765"/>
      <c r="L49" s="2492"/>
      <c r="M49" s="2485"/>
      <c r="N49" s="2485"/>
      <c r="O49" s="2485"/>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row>
    <row r="53" spans="1:29" ht="13.5" customHeight="1">
      <c r="A53" s="2485"/>
      <c r="B53" s="2485"/>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row>
    <row r="54" spans="1:29" s="435" customFormat="1" ht="13.5" customHeight="1">
      <c r="A54" s="2495"/>
      <c r="B54" s="2495"/>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1767"/>
    </row>
    <row r="55" spans="1:29" s="435"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6" t="s">
        <v>1714</v>
      </c>
      <c r="B57" s="383"/>
      <c r="C57" s="657"/>
      <c r="D57" s="657"/>
      <c r="E57" s="657"/>
      <c r="F57" s="658"/>
      <c r="G57" s="658"/>
      <c r="H57" s="657"/>
      <c r="I57" s="657"/>
      <c r="J57" s="657"/>
      <c r="K57" s="885"/>
      <c r="L57" s="886"/>
      <c r="M57" s="884"/>
      <c r="N57" s="884"/>
      <c r="O57" s="884"/>
      <c r="P57" s="1768"/>
      <c r="Q57" s="437"/>
    </row>
    <row r="58" spans="1:29" s="440" customFormat="1" ht="14.4">
      <c r="A58" s="438" t="s">
        <v>1715</v>
      </c>
      <c r="B58" s="439"/>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2" customFormat="1">
      <c r="A59" s="441"/>
      <c r="B59" s="1769"/>
      <c r="C59" s="1099">
        <v>100</v>
      </c>
      <c r="D59" s="443"/>
      <c r="E59" s="444"/>
      <c r="F59" s="444"/>
      <c r="G59" s="444"/>
      <c r="H59" s="444"/>
      <c r="I59" s="444"/>
      <c r="J59" s="444"/>
      <c r="K59" s="444"/>
      <c r="L59" s="444"/>
      <c r="M59" s="445"/>
      <c r="N59" s="444"/>
      <c r="O59" s="445"/>
      <c r="P59" s="1770"/>
    </row>
    <row r="60" spans="1:29" s="102" customFormat="1" ht="15" thickBot="1">
      <c r="A60" s="447" t="s">
        <v>1716</v>
      </c>
      <c r="B60" s="448"/>
      <c r="C60" s="449"/>
      <c r="D60" s="450"/>
      <c r="E60" s="450"/>
      <c r="F60" s="450"/>
      <c r="G60" s="450"/>
      <c r="H60" s="450"/>
      <c r="I60" s="450"/>
      <c r="J60" s="450"/>
      <c r="K60" s="450"/>
      <c r="L60" s="450"/>
      <c r="M60" s="451"/>
      <c r="N60" s="450"/>
      <c r="O60" s="451"/>
      <c r="P60" s="1770"/>
      <c r="Q60" s="437"/>
    </row>
    <row r="61" spans="1:29" s="102" customFormat="1" ht="14.4">
      <c r="A61" s="453" t="s">
        <v>1717</v>
      </c>
      <c r="B61" s="442"/>
      <c r="C61" s="454" t="s">
        <v>1718</v>
      </c>
      <c r="D61" s="31"/>
      <c r="E61" s="31"/>
      <c r="F61" s="31"/>
      <c r="G61" s="31"/>
      <c r="H61" s="31"/>
      <c r="I61" s="31"/>
      <c r="J61" s="31"/>
      <c r="K61" s="31"/>
      <c r="L61" s="455"/>
      <c r="M61" s="456"/>
      <c r="N61" s="876"/>
      <c r="O61" s="876"/>
      <c r="P61" s="1771"/>
      <c r="Q61" s="437"/>
    </row>
    <row r="62" spans="1:29" s="102" customFormat="1" ht="14.4" thickBot="1">
      <c r="A62" s="453"/>
      <c r="B62" s="442"/>
      <c r="C62" s="443">
        <v>100</v>
      </c>
      <c r="D62" s="444"/>
      <c r="E62" s="444"/>
      <c r="F62" s="444"/>
      <c r="G62" s="444"/>
      <c r="H62" s="444"/>
      <c r="I62" s="444"/>
      <c r="J62" s="444"/>
      <c r="K62" s="444"/>
      <c r="L62" s="444"/>
      <c r="M62" s="446"/>
      <c r="N62" s="876"/>
      <c r="O62" s="876"/>
      <c r="P62" s="1770"/>
      <c r="Q62" s="437"/>
    </row>
    <row r="63" spans="1:29" ht="14.4">
      <c r="A63" s="377" t="s">
        <v>1719</v>
      </c>
      <c r="B63" s="458" t="s">
        <v>1685</v>
      </c>
      <c r="C63" s="459">
        <f>C9</f>
        <v>0</v>
      </c>
      <c r="D63" s="460"/>
      <c r="E63" s="460"/>
      <c r="F63" s="460"/>
      <c r="G63" s="460"/>
      <c r="H63" s="460"/>
      <c r="I63" s="460"/>
      <c r="J63" s="460"/>
      <c r="K63" s="461"/>
      <c r="L63" s="462"/>
      <c r="M63" s="463"/>
      <c r="N63" s="877"/>
      <c r="O63" s="877"/>
      <c r="P63" s="1772"/>
      <c r="Q63" s="437"/>
    </row>
    <row r="64" spans="1:29" ht="14.4" thickBot="1">
      <c r="A64" s="365"/>
      <c r="B64" s="464"/>
      <c r="C64" s="465">
        <v>100</v>
      </c>
      <c r="D64" s="465"/>
      <c r="E64" s="465"/>
      <c r="F64" s="465"/>
      <c r="G64" s="465"/>
      <c r="H64" s="465"/>
      <c r="I64" s="465"/>
      <c r="J64" s="465"/>
      <c r="K64" s="465"/>
      <c r="L64" s="465"/>
      <c r="M64" s="466"/>
      <c r="N64" s="878"/>
      <c r="O64" s="878"/>
      <c r="P64" s="1772"/>
      <c r="Q64" s="437"/>
    </row>
    <row r="65" spans="1:17" ht="29.4" thickTop="1">
      <c r="A65" s="365"/>
      <c r="B65" s="467" t="s">
        <v>1688</v>
      </c>
      <c r="C65" s="511"/>
      <c r="D65" s="511"/>
      <c r="E65" s="511"/>
      <c r="F65" s="511"/>
      <c r="G65" s="511"/>
      <c r="H65" s="511"/>
      <c r="I65" s="511"/>
      <c r="J65" s="511"/>
      <c r="K65" s="511"/>
      <c r="L65" s="511"/>
      <c r="M65" s="511"/>
      <c r="N65" s="878"/>
      <c r="O65" s="878"/>
      <c r="P65" s="1772"/>
      <c r="Q65" s="437"/>
    </row>
    <row r="66" spans="1:17" ht="14.4" thickBot="1">
      <c r="A66" s="365"/>
      <c r="B66" s="472"/>
      <c r="C66" s="465"/>
      <c r="D66" s="465"/>
      <c r="E66" s="465"/>
      <c r="F66" s="465"/>
      <c r="G66" s="465"/>
      <c r="H66" s="465"/>
      <c r="I66" s="465"/>
      <c r="J66" s="465"/>
      <c r="K66" s="465"/>
      <c r="L66" s="465"/>
      <c r="M66" s="466"/>
      <c r="N66" s="878"/>
      <c r="O66" s="878"/>
      <c r="P66" s="1772"/>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2"/>
      <c r="Q67" s="437"/>
    </row>
    <row r="68" spans="1:17">
      <c r="A68" s="365"/>
      <c r="B68" s="477"/>
      <c r="C68" s="478"/>
      <c r="D68" s="478"/>
      <c r="E68" s="478"/>
      <c r="F68" s="478"/>
      <c r="G68" s="478"/>
      <c r="H68" s="478"/>
      <c r="I68" s="478"/>
      <c r="J68" s="478"/>
      <c r="K68" s="479"/>
      <c r="L68" s="480"/>
      <c r="M68" s="481"/>
      <c r="N68" s="877"/>
      <c r="O68" s="877"/>
      <c r="P68" s="1772"/>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2"/>
      <c r="Q69" s="437"/>
    </row>
    <row r="70" spans="1:17" s="406" customFormat="1" ht="14.4" thickTop="1">
      <c r="A70" s="482"/>
      <c r="B70" s="467">
        <f>B12</f>
        <v>111</v>
      </c>
      <c r="C70" s="483"/>
      <c r="D70" s="483"/>
      <c r="E70" s="483"/>
      <c r="F70" s="483"/>
      <c r="G70" s="483"/>
      <c r="H70" s="484"/>
      <c r="I70" s="484"/>
      <c r="J70" s="484"/>
      <c r="K70" s="484"/>
      <c r="L70" s="485"/>
      <c r="M70" s="486"/>
      <c r="N70" s="879"/>
      <c r="O70" s="879"/>
      <c r="P70" s="1773"/>
      <c r="Q70" s="488"/>
    </row>
    <row r="71" spans="1:17" s="406" customFormat="1" ht="14.4" thickBot="1">
      <c r="A71" s="482"/>
      <c r="B71" s="472"/>
      <c r="C71" s="489"/>
      <c r="D71" s="465"/>
      <c r="E71" s="465"/>
      <c r="F71" s="465"/>
      <c r="G71" s="465"/>
      <c r="H71" s="465"/>
      <c r="I71" s="465"/>
      <c r="J71" s="465"/>
      <c r="K71" s="465"/>
      <c r="L71" s="465"/>
      <c r="M71" s="466"/>
      <c r="N71" s="878"/>
      <c r="O71" s="878"/>
      <c r="P71" s="1773"/>
      <c r="Q71" s="488"/>
    </row>
    <row r="72" spans="1:17" s="406" customFormat="1" ht="14.4" thickTop="1">
      <c r="A72" s="482"/>
      <c r="B72" s="467">
        <f>B13</f>
        <v>111</v>
      </c>
      <c r="C72" s="483"/>
      <c r="D72" s="483"/>
      <c r="E72" s="483"/>
      <c r="F72" s="483"/>
      <c r="G72" s="483"/>
      <c r="H72" s="484"/>
      <c r="I72" s="484"/>
      <c r="J72" s="484"/>
      <c r="K72" s="484"/>
      <c r="L72" s="485"/>
      <c r="M72" s="486"/>
      <c r="N72" s="879"/>
      <c r="O72" s="879"/>
      <c r="P72" s="1774"/>
      <c r="Q72" s="490"/>
    </row>
    <row r="73" spans="1:17" s="406" customFormat="1" ht="14.4" thickBot="1">
      <c r="A73" s="482"/>
      <c r="B73" s="472"/>
      <c r="C73" s="489"/>
      <c r="D73" s="489"/>
      <c r="E73" s="489"/>
      <c r="F73" s="489"/>
      <c r="G73" s="489"/>
      <c r="H73" s="491"/>
      <c r="I73" s="491"/>
      <c r="J73" s="491"/>
      <c r="K73" s="491"/>
      <c r="L73" s="491"/>
      <c r="M73" s="492"/>
      <c r="N73" s="879"/>
      <c r="O73" s="879"/>
      <c r="P73" s="1773"/>
      <c r="Q73" s="488"/>
    </row>
    <row r="74" spans="1:17" s="406" customFormat="1" ht="14.4" thickTop="1">
      <c r="A74" s="482"/>
      <c r="B74" s="475">
        <f>B14</f>
        <v>111</v>
      </c>
      <c r="C74" s="483"/>
      <c r="D74" s="483"/>
      <c r="E74" s="483"/>
      <c r="F74" s="483"/>
      <c r="G74" s="31"/>
      <c r="H74" s="493"/>
      <c r="I74" s="493"/>
      <c r="J74" s="493"/>
      <c r="K74" s="493"/>
      <c r="L74" s="494"/>
      <c r="M74" s="495"/>
      <c r="N74" s="879"/>
      <c r="O74" s="879"/>
      <c r="P74" s="1775"/>
      <c r="Q74" s="488"/>
    </row>
    <row r="75" spans="1:17" s="406" customFormat="1" ht="14.4" thickBot="1">
      <c r="A75" s="497"/>
      <c r="B75" s="498"/>
      <c r="C75" s="499"/>
      <c r="D75" s="499"/>
      <c r="E75" s="499"/>
      <c r="F75" s="499"/>
      <c r="G75" s="499"/>
      <c r="H75" s="500"/>
      <c r="I75" s="500"/>
      <c r="J75" s="500"/>
      <c r="K75" s="500"/>
      <c r="L75" s="500"/>
      <c r="M75" s="501"/>
      <c r="N75" s="879"/>
      <c r="O75" s="879"/>
      <c r="P75" s="1773"/>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7"/>
      <c r="O76" s="877"/>
      <c r="P76" s="1776"/>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72"/>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7"/>
      <c r="O78" s="877"/>
      <c r="P78" s="1772"/>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72"/>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7"/>
      <c r="O80" s="877"/>
      <c r="P80" s="1772"/>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72"/>
      <c r="Q81" s="437"/>
    </row>
    <row r="82" spans="1:17" ht="15" thickTop="1">
      <c r="A82" s="365"/>
      <c r="B82" s="475" t="s">
        <v>1260</v>
      </c>
      <c r="C82" s="468" t="s">
        <v>1728</v>
      </c>
      <c r="D82" s="468" t="s">
        <v>1729</v>
      </c>
      <c r="E82" s="468" t="s">
        <v>1730</v>
      </c>
      <c r="F82" s="468" t="s">
        <v>1731</v>
      </c>
      <c r="G82" s="468" t="s">
        <v>1732</v>
      </c>
      <c r="H82" s="468"/>
      <c r="I82" s="468"/>
      <c r="J82" s="468"/>
      <c r="K82" s="468"/>
      <c r="L82" s="468"/>
      <c r="M82" s="1061"/>
      <c r="N82" s="878"/>
      <c r="O82" s="878"/>
      <c r="P82" s="1772"/>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2"/>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7"/>
      <c r="O84" s="877"/>
      <c r="P84" s="1772"/>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72"/>
      <c r="Q85" s="437"/>
    </row>
    <row r="86" spans="1:17" s="102" customFormat="1" ht="15" thickTop="1">
      <c r="A86" s="368"/>
      <c r="B86" s="467" t="s">
        <v>1734</v>
      </c>
      <c r="C86" s="483"/>
      <c r="D86" s="483"/>
      <c r="E86" s="483"/>
      <c r="F86" s="483"/>
      <c r="G86" s="483"/>
      <c r="H86" s="483"/>
      <c r="I86" s="483"/>
      <c r="J86" s="483"/>
      <c r="K86" s="483"/>
      <c r="L86" s="508"/>
      <c r="M86" s="509"/>
      <c r="N86" s="876"/>
      <c r="O86" s="876"/>
      <c r="P86" s="1772"/>
      <c r="Q86" s="437"/>
    </row>
    <row r="87" spans="1:17" s="102"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2"/>
      <c r="Q87" s="437"/>
    </row>
    <row r="88" spans="1:17" s="102" customFormat="1" ht="15" thickTop="1">
      <c r="A88" s="368"/>
      <c r="B88" s="467" t="s">
        <v>1735</v>
      </c>
      <c r="C88" s="483"/>
      <c r="D88" s="483"/>
      <c r="E88" s="483"/>
      <c r="F88" s="1777"/>
      <c r="G88" s="483"/>
      <c r="H88" s="483"/>
      <c r="I88" s="483"/>
      <c r="J88" s="483"/>
      <c r="K88" s="483"/>
      <c r="L88" s="483"/>
      <c r="M88" s="509"/>
      <c r="N88" s="876"/>
      <c r="O88" s="876"/>
      <c r="P88" s="1772"/>
      <c r="Q88" s="437"/>
    </row>
    <row r="89" spans="1:17" s="102"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2"/>
      <c r="Q89" s="437"/>
    </row>
    <row r="90" spans="1:17" s="406" customFormat="1" ht="14.4" thickTop="1">
      <c r="A90" s="482"/>
      <c r="B90" s="467">
        <f>B27</f>
        <v>111</v>
      </c>
      <c r="C90" s="483"/>
      <c r="D90" s="483"/>
      <c r="E90" s="483"/>
      <c r="F90" s="483"/>
      <c r="G90" s="483"/>
      <c r="H90" s="484"/>
      <c r="I90" s="484"/>
      <c r="J90" s="484"/>
      <c r="K90" s="484"/>
      <c r="L90" s="485"/>
      <c r="M90" s="486"/>
      <c r="N90" s="879"/>
      <c r="O90" s="879"/>
      <c r="P90" s="1773"/>
      <c r="Q90" s="488"/>
    </row>
    <row r="91" spans="1:17" s="406" customFormat="1" ht="14.4" thickBot="1">
      <c r="A91" s="482"/>
      <c r="B91" s="472"/>
      <c r="C91" s="489"/>
      <c r="D91" s="489"/>
      <c r="E91" s="489"/>
      <c r="F91" s="489"/>
      <c r="G91" s="489"/>
      <c r="H91" s="491"/>
      <c r="I91" s="491"/>
      <c r="J91" s="491"/>
      <c r="K91" s="491"/>
      <c r="L91" s="491"/>
      <c r="M91" s="492"/>
      <c r="N91" s="879"/>
      <c r="O91" s="879"/>
      <c r="P91" s="1773"/>
      <c r="Q91" s="488"/>
    </row>
    <row r="92" spans="1:17" ht="14.4" thickTop="1">
      <c r="A92" s="365"/>
      <c r="B92" s="467">
        <f>B28</f>
        <v>111</v>
      </c>
      <c r="C92" s="483"/>
      <c r="D92" s="483"/>
      <c r="E92" s="483"/>
      <c r="F92" s="483"/>
      <c r="G92" s="511"/>
      <c r="H92" s="511"/>
      <c r="I92" s="511"/>
      <c r="J92" s="511"/>
      <c r="K92" s="512"/>
      <c r="L92" s="513"/>
      <c r="M92" s="514"/>
      <c r="N92" s="877"/>
      <c r="O92" s="877"/>
      <c r="P92" s="1772"/>
      <c r="Q92" s="437"/>
    </row>
    <row r="93" spans="1:17" ht="14.4" thickBot="1">
      <c r="A93" s="365"/>
      <c r="B93" s="472"/>
      <c r="C93" s="489"/>
      <c r="D93" s="465"/>
      <c r="E93" s="465"/>
      <c r="F93" s="465"/>
      <c r="G93" s="465"/>
      <c r="H93" s="465"/>
      <c r="I93" s="465"/>
      <c r="J93" s="465"/>
      <c r="K93" s="465"/>
      <c r="L93" s="465"/>
      <c r="M93" s="466"/>
      <c r="N93" s="878"/>
      <c r="O93" s="878"/>
      <c r="P93" s="1772"/>
      <c r="Q93" s="437"/>
    </row>
    <row r="94" spans="1:17" ht="14.4" thickTop="1">
      <c r="A94" s="365"/>
      <c r="B94" s="467">
        <f>B29</f>
        <v>111</v>
      </c>
      <c r="C94" s="483"/>
      <c r="D94" s="483"/>
      <c r="E94" s="483"/>
      <c r="F94" s="483"/>
      <c r="G94" s="511"/>
      <c r="H94" s="511"/>
      <c r="I94" s="511"/>
      <c r="J94" s="511"/>
      <c r="K94" s="512"/>
      <c r="L94" s="513"/>
      <c r="M94" s="514"/>
      <c r="N94" s="877"/>
      <c r="O94" s="877"/>
      <c r="P94" s="1772"/>
      <c r="Q94" s="437"/>
    </row>
    <row r="95" spans="1:17" ht="14.4" thickBot="1">
      <c r="A95" s="365"/>
      <c r="B95" s="472"/>
      <c r="C95" s="489"/>
      <c r="D95" s="489"/>
      <c r="E95" s="489"/>
      <c r="F95" s="489"/>
      <c r="G95" s="465"/>
      <c r="H95" s="465"/>
      <c r="I95" s="465"/>
      <c r="J95" s="465"/>
      <c r="K95" s="465"/>
      <c r="L95" s="465"/>
      <c r="M95" s="466"/>
      <c r="N95" s="878"/>
      <c r="O95" s="878"/>
      <c r="P95" s="1772"/>
      <c r="Q95" s="437"/>
    </row>
    <row r="96" spans="1:17" ht="14.4" thickTop="1">
      <c r="A96" s="365"/>
      <c r="B96" s="467">
        <f>B30</f>
        <v>111</v>
      </c>
      <c r="C96" s="483"/>
      <c r="D96" s="483"/>
      <c r="E96" s="483"/>
      <c r="F96" s="483"/>
      <c r="G96" s="511"/>
      <c r="H96" s="511"/>
      <c r="I96" s="511"/>
      <c r="J96" s="511"/>
      <c r="K96" s="512"/>
      <c r="L96" s="513"/>
      <c r="M96" s="514"/>
      <c r="N96" s="877"/>
      <c r="O96" s="877"/>
      <c r="P96" s="1772"/>
      <c r="Q96" s="437"/>
    </row>
    <row r="97" spans="1:17" ht="14.4" thickBot="1">
      <c r="A97" s="365"/>
      <c r="B97" s="472"/>
      <c r="C97" s="499"/>
      <c r="D97" s="499"/>
      <c r="E97" s="499"/>
      <c r="F97" s="499"/>
      <c r="G97" s="465"/>
      <c r="H97" s="465"/>
      <c r="I97" s="465"/>
      <c r="J97" s="465"/>
      <c r="K97" s="465"/>
      <c r="L97" s="465"/>
      <c r="M97" s="466"/>
      <c r="N97" s="878"/>
      <c r="O97" s="878"/>
      <c r="P97" s="1772"/>
      <c r="Q97" s="437"/>
    </row>
    <row r="98" spans="1:17" ht="14.4" thickTop="1">
      <c r="A98" s="365"/>
      <c r="B98" s="475">
        <f>B31</f>
        <v>111</v>
      </c>
      <c r="C98" s="515"/>
      <c r="D98" s="515"/>
      <c r="E98" s="515"/>
      <c r="F98" s="515"/>
      <c r="G98" s="515"/>
      <c r="H98" s="515"/>
      <c r="I98" s="515"/>
      <c r="J98" s="515"/>
      <c r="K98" s="516"/>
      <c r="L98" s="517"/>
      <c r="M98" s="518"/>
      <c r="N98" s="877"/>
      <c r="O98" s="877"/>
      <c r="P98" s="1772"/>
      <c r="Q98" s="437"/>
    </row>
    <row r="99" spans="1:17" ht="14.4" thickBot="1">
      <c r="A99" s="373"/>
      <c r="B99" s="498"/>
      <c r="C99" s="519"/>
      <c r="D99" s="519"/>
      <c r="E99" s="519"/>
      <c r="F99" s="519"/>
      <c r="G99" s="519"/>
      <c r="H99" s="519"/>
      <c r="I99" s="519"/>
      <c r="J99" s="519"/>
      <c r="K99" s="519"/>
      <c r="L99" s="519"/>
      <c r="M99" s="520"/>
      <c r="N99" s="878"/>
      <c r="O99" s="878"/>
      <c r="P99" s="1772"/>
      <c r="Q99" s="437"/>
    </row>
    <row r="100" spans="1:17" ht="14.4">
      <c r="A100" s="377" t="s">
        <v>1694</v>
      </c>
      <c r="B100" s="458" t="s">
        <v>1736</v>
      </c>
      <c r="C100" s="460"/>
      <c r="D100" s="460"/>
      <c r="E100" s="460"/>
      <c r="F100" s="460"/>
      <c r="G100" s="460"/>
      <c r="H100" s="460"/>
      <c r="I100" s="460"/>
      <c r="J100" s="460"/>
      <c r="K100" s="461"/>
      <c r="L100" s="462"/>
      <c r="M100" s="463"/>
      <c r="N100" s="877"/>
      <c r="O100" s="877"/>
      <c r="P100" s="1772"/>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2"/>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2"/>
      <c r="Q102" s="437"/>
    </row>
    <row r="103" spans="1:17" s="406" customFormat="1">
      <c r="A103" s="404"/>
      <c r="B103" s="521"/>
      <c r="C103" s="6"/>
      <c r="D103" s="6"/>
      <c r="E103" s="6"/>
      <c r="F103" s="6"/>
      <c r="G103" s="6"/>
      <c r="H103" s="6"/>
      <c r="I103" s="6"/>
      <c r="J103" s="522"/>
      <c r="K103" s="522"/>
      <c r="L103" s="523"/>
      <c r="M103" s="524"/>
      <c r="N103" s="879"/>
      <c r="O103" s="879"/>
      <c r="P103" s="1773"/>
      <c r="Q103" s="488"/>
    </row>
    <row r="104" spans="1:17" s="406" customFormat="1" ht="14.4" thickBot="1">
      <c r="A104" s="482"/>
      <c r="B104" s="472"/>
      <c r="C104" s="489"/>
      <c r="D104" s="465"/>
      <c r="E104" s="465"/>
      <c r="F104" s="465"/>
      <c r="G104" s="465"/>
      <c r="H104" s="465"/>
      <c r="I104" s="465"/>
      <c r="J104" s="465"/>
      <c r="K104" s="465"/>
      <c r="L104" s="465"/>
      <c r="M104" s="465"/>
      <c r="N104" s="878"/>
      <c r="O104" s="878"/>
      <c r="P104" s="1773"/>
      <c r="Q104" s="488"/>
    </row>
    <row r="105" spans="1:17" ht="15" thickTop="1">
      <c r="A105" s="407"/>
      <c r="B105" s="467" t="s">
        <v>1738</v>
      </c>
      <c r="C105" s="483"/>
      <c r="D105" s="483"/>
      <c r="E105" s="511"/>
      <c r="F105" s="511"/>
      <c r="G105" s="511"/>
      <c r="H105" s="511"/>
      <c r="I105" s="511"/>
      <c r="J105" s="511"/>
      <c r="K105" s="512"/>
      <c r="L105" s="513"/>
      <c r="M105" s="514"/>
      <c r="N105" s="877"/>
      <c r="O105" s="877"/>
      <c r="P105" s="1772"/>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2"/>
      <c r="Q106" s="437"/>
    </row>
    <row r="107" spans="1:17" ht="15" thickTop="1">
      <c r="A107" s="407"/>
      <c r="B107" s="467" t="s">
        <v>1739</v>
      </c>
      <c r="C107" s="511"/>
      <c r="D107" s="511"/>
      <c r="E107" s="511"/>
      <c r="F107" s="511"/>
      <c r="G107" s="511"/>
      <c r="H107" s="511"/>
      <c r="I107" s="511"/>
      <c r="J107" s="511"/>
      <c r="K107" s="512"/>
      <c r="L107" s="513"/>
      <c r="M107" s="514"/>
      <c r="N107" s="877"/>
      <c r="O107" s="877"/>
      <c r="P107" s="1772"/>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2"/>
      <c r="Q108" s="437"/>
    </row>
    <row r="109" spans="1:17" ht="15" thickTop="1">
      <c r="A109" s="407"/>
      <c r="B109" s="467" t="s">
        <v>1740</v>
      </c>
      <c r="C109" s="483"/>
      <c r="D109" s="483"/>
      <c r="E109" s="483"/>
      <c r="F109" s="511"/>
      <c r="G109" s="511"/>
      <c r="H109" s="511"/>
      <c r="I109" s="511"/>
      <c r="J109" s="511"/>
      <c r="K109" s="512"/>
      <c r="L109" s="513"/>
      <c r="M109" s="514"/>
      <c r="N109" s="877"/>
      <c r="O109" s="877"/>
      <c r="P109" s="1772"/>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3"/>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3"/>
      <c r="Q113" s="488"/>
    </row>
    <row r="114" spans="1:17" ht="15" thickTop="1">
      <c r="A114" s="407"/>
      <c r="B114" s="467" t="s">
        <v>1741</v>
      </c>
      <c r="C114" s="483"/>
      <c r="D114" s="483"/>
      <c r="E114" s="511"/>
      <c r="F114" s="511"/>
      <c r="G114" s="511"/>
      <c r="H114" s="511"/>
      <c r="I114" s="511"/>
      <c r="J114" s="511"/>
      <c r="K114" s="512"/>
      <c r="L114" s="513"/>
      <c r="M114" s="514"/>
      <c r="N114" s="877"/>
      <c r="O114" s="877"/>
      <c r="P114" s="1772"/>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2"/>
      <c r="Q115" s="437"/>
    </row>
    <row r="116" spans="1:17" ht="15" thickTop="1">
      <c r="A116" s="407"/>
      <c r="B116" s="467" t="s">
        <v>1742</v>
      </c>
      <c r="C116" s="483"/>
      <c r="D116" s="483"/>
      <c r="E116" s="483"/>
      <c r="F116" s="483"/>
      <c r="G116" s="483"/>
      <c r="H116" s="511"/>
      <c r="I116" s="511"/>
      <c r="J116" s="511"/>
      <c r="K116" s="512"/>
      <c r="L116" s="513"/>
      <c r="M116" s="514"/>
      <c r="N116" s="877"/>
      <c r="O116" s="877"/>
      <c r="P116" s="1772"/>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2"/>
      <c r="Q117" s="437"/>
    </row>
    <row r="118" spans="1:17" ht="15" thickTop="1">
      <c r="A118" s="407"/>
      <c r="B118" s="467" t="s">
        <v>1743</v>
      </c>
      <c r="C118" s="511"/>
      <c r="D118" s="511"/>
      <c r="E118" s="511"/>
      <c r="F118" s="511"/>
      <c r="G118" s="511"/>
      <c r="H118" s="511"/>
      <c r="I118" s="511"/>
      <c r="J118" s="511"/>
      <c r="K118" s="512"/>
      <c r="L118" s="513"/>
      <c r="M118" s="514"/>
      <c r="N118" s="877"/>
      <c r="O118" s="877"/>
      <c r="P118" s="1772"/>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2"/>
      <c r="Q119" s="437"/>
    </row>
    <row r="120" spans="1:17" s="406" customFormat="1" ht="29.4" thickTop="1">
      <c r="A120" s="404"/>
      <c r="B120" s="467" t="s">
        <v>1705</v>
      </c>
      <c r="C120" s="483"/>
      <c r="D120" s="483"/>
      <c r="E120" s="483"/>
      <c r="F120" s="483"/>
      <c r="G120" s="483"/>
      <c r="H120" s="483"/>
      <c r="I120" s="483"/>
      <c r="J120" s="483"/>
      <c r="K120" s="483"/>
      <c r="L120" s="508"/>
      <c r="M120" s="509"/>
      <c r="N120" s="879"/>
      <c r="O120" s="879"/>
      <c r="P120" s="1773"/>
      <c r="Q120" s="488"/>
    </row>
    <row r="121" spans="1:17" s="406" customFormat="1" ht="14.4" thickBot="1">
      <c r="A121" s="482"/>
      <c r="B121" s="464"/>
      <c r="C121" s="489"/>
      <c r="D121" s="465"/>
      <c r="E121" s="465"/>
      <c r="F121" s="465"/>
      <c r="G121" s="465"/>
      <c r="H121" s="465"/>
      <c r="I121" s="465"/>
      <c r="J121" s="465"/>
      <c r="K121" s="465"/>
      <c r="L121" s="465"/>
      <c r="M121" s="465"/>
      <c r="N121" s="879"/>
      <c r="O121" s="879"/>
      <c r="P121" s="1773"/>
      <c r="Q121" s="488"/>
    </row>
    <row r="122" spans="1:17" ht="15" thickTop="1">
      <c r="A122" s="407"/>
      <c r="B122" s="467" t="s">
        <v>1744</v>
      </c>
      <c r="C122" s="483"/>
      <c r="D122" s="483"/>
      <c r="E122" s="483"/>
      <c r="F122" s="511"/>
      <c r="G122" s="511"/>
      <c r="H122" s="511"/>
      <c r="I122" s="511"/>
      <c r="J122" s="511"/>
      <c r="K122" s="512"/>
      <c r="L122" s="513"/>
      <c r="M122" s="514"/>
      <c r="N122" s="877"/>
      <c r="O122" s="877"/>
      <c r="P122" s="1772"/>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2"/>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3"/>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2"/>
      <c r="Q125" s="437"/>
    </row>
    <row r="126" spans="1:17" s="406" customFormat="1" ht="14.4" thickTop="1">
      <c r="A126" s="404"/>
      <c r="B126" s="467">
        <f>B44</f>
        <v>111</v>
      </c>
      <c r="C126" s="483"/>
      <c r="D126" s="483"/>
      <c r="E126" s="483"/>
      <c r="F126" s="483"/>
      <c r="G126" s="483"/>
      <c r="H126" s="484"/>
      <c r="I126" s="484"/>
      <c r="J126" s="484"/>
      <c r="K126" s="484"/>
      <c r="L126" s="485"/>
      <c r="M126" s="486"/>
      <c r="N126" s="879"/>
      <c r="O126" s="879"/>
      <c r="P126" s="1773"/>
      <c r="Q126" s="488"/>
    </row>
    <row r="127" spans="1:17" s="406" customFormat="1" ht="14.4" thickBot="1">
      <c r="A127" s="482"/>
      <c r="B127" s="472"/>
      <c r="C127" s="489"/>
      <c r="D127" s="465"/>
      <c r="E127" s="465"/>
      <c r="F127" s="465"/>
      <c r="G127" s="489"/>
      <c r="H127" s="491"/>
      <c r="I127" s="491"/>
      <c r="J127" s="491"/>
      <c r="K127" s="491"/>
      <c r="L127" s="491"/>
      <c r="M127" s="492"/>
      <c r="N127" s="879"/>
      <c r="O127" s="879"/>
      <c r="P127" s="1773"/>
      <c r="Q127" s="488"/>
    </row>
    <row r="128" spans="1:17" ht="14.4" thickTop="1">
      <c r="A128" s="407"/>
      <c r="B128" s="467">
        <f>B45</f>
        <v>111</v>
      </c>
      <c r="C128" s="483"/>
      <c r="D128" s="483"/>
      <c r="E128" s="483"/>
      <c r="F128" s="483"/>
      <c r="G128" s="511"/>
      <c r="H128" s="511"/>
      <c r="I128" s="511"/>
      <c r="J128" s="511"/>
      <c r="K128" s="512"/>
      <c r="L128" s="513"/>
      <c r="M128" s="514"/>
      <c r="N128" s="877"/>
      <c r="O128" s="877"/>
      <c r="P128" s="1772"/>
      <c r="Q128" s="437"/>
    </row>
    <row r="129" spans="1:17" ht="14.4" thickBot="1">
      <c r="A129" s="365"/>
      <c r="B129" s="472"/>
      <c r="C129" s="489"/>
      <c r="D129" s="489"/>
      <c r="E129" s="489"/>
      <c r="F129" s="489"/>
      <c r="G129" s="465"/>
      <c r="H129" s="465"/>
      <c r="I129" s="465"/>
      <c r="J129" s="465"/>
      <c r="K129" s="465"/>
      <c r="L129" s="465"/>
      <c r="M129" s="466"/>
      <c r="N129" s="878"/>
      <c r="O129" s="878"/>
      <c r="P129" s="1772"/>
      <c r="Q129" s="437"/>
    </row>
    <row r="130" spans="1:17" ht="14.4" thickTop="1">
      <c r="A130" s="407"/>
      <c r="B130" s="475">
        <f>B46</f>
        <v>111</v>
      </c>
      <c r="C130" s="483"/>
      <c r="D130" s="483"/>
      <c r="E130" s="483"/>
      <c r="F130" s="483"/>
      <c r="G130" s="515"/>
      <c r="H130" s="515"/>
      <c r="I130" s="515"/>
      <c r="J130" s="515"/>
      <c r="K130" s="31"/>
      <c r="L130" s="455"/>
      <c r="M130" s="518"/>
      <c r="N130" s="877"/>
      <c r="O130" s="877"/>
      <c r="P130" s="1772"/>
      <c r="Q130" s="437"/>
    </row>
    <row r="131" spans="1:17" ht="14.4" thickBot="1">
      <c r="A131" s="373"/>
      <c r="B131" s="498"/>
      <c r="C131" s="499"/>
      <c r="D131" s="499"/>
      <c r="E131" s="499"/>
      <c r="F131" s="499"/>
      <c r="G131" s="519"/>
      <c r="H131" s="519"/>
      <c r="I131" s="519"/>
      <c r="J131" s="519"/>
      <c r="K131" s="519"/>
      <c r="L131" s="519"/>
      <c r="M131" s="520"/>
      <c r="N131" s="878"/>
      <c r="O131" s="878"/>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1">
        <f>ROUNDUP((J139-1)/2,0)</f>
        <v>10</v>
      </c>
      <c r="K140" s="823">
        <v>100</v>
      </c>
    </row>
    <row r="141" spans="1:17" ht="15">
      <c r="B141" s="818">
        <v>4</v>
      </c>
      <c r="C141" s="819">
        <v>102</v>
      </c>
      <c r="D141" s="819"/>
      <c r="E141" s="820"/>
      <c r="F141" s="821">
        <v>101.5</v>
      </c>
      <c r="G141" s="819"/>
      <c r="H141" s="822"/>
      <c r="I141" s="1791" t="s">
        <v>1758</v>
      </c>
      <c r="J141" s="261">
        <v>1</v>
      </c>
      <c r="K141" s="824">
        <f>ROUND(100+(J141-J140)*K139*100,1)</f>
        <v>96.4</v>
      </c>
    </row>
    <row r="142" spans="1:17" ht="15">
      <c r="B142" s="818">
        <v>3</v>
      </c>
      <c r="C142" s="819">
        <v>103</v>
      </c>
      <c r="D142" s="819"/>
      <c r="E142" s="820"/>
      <c r="F142" s="821">
        <v>101</v>
      </c>
      <c r="G142" s="819"/>
      <c r="H142" s="822"/>
      <c r="I142" s="1791" t="s">
        <v>1759</v>
      </c>
      <c r="J142" s="261">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0" customFormat="1" ht="28.5" customHeight="1" thickBot="1">
      <c r="A3" s="193" t="s">
        <v>1464</v>
      </c>
      <c r="B3" s="534">
        <f>IF(C2="——",C49,ROUND(B2*10000/D3,0))</f>
        <v>0</v>
      </c>
      <c r="C3" s="342" t="s">
        <v>1768</v>
      </c>
      <c r="D3" s="341">
        <f>IF(D1="",'数据-汇总表'!E3,SUMIF('数据-汇总表'!$C19:$C33,D1,'数据-汇总表'!$E19:$E33))</f>
        <v>1232.79</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4.4">
      <c r="A4" s="343" t="s">
        <v>1769</v>
      </c>
      <c r="B4" s="344"/>
      <c r="C4" s="3448" t="s">
        <v>1770</v>
      </c>
      <c r="D4" s="3449"/>
      <c r="E4" s="3450" t="s">
        <v>1771</v>
      </c>
      <c r="F4" s="3451"/>
      <c r="G4" s="3448" t="s">
        <v>1772</v>
      </c>
      <c r="H4" s="3449"/>
      <c r="I4" s="3448" t="s">
        <v>1773</v>
      </c>
      <c r="J4" s="3449"/>
      <c r="K4" s="535" t="s">
        <v>1774</v>
      </c>
      <c r="L4" s="2484"/>
      <c r="M4" s="2485"/>
      <c r="N4" s="2485"/>
      <c r="O4" s="2485"/>
      <c r="P4" s="3452" t="s">
        <v>1775</v>
      </c>
      <c r="Q4" s="3453"/>
      <c r="R4" s="3435" t="s">
        <v>1771</v>
      </c>
      <c r="S4" s="3436"/>
      <c r="T4" s="3435" t="s">
        <v>1772</v>
      </c>
      <c r="U4" s="3436"/>
      <c r="V4" s="3460" t="s">
        <v>1773</v>
      </c>
      <c r="W4" s="3460"/>
      <c r="X4" s="1262"/>
      <c r="Y4" s="3435" t="s">
        <v>1775</v>
      </c>
      <c r="Z4" s="3436"/>
      <c r="AA4" s="3430" t="s">
        <v>1771</v>
      </c>
      <c r="AB4" s="3460" t="s">
        <v>1772</v>
      </c>
      <c r="AC4" s="3430" t="s">
        <v>1773</v>
      </c>
    </row>
    <row r="5" spans="1:29">
      <c r="A5" s="346"/>
      <c r="B5" s="347"/>
      <c r="C5" s="3441" t="s">
        <v>1673</v>
      </c>
      <c r="D5" s="3442"/>
      <c r="E5" s="3439" t="s">
        <v>1674</v>
      </c>
      <c r="F5" s="3440"/>
      <c r="G5" s="3441" t="s">
        <v>1675</v>
      </c>
      <c r="H5" s="3442"/>
      <c r="I5" s="3441" t="s">
        <v>1676</v>
      </c>
      <c r="J5" s="3442"/>
      <c r="K5" s="535"/>
      <c r="L5" s="2484"/>
      <c r="M5" s="2485"/>
      <c r="N5" s="2485"/>
      <c r="O5" s="2485"/>
      <c r="P5" s="3454"/>
      <c r="Q5" s="3455"/>
      <c r="R5" s="3437"/>
      <c r="S5" s="3438"/>
      <c r="T5" s="3437"/>
      <c r="U5" s="3438"/>
      <c r="V5" s="3460"/>
      <c r="W5" s="3460"/>
      <c r="X5" s="1262"/>
      <c r="Y5" s="3437"/>
      <c r="Z5" s="3438"/>
      <c r="AA5" s="3431"/>
      <c r="AB5" s="3460"/>
      <c r="AC5" s="3431"/>
    </row>
    <row r="6" spans="1:29" ht="15" thickBot="1">
      <c r="A6" s="348"/>
      <c r="B6" s="349"/>
      <c r="C6" s="3443" t="s">
        <v>1677</v>
      </c>
      <c r="D6" s="3444"/>
      <c r="E6" s="3445" t="s">
        <v>1677</v>
      </c>
      <c r="F6" s="3446"/>
      <c r="G6" s="3443" t="s">
        <v>1677</v>
      </c>
      <c r="H6" s="3444"/>
      <c r="I6" s="3443" t="s">
        <v>1677</v>
      </c>
      <c r="J6" s="3444"/>
      <c r="K6" s="535" t="s">
        <v>1678</v>
      </c>
      <c r="L6" s="2484"/>
      <c r="M6" s="2485"/>
      <c r="N6" s="2485"/>
      <c r="O6" s="2485"/>
      <c r="P6" s="3456"/>
      <c r="Q6" s="3457"/>
      <c r="R6" s="3437"/>
      <c r="S6" s="3438"/>
      <c r="T6" s="3458"/>
      <c r="U6" s="3459"/>
      <c r="V6" s="3460"/>
      <c r="W6" s="3460"/>
      <c r="X6" s="1262"/>
      <c r="Y6" s="3458"/>
      <c r="Z6" s="3459"/>
      <c r="AA6" s="3432"/>
      <c r="AB6" s="3460"/>
      <c r="AC6" s="3432"/>
    </row>
    <row r="7" spans="1:29" s="102" customFormat="1" ht="15" thickBot="1">
      <c r="A7" s="350" t="s">
        <v>1679</v>
      </c>
      <c r="B7" s="351"/>
      <c r="C7" s="352">
        <f>'数据-取费表'!B2</f>
        <v>45728</v>
      </c>
      <c r="D7" s="353">
        <v>100</v>
      </c>
      <c r="E7" s="354"/>
      <c r="F7" s="355">
        <f>SUMIF(58:58,YEAR(E7)&amp;"-"&amp;MONTH(E7),59:59)</f>
        <v>0</v>
      </c>
      <c r="G7" s="354"/>
      <c r="H7" s="353">
        <f>SUMIF(58:58,YEAR(G7)&amp;"-"&amp;MONTH(G7),59:59)</f>
        <v>0</v>
      </c>
      <c r="I7" s="354"/>
      <c r="J7" s="353">
        <f>SUMIF(58:58,YEAR(I7)&amp;"-"&amp;MONTH(I7),59:59)</f>
        <v>0</v>
      </c>
      <c r="K7" s="38"/>
      <c r="L7" s="2486"/>
      <c r="M7" s="2437"/>
      <c r="N7" s="2437"/>
      <c r="O7" s="2437"/>
      <c r="P7" s="3433" t="s">
        <v>1680</v>
      </c>
      <c r="Q7" s="3461"/>
      <c r="R7" s="662" t="s">
        <v>14</v>
      </c>
      <c r="S7" s="663">
        <f t="shared" ref="S7:S15" si="0">F7</f>
        <v>0</v>
      </c>
      <c r="T7" s="662" t="s">
        <v>14</v>
      </c>
      <c r="U7" s="663">
        <f t="shared" ref="U7:U15" si="1">H7</f>
        <v>0</v>
      </c>
      <c r="V7" s="662" t="s">
        <v>14</v>
      </c>
      <c r="W7" s="663">
        <f t="shared" ref="W7:W15" si="2">J7</f>
        <v>0</v>
      </c>
      <c r="X7" s="664"/>
      <c r="Y7" s="3433" t="s">
        <v>1680</v>
      </c>
      <c r="Z7" s="3434"/>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6"/>
      <c r="M8" s="2437"/>
      <c r="N8" s="2437"/>
      <c r="O8" s="2437"/>
      <c r="P8" s="3433" t="s">
        <v>1683</v>
      </c>
      <c r="Q8" s="3434"/>
      <c r="R8" s="662" t="s">
        <v>14</v>
      </c>
      <c r="S8" s="663">
        <f t="shared" si="0"/>
        <v>100</v>
      </c>
      <c r="T8" s="662" t="s">
        <v>14</v>
      </c>
      <c r="U8" s="663">
        <f t="shared" si="1"/>
        <v>100</v>
      </c>
      <c r="V8" s="662" t="s">
        <v>14</v>
      </c>
      <c r="W8" s="663">
        <f t="shared" si="2"/>
        <v>100</v>
      </c>
      <c r="X8" s="664"/>
      <c r="Y8" s="3433" t="s">
        <v>1683</v>
      </c>
      <c r="Z8" s="3434"/>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6"/>
      <c r="M9" s="2437"/>
      <c r="N9" s="2437"/>
      <c r="O9" s="2437"/>
      <c r="P9" s="3447" t="s">
        <v>1686</v>
      </c>
      <c r="Q9" s="528" t="str">
        <f t="shared" ref="Q9:Q15" si="6">B9</f>
        <v>用途</v>
      </c>
      <c r="R9" s="662" t="s">
        <v>14</v>
      </c>
      <c r="S9" s="663">
        <f t="shared" si="0"/>
        <v>100</v>
      </c>
      <c r="T9" s="662" t="s">
        <v>14</v>
      </c>
      <c r="U9" s="663">
        <f t="shared" si="1"/>
        <v>100</v>
      </c>
      <c r="V9" s="662" t="s">
        <v>14</v>
      </c>
      <c r="W9" s="663">
        <f t="shared" si="2"/>
        <v>100</v>
      </c>
      <c r="X9" s="664"/>
      <c r="Y9" s="3377" t="s">
        <v>1687</v>
      </c>
      <c r="Z9" s="50" t="str">
        <f t="shared" ref="Z9:Z15" si="7">Q9</f>
        <v>用途</v>
      </c>
      <c r="AA9" s="50">
        <f t="shared" si="3"/>
        <v>1</v>
      </c>
      <c r="AB9" s="50">
        <f t="shared" si="4"/>
        <v>1</v>
      </c>
      <c r="AC9" s="50">
        <f t="shared" si="5"/>
        <v>1</v>
      </c>
    </row>
    <row r="10" spans="1:29" s="364" customFormat="1" ht="28.8">
      <c r="A10" s="361"/>
      <c r="B10" s="362" t="s">
        <v>1688</v>
      </c>
      <c r="C10" s="3130"/>
      <c r="D10" s="117">
        <v>100</v>
      </c>
      <c r="E10" s="3131"/>
      <c r="F10" s="362">
        <f>SUMIF(65:65,E10,66:66)-SUMIF(65:65,C10,66:66)+100</f>
        <v>100</v>
      </c>
      <c r="G10" s="3130"/>
      <c r="H10" s="117">
        <f>SUMIF(65:65,G10,66:66)-SUMIF(65:65,C10,66:66)+100</f>
        <v>100</v>
      </c>
      <c r="I10" s="3130"/>
      <c r="J10" s="117">
        <f>SUMIF(65:65,I10,66:66)-SUMIF(65:65,C10,66:66)+100</f>
        <v>100</v>
      </c>
      <c r="K10" s="38"/>
      <c r="L10" s="2487"/>
      <c r="M10" s="2488"/>
      <c r="N10" s="2488"/>
      <c r="O10" s="2488"/>
      <c r="P10" s="3447"/>
      <c r="Q10" s="528" t="str">
        <f t="shared" si="6"/>
        <v>土地使用年限（年）</v>
      </c>
      <c r="R10" s="662" t="s">
        <v>14</v>
      </c>
      <c r="S10" s="663">
        <f t="shared" si="0"/>
        <v>100</v>
      </c>
      <c r="T10" s="662" t="s">
        <v>14</v>
      </c>
      <c r="U10" s="663">
        <f t="shared" si="1"/>
        <v>100</v>
      </c>
      <c r="V10" s="662" t="s">
        <v>14</v>
      </c>
      <c r="W10" s="663">
        <f t="shared" si="2"/>
        <v>100</v>
      </c>
      <c r="X10" s="664"/>
      <c r="Y10" s="3377"/>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9"/>
      <c r="M11" s="2485"/>
      <c r="N11" s="2485"/>
      <c r="O11" s="2485"/>
      <c r="P11" s="3447"/>
      <c r="Q11" s="528" t="str">
        <f t="shared" si="6"/>
        <v>容积率</v>
      </c>
      <c r="R11" s="662" t="s">
        <v>14</v>
      </c>
      <c r="S11" s="663" t="e">
        <f t="shared" si="0"/>
        <v>#N/A</v>
      </c>
      <c r="T11" s="662" t="s">
        <v>14</v>
      </c>
      <c r="U11" s="663" t="e">
        <f t="shared" si="1"/>
        <v>#N/A</v>
      </c>
      <c r="V11" s="662" t="s">
        <v>14</v>
      </c>
      <c r="W11" s="663" t="e">
        <f t="shared" si="2"/>
        <v>#N/A</v>
      </c>
      <c r="X11" s="664"/>
      <c r="Y11" s="3377"/>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6"/>
      <c r="M12" s="2437"/>
      <c r="N12" s="2437"/>
      <c r="O12" s="2437"/>
      <c r="P12" s="3447"/>
      <c r="Q12" s="528">
        <f t="shared" si="6"/>
        <v>111</v>
      </c>
      <c r="R12" s="662" t="s">
        <v>14</v>
      </c>
      <c r="S12" s="663">
        <f t="shared" si="0"/>
        <v>100</v>
      </c>
      <c r="T12" s="662" t="s">
        <v>14</v>
      </c>
      <c r="U12" s="663">
        <f t="shared" si="1"/>
        <v>100</v>
      </c>
      <c r="V12" s="662" t="s">
        <v>14</v>
      </c>
      <c r="W12" s="663">
        <f t="shared" si="2"/>
        <v>100</v>
      </c>
      <c r="X12" s="664"/>
      <c r="Y12" s="337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90"/>
      <c r="M13" s="2485"/>
      <c r="N13" s="2485"/>
      <c r="O13" s="2485"/>
      <c r="P13" s="3447"/>
      <c r="Q13" s="528">
        <f t="shared" si="6"/>
        <v>111</v>
      </c>
      <c r="R13" s="662" t="s">
        <v>14</v>
      </c>
      <c r="S13" s="663">
        <f t="shared" si="0"/>
        <v>100</v>
      </c>
      <c r="T13" s="662" t="s">
        <v>14</v>
      </c>
      <c r="U13" s="663">
        <f t="shared" si="1"/>
        <v>100</v>
      </c>
      <c r="V13" s="662" t="s">
        <v>14</v>
      </c>
      <c r="W13" s="663">
        <f t="shared" si="2"/>
        <v>100</v>
      </c>
      <c r="X13" s="664"/>
      <c r="Y13" s="3377"/>
      <c r="Z13" s="50">
        <f t="shared" si="7"/>
        <v>111</v>
      </c>
      <c r="AA13" s="50">
        <f t="shared" si="3"/>
        <v>1</v>
      </c>
      <c r="AB13" s="50">
        <f t="shared" si="4"/>
        <v>1</v>
      </c>
      <c r="AC13" s="50">
        <f t="shared" si="5"/>
        <v>1</v>
      </c>
    </row>
    <row r="14" spans="1:29" ht="15.6"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90"/>
      <c r="M14" s="2485"/>
      <c r="N14" s="2485"/>
      <c r="O14" s="2485"/>
      <c r="P14" s="3447"/>
      <c r="Q14" s="528">
        <f t="shared" si="6"/>
        <v>111</v>
      </c>
      <c r="R14" s="662" t="s">
        <v>14</v>
      </c>
      <c r="S14" s="663">
        <f t="shared" si="0"/>
        <v>100</v>
      </c>
      <c r="T14" s="662" t="s">
        <v>14</v>
      </c>
      <c r="U14" s="663">
        <f t="shared" si="1"/>
        <v>100</v>
      </c>
      <c r="V14" s="662" t="s">
        <v>14</v>
      </c>
      <c r="W14" s="663">
        <f t="shared" si="2"/>
        <v>100</v>
      </c>
      <c r="X14" s="664"/>
      <c r="Y14" s="3377"/>
      <c r="Z14" s="50">
        <f t="shared" si="7"/>
        <v>111</v>
      </c>
      <c r="AA14" s="50">
        <f t="shared" si="3"/>
        <v>1</v>
      </c>
      <c r="AB14" s="50">
        <f t="shared" si="4"/>
        <v>1</v>
      </c>
      <c r="AC14" s="50">
        <f t="shared" si="5"/>
        <v>1</v>
      </c>
    </row>
    <row r="15" spans="1:29" ht="15">
      <c r="A15" s="377" t="s">
        <v>1690</v>
      </c>
      <c r="B15" s="58" t="s">
        <v>1777</v>
      </c>
      <c r="C15" s="1747">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90"/>
      <c r="M15" s="2485"/>
      <c r="N15" s="2485"/>
      <c r="O15" s="2485"/>
      <c r="P15" s="3473" t="s">
        <v>1691</v>
      </c>
      <c r="Q15" s="1260" t="str">
        <f t="shared" si="6"/>
        <v>商业繁华度</v>
      </c>
      <c r="R15" s="665" t="s">
        <v>14</v>
      </c>
      <c r="S15" s="666">
        <f t="shared" si="0"/>
        <v>100</v>
      </c>
      <c r="T15" s="665" t="s">
        <v>14</v>
      </c>
      <c r="U15" s="666">
        <f t="shared" si="1"/>
        <v>100</v>
      </c>
      <c r="V15" s="665" t="s">
        <v>14</v>
      </c>
      <c r="W15" s="666">
        <f t="shared" si="2"/>
        <v>100</v>
      </c>
      <c r="X15" s="1262"/>
      <c r="Y15" s="3466"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90"/>
      <c r="M16" s="2485"/>
      <c r="N16" s="2485"/>
      <c r="O16" s="2485"/>
      <c r="P16" s="3474"/>
      <c r="Q16" s="1260"/>
      <c r="R16" s="665"/>
      <c r="S16" s="666"/>
      <c r="T16" s="665"/>
      <c r="U16" s="666"/>
      <c r="V16" s="665"/>
      <c r="W16" s="666"/>
      <c r="X16" s="1262"/>
      <c r="Y16" s="3467"/>
      <c r="Z16" s="1261"/>
      <c r="AA16" s="1261">
        <v>1</v>
      </c>
      <c r="AB16" s="1261">
        <v>1</v>
      </c>
      <c r="AC16" s="1261">
        <v>1</v>
      </c>
    </row>
    <row r="17" spans="1:29" ht="15">
      <c r="A17" s="365"/>
      <c r="B17" s="388" t="s">
        <v>1259</v>
      </c>
      <c r="C17" s="1751">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90"/>
      <c r="M17" s="2485"/>
      <c r="N17" s="2485"/>
      <c r="O17" s="2485"/>
      <c r="P17" s="3474"/>
      <c r="Q17" s="1260" t="str">
        <f>B17</f>
        <v>交通便捷度</v>
      </c>
      <c r="R17" s="665" t="s">
        <v>14</v>
      </c>
      <c r="S17" s="666">
        <f>F17</f>
        <v>100</v>
      </c>
      <c r="T17" s="665" t="s">
        <v>14</v>
      </c>
      <c r="U17" s="666">
        <f>H17</f>
        <v>100</v>
      </c>
      <c r="V17" s="665" t="s">
        <v>14</v>
      </c>
      <c r="W17" s="666">
        <f>J17</f>
        <v>100</v>
      </c>
      <c r="X17" s="1262"/>
      <c r="Y17" s="3467"/>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90"/>
      <c r="M18" s="2485"/>
      <c r="N18" s="2485"/>
      <c r="O18" s="2485"/>
      <c r="P18" s="3474"/>
      <c r="Q18" s="1260"/>
      <c r="R18" s="665"/>
      <c r="S18" s="666"/>
      <c r="T18" s="665"/>
      <c r="U18" s="666"/>
      <c r="V18" s="665"/>
      <c r="W18" s="666"/>
      <c r="X18" s="1262"/>
      <c r="Y18" s="3467"/>
      <c r="Z18" s="1261"/>
      <c r="AA18" s="1261">
        <v>1</v>
      </c>
      <c r="AB18" s="1261">
        <v>1</v>
      </c>
      <c r="AC18" s="1261">
        <v>1</v>
      </c>
    </row>
    <row r="19" spans="1:29" ht="15">
      <c r="A19" s="365"/>
      <c r="B19" s="388" t="s">
        <v>1778</v>
      </c>
      <c r="C19" s="1751">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90"/>
      <c r="M19" s="2485"/>
      <c r="N19" s="2485"/>
      <c r="O19" s="2485"/>
      <c r="P19" s="3474"/>
      <c r="Q19" s="1260" t="str">
        <f>B19</f>
        <v>公共配套设施</v>
      </c>
      <c r="R19" s="665" t="s">
        <v>14</v>
      </c>
      <c r="S19" s="666">
        <f>F19</f>
        <v>100</v>
      </c>
      <c r="T19" s="665" t="s">
        <v>14</v>
      </c>
      <c r="U19" s="666">
        <f>H19</f>
        <v>100</v>
      </c>
      <c r="V19" s="665" t="s">
        <v>14</v>
      </c>
      <c r="W19" s="666">
        <f>J19</f>
        <v>100</v>
      </c>
      <c r="X19" s="1262"/>
      <c r="Y19" s="3467"/>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90"/>
      <c r="M20" s="2485"/>
      <c r="N20" s="2485"/>
      <c r="O20" s="2485"/>
      <c r="P20" s="3474"/>
      <c r="Q20" s="1260"/>
      <c r="R20" s="665"/>
      <c r="S20" s="666"/>
      <c r="T20" s="665"/>
      <c r="U20" s="666"/>
      <c r="V20" s="665"/>
      <c r="W20" s="666"/>
      <c r="X20" s="1262"/>
      <c r="Y20" s="3467"/>
      <c r="Z20" s="1261"/>
      <c r="AA20" s="1261">
        <v>1</v>
      </c>
      <c r="AB20" s="1261">
        <v>1</v>
      </c>
      <c r="AC20" s="1261">
        <v>1</v>
      </c>
    </row>
    <row r="21" spans="1:29" ht="15">
      <c r="A21" s="365"/>
      <c r="B21" s="584" t="s">
        <v>1779</v>
      </c>
      <c r="C21" s="1751">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90"/>
      <c r="M21" s="2485"/>
      <c r="N21" s="2485"/>
      <c r="O21" s="2485"/>
      <c r="P21" s="3474"/>
      <c r="Q21" s="1260" t="str">
        <f>B21</f>
        <v>基础设施水平</v>
      </c>
      <c r="R21" s="665" t="s">
        <v>14</v>
      </c>
      <c r="S21" s="666">
        <f>F21</f>
        <v>100</v>
      </c>
      <c r="T21" s="665" t="s">
        <v>14</v>
      </c>
      <c r="U21" s="666">
        <f>H21</f>
        <v>100</v>
      </c>
      <c r="V21" s="665" t="s">
        <v>14</v>
      </c>
      <c r="W21" s="666">
        <f>J21</f>
        <v>100</v>
      </c>
      <c r="X21" s="1262"/>
      <c r="Y21" s="3467"/>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2490"/>
      <c r="M22" s="2485"/>
      <c r="N22" s="2485"/>
      <c r="O22" s="2485"/>
      <c r="P22" s="3474"/>
      <c r="Q22" s="1260"/>
      <c r="R22" s="665"/>
      <c r="S22" s="666"/>
      <c r="T22" s="665"/>
      <c r="U22" s="666"/>
      <c r="V22" s="665"/>
      <c r="W22" s="666"/>
      <c r="X22" s="1262"/>
      <c r="Y22" s="3467"/>
      <c r="Z22" s="1261"/>
      <c r="AA22" s="1261">
        <v>1</v>
      </c>
      <c r="AB22" s="1261">
        <v>1</v>
      </c>
      <c r="AC22" s="1261">
        <v>1</v>
      </c>
    </row>
    <row r="23" spans="1:29" ht="15">
      <c r="A23" s="365"/>
      <c r="B23" s="388" t="s">
        <v>1261</v>
      </c>
      <c r="C23" s="1803">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90"/>
      <c r="M23" s="2485"/>
      <c r="N23" s="2485"/>
      <c r="O23" s="2485"/>
      <c r="P23" s="3474"/>
      <c r="Q23" s="1260" t="str">
        <f>B23</f>
        <v>自然及人文环境</v>
      </c>
      <c r="R23" s="665" t="s">
        <v>14</v>
      </c>
      <c r="S23" s="666">
        <f>F23</f>
        <v>100</v>
      </c>
      <c r="T23" s="665" t="s">
        <v>14</v>
      </c>
      <c r="U23" s="666">
        <f>H23</f>
        <v>100</v>
      </c>
      <c r="V23" s="665" t="s">
        <v>14</v>
      </c>
      <c r="W23" s="666">
        <f>J23</f>
        <v>100</v>
      </c>
      <c r="X23" s="1262"/>
      <c r="Y23" s="3467"/>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90"/>
      <c r="M24" s="2485"/>
      <c r="N24" s="2485"/>
      <c r="O24" s="2485"/>
      <c r="P24" s="3474"/>
      <c r="Q24" s="1260"/>
      <c r="R24" s="665"/>
      <c r="S24" s="666"/>
      <c r="T24" s="665"/>
      <c r="U24" s="666"/>
      <c r="V24" s="665"/>
      <c r="W24" s="666"/>
      <c r="X24" s="1262"/>
      <c r="Y24" s="3467"/>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90"/>
      <c r="M25" s="2485"/>
      <c r="N25" s="2485"/>
      <c r="O25" s="2485"/>
      <c r="P25" s="3474"/>
      <c r="Q25" s="1260" t="str">
        <f t="shared" ref="Q25:Q46" si="11">B25</f>
        <v>临街状况</v>
      </c>
      <c r="R25" s="665" t="s">
        <v>14</v>
      </c>
      <c r="S25" s="666">
        <f>F25</f>
        <v>100</v>
      </c>
      <c r="T25" s="665" t="s">
        <v>14</v>
      </c>
      <c r="U25" s="666">
        <f>H25</f>
        <v>100</v>
      </c>
      <c r="V25" s="665" t="s">
        <v>14</v>
      </c>
      <c r="W25" s="666">
        <f>J25</f>
        <v>100</v>
      </c>
      <c r="X25" s="1262"/>
      <c r="Y25" s="3467"/>
      <c r="Z25" s="1261" t="str">
        <f>Q25</f>
        <v>临街状况</v>
      </c>
      <c r="AA25" s="1261">
        <f t="shared" si="3"/>
        <v>1</v>
      </c>
      <c r="AB25" s="1261">
        <f t="shared" si="4"/>
        <v>1</v>
      </c>
      <c r="AC25" s="1261">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90"/>
      <c r="M26" s="2485"/>
      <c r="N26" s="2485"/>
      <c r="O26" s="2485"/>
      <c r="P26" s="3474"/>
      <c r="Q26" s="1260" t="str">
        <f t="shared" si="11"/>
        <v>平面位置/可视性</v>
      </c>
      <c r="R26" s="665" t="s">
        <v>14</v>
      </c>
      <c r="S26" s="666">
        <f>F26</f>
        <v>100</v>
      </c>
      <c r="T26" s="665" t="s">
        <v>14</v>
      </c>
      <c r="U26" s="666">
        <f>H26</f>
        <v>100</v>
      </c>
      <c r="V26" s="665" t="s">
        <v>14</v>
      </c>
      <c r="W26" s="666">
        <f>J26</f>
        <v>100</v>
      </c>
      <c r="X26" s="1262"/>
      <c r="Y26" s="3467"/>
      <c r="Z26" s="1261" t="str">
        <f>Q26</f>
        <v>平面位置/可视性</v>
      </c>
      <c r="AA26" s="1261">
        <f t="shared" si="3"/>
        <v>1</v>
      </c>
      <c r="AB26" s="1261">
        <f t="shared" si="4"/>
        <v>1</v>
      </c>
      <c r="AC26" s="1261">
        <f t="shared" si="5"/>
        <v>1</v>
      </c>
    </row>
    <row r="27" spans="1:29" s="102" customFormat="1" ht="15">
      <c r="A27" s="368"/>
      <c r="B27" s="388" t="s">
        <v>1782</v>
      </c>
      <c r="C27" s="1804"/>
      <c r="D27" s="399">
        <v>100</v>
      </c>
      <c r="E27" s="1804"/>
      <c r="F27" s="393">
        <f>SUMIF(90:90,E27,91:91)-SUMIF(90:90,C27,91:91)+100</f>
        <v>100</v>
      </c>
      <c r="G27" s="1804"/>
      <c r="H27" s="399">
        <f>SUMIF(90:90,G27,91:91)-SUMIF(90:90,C27,91:91)+100</f>
        <v>100</v>
      </c>
      <c r="I27" s="1804"/>
      <c r="J27" s="399">
        <f>SUMIF(90:90,I27,91:91)-SUMIF(90:90,C27,91:91)+100</f>
        <v>100</v>
      </c>
      <c r="K27" s="536"/>
      <c r="L27" s="2486"/>
      <c r="M27" s="2437"/>
      <c r="N27" s="2437"/>
      <c r="O27" s="2437"/>
      <c r="P27" s="3474"/>
      <c r="Q27" s="528" t="str">
        <f t="shared" si="11"/>
        <v>人流量</v>
      </c>
      <c r="R27" s="662" t="s">
        <v>14</v>
      </c>
      <c r="S27" s="663">
        <f>F27</f>
        <v>100</v>
      </c>
      <c r="T27" s="662" t="s">
        <v>14</v>
      </c>
      <c r="U27" s="663">
        <f>H27</f>
        <v>100</v>
      </c>
      <c r="V27" s="662" t="s">
        <v>14</v>
      </c>
      <c r="W27" s="663">
        <f>J27</f>
        <v>100</v>
      </c>
      <c r="X27" s="664"/>
      <c r="Y27" s="3467"/>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90"/>
      <c r="M28" s="2485"/>
      <c r="N28" s="2485"/>
      <c r="O28" s="2485"/>
      <c r="P28" s="3474"/>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67"/>
      <c r="Z28" s="1261" t="str">
        <f t="shared" ref="Z28:Z46" si="15">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90"/>
      <c r="M29" s="2485"/>
      <c r="N29" s="2485"/>
      <c r="O29" s="2485"/>
      <c r="P29" s="3474"/>
      <c r="Q29" s="1260">
        <f t="shared" si="11"/>
        <v>111</v>
      </c>
      <c r="R29" s="665" t="s">
        <v>14</v>
      </c>
      <c r="S29" s="666">
        <f t="shared" si="12"/>
        <v>100</v>
      </c>
      <c r="T29" s="665" t="s">
        <v>14</v>
      </c>
      <c r="U29" s="666">
        <f t="shared" si="13"/>
        <v>100</v>
      </c>
      <c r="V29" s="665" t="s">
        <v>14</v>
      </c>
      <c r="W29" s="666">
        <f t="shared" si="14"/>
        <v>100</v>
      </c>
      <c r="X29" s="1262"/>
      <c r="Y29" s="3467"/>
      <c r="Z29" s="1261">
        <f t="shared" si="15"/>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90"/>
      <c r="M30" s="2485"/>
      <c r="N30" s="2485"/>
      <c r="O30" s="2485"/>
      <c r="P30" s="3474"/>
      <c r="Q30" s="1260">
        <f t="shared" si="11"/>
        <v>111</v>
      </c>
      <c r="R30" s="665" t="s">
        <v>14</v>
      </c>
      <c r="S30" s="666">
        <f t="shared" si="12"/>
        <v>100</v>
      </c>
      <c r="T30" s="665" t="s">
        <v>14</v>
      </c>
      <c r="U30" s="666">
        <f t="shared" si="13"/>
        <v>100</v>
      </c>
      <c r="V30" s="665" t="s">
        <v>14</v>
      </c>
      <c r="W30" s="666">
        <f t="shared" si="14"/>
        <v>100</v>
      </c>
      <c r="X30" s="1262"/>
      <c r="Y30" s="3467"/>
      <c r="Z30" s="1261">
        <f t="shared" si="15"/>
        <v>111</v>
      </c>
      <c r="AA30" s="1261">
        <f t="shared" si="3"/>
        <v>1</v>
      </c>
      <c r="AB30" s="1261">
        <f t="shared" si="4"/>
        <v>1</v>
      </c>
      <c r="AC30" s="1261">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90"/>
      <c r="M31" s="2485"/>
      <c r="N31" s="2485"/>
      <c r="O31" s="2485"/>
      <c r="P31" s="3474"/>
      <c r="Q31" s="1260">
        <f t="shared" si="11"/>
        <v>111</v>
      </c>
      <c r="R31" s="665" t="s">
        <v>14</v>
      </c>
      <c r="S31" s="666">
        <f t="shared" si="12"/>
        <v>100</v>
      </c>
      <c r="T31" s="665" t="s">
        <v>14</v>
      </c>
      <c r="U31" s="666">
        <f t="shared" si="13"/>
        <v>100</v>
      </c>
      <c r="V31" s="665" t="s">
        <v>14</v>
      </c>
      <c r="W31" s="666">
        <f t="shared" si="14"/>
        <v>100</v>
      </c>
      <c r="X31" s="1262"/>
      <c r="Y31" s="3467"/>
      <c r="Z31" s="1261">
        <f t="shared" si="15"/>
        <v>111</v>
      </c>
      <c r="AA31" s="1261">
        <f t="shared" si="3"/>
        <v>1</v>
      </c>
      <c r="AB31" s="1261">
        <f t="shared" si="4"/>
        <v>1</v>
      </c>
      <c r="AC31" s="1261">
        <f t="shared" si="5"/>
        <v>1</v>
      </c>
    </row>
    <row r="32" spans="1:29" ht="15">
      <c r="A32" s="377" t="s">
        <v>1694</v>
      </c>
      <c r="B32" s="60" t="s">
        <v>1784</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90"/>
      <c r="M32" s="2485"/>
      <c r="N32" s="2485"/>
      <c r="O32" s="2485"/>
      <c r="P32" s="3468" t="s">
        <v>1696</v>
      </c>
      <c r="Q32" s="1260" t="str">
        <f t="shared" si="11"/>
        <v>商业类型</v>
      </c>
      <c r="R32" s="665" t="s">
        <v>14</v>
      </c>
      <c r="S32" s="666">
        <f t="shared" si="12"/>
        <v>100</v>
      </c>
      <c r="T32" s="665" t="s">
        <v>14</v>
      </c>
      <c r="U32" s="666">
        <f t="shared" si="13"/>
        <v>100</v>
      </c>
      <c r="V32" s="665" t="s">
        <v>14</v>
      </c>
      <c r="W32" s="666">
        <f t="shared" si="14"/>
        <v>100</v>
      </c>
      <c r="X32" s="1262"/>
      <c r="Y32" s="3471"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9"/>
      <c r="M33" s="2491"/>
      <c r="N33" s="2491"/>
      <c r="O33" s="2491"/>
      <c r="P33" s="3469"/>
      <c r="Q33" s="529" t="str">
        <f t="shared" si="11"/>
        <v>项目建筑规模</v>
      </c>
      <c r="R33" s="667" t="s">
        <v>14</v>
      </c>
      <c r="S33" s="668" t="e">
        <f t="shared" si="12"/>
        <v>#N/A</v>
      </c>
      <c r="T33" s="667" t="s">
        <v>14</v>
      </c>
      <c r="U33" s="668" t="e">
        <f t="shared" si="13"/>
        <v>#N/A</v>
      </c>
      <c r="V33" s="667" t="s">
        <v>14</v>
      </c>
      <c r="W33" s="668" t="e">
        <f t="shared" si="14"/>
        <v>#N/A</v>
      </c>
      <c r="X33" s="669"/>
      <c r="Y33" s="3471"/>
      <c r="Z33" s="670"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90"/>
      <c r="M34" s="2485"/>
      <c r="N34" s="2485"/>
      <c r="O34" s="2485"/>
      <c r="P34" s="3469"/>
      <c r="Q34" s="1260" t="str">
        <f t="shared" si="11"/>
        <v>建筑结构</v>
      </c>
      <c r="R34" s="665" t="s">
        <v>14</v>
      </c>
      <c r="S34" s="666">
        <f t="shared" si="12"/>
        <v>100</v>
      </c>
      <c r="T34" s="665" t="s">
        <v>14</v>
      </c>
      <c r="U34" s="666">
        <f t="shared" si="13"/>
        <v>100</v>
      </c>
      <c r="V34" s="665" t="s">
        <v>14</v>
      </c>
      <c r="W34" s="666">
        <f t="shared" si="14"/>
        <v>100</v>
      </c>
      <c r="X34" s="1262"/>
      <c r="Y34" s="3471"/>
      <c r="Z34" s="1261" t="str">
        <f t="shared" si="15"/>
        <v>建筑结构</v>
      </c>
      <c r="AA34" s="1261">
        <f t="shared" si="3"/>
        <v>1</v>
      </c>
      <c r="AB34" s="1261">
        <f t="shared" si="4"/>
        <v>1</v>
      </c>
      <c r="AC34" s="1261">
        <f t="shared" si="5"/>
        <v>1</v>
      </c>
    </row>
    <row r="35" spans="1:29" ht="15">
      <c r="A35" s="407"/>
      <c r="B35" s="362" t="s">
        <v>1785</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90"/>
      <c r="M35" s="2485"/>
      <c r="N35" s="2485"/>
      <c r="O35" s="2485"/>
      <c r="P35" s="3469"/>
      <c r="Q35" s="1260" t="str">
        <f t="shared" si="11"/>
        <v>公共部分装修</v>
      </c>
      <c r="R35" s="665" t="s">
        <v>14</v>
      </c>
      <c r="S35" s="666">
        <f t="shared" si="12"/>
        <v>100</v>
      </c>
      <c r="T35" s="665" t="s">
        <v>14</v>
      </c>
      <c r="U35" s="666">
        <f t="shared" si="13"/>
        <v>100</v>
      </c>
      <c r="V35" s="665" t="s">
        <v>14</v>
      </c>
      <c r="W35" s="666">
        <f t="shared" si="14"/>
        <v>100</v>
      </c>
      <c r="X35" s="1262"/>
      <c r="Y35" s="3471"/>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90"/>
      <c r="M36" s="2485"/>
      <c r="N36" s="2485"/>
      <c r="O36" s="2485"/>
      <c r="P36" s="3469"/>
      <c r="Q36" s="1260" t="str">
        <f t="shared" si="11"/>
        <v>成新度</v>
      </c>
      <c r="R36" s="665" t="s">
        <v>14</v>
      </c>
      <c r="S36" s="666" t="e">
        <f t="shared" si="12"/>
        <v>#N/A</v>
      </c>
      <c r="T36" s="665" t="s">
        <v>14</v>
      </c>
      <c r="U36" s="666" t="e">
        <f t="shared" si="13"/>
        <v>#N/A</v>
      </c>
      <c r="V36" s="665" t="s">
        <v>14</v>
      </c>
      <c r="W36" s="666" t="e">
        <f t="shared" si="14"/>
        <v>#N/A</v>
      </c>
      <c r="X36" s="1262"/>
      <c r="Y36" s="3471"/>
      <c r="Z36" s="1261" t="str">
        <f t="shared" si="15"/>
        <v>成新度</v>
      </c>
      <c r="AA36" s="1261" t="e">
        <f t="shared" si="3"/>
        <v>#N/A</v>
      </c>
      <c r="AB36" s="1261" t="e">
        <f t="shared" si="4"/>
        <v>#N/A</v>
      </c>
      <c r="AC36" s="1261" t="e">
        <f t="shared" si="5"/>
        <v>#N/A</v>
      </c>
    </row>
    <row r="37" spans="1:29" s="102" customFormat="1" ht="15">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6"/>
      <c r="M37" s="2437"/>
      <c r="N37" s="2437"/>
      <c r="O37" s="2437"/>
      <c r="P37" s="3469"/>
      <c r="Q37" s="528" t="str">
        <f t="shared" si="11"/>
        <v>市政基础设施</v>
      </c>
      <c r="R37" s="662" t="s">
        <v>14</v>
      </c>
      <c r="S37" s="663">
        <f t="shared" si="12"/>
        <v>100</v>
      </c>
      <c r="T37" s="662" t="s">
        <v>14</v>
      </c>
      <c r="U37" s="663">
        <f t="shared" si="13"/>
        <v>100</v>
      </c>
      <c r="V37" s="662" t="s">
        <v>14</v>
      </c>
      <c r="W37" s="663">
        <f t="shared" si="14"/>
        <v>100</v>
      </c>
      <c r="X37" s="664"/>
      <c r="Y37" s="3471"/>
      <c r="Z37" s="50" t="str">
        <f t="shared" si="15"/>
        <v>市政基础设施</v>
      </c>
      <c r="AA37" s="50">
        <f t="shared" si="3"/>
        <v>1</v>
      </c>
      <c r="AB37" s="50">
        <f t="shared" si="4"/>
        <v>1</v>
      </c>
      <c r="AC37" s="50">
        <f t="shared" si="5"/>
        <v>1</v>
      </c>
    </row>
    <row r="38" spans="1:29" ht="15">
      <c r="A38" s="407"/>
      <c r="B38" s="362" t="s">
        <v>1788</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90"/>
      <c r="M38" s="2485"/>
      <c r="N38" s="2485"/>
      <c r="O38" s="2485"/>
      <c r="P38" s="3469" t="s">
        <v>1696</v>
      </c>
      <c r="Q38" s="1260" t="str">
        <f t="shared" si="11"/>
        <v>业态</v>
      </c>
      <c r="R38" s="665" t="s">
        <v>14</v>
      </c>
      <c r="S38" s="666">
        <f t="shared" si="12"/>
        <v>100</v>
      </c>
      <c r="T38" s="665" t="s">
        <v>14</v>
      </c>
      <c r="U38" s="666">
        <f t="shared" si="13"/>
        <v>100</v>
      </c>
      <c r="V38" s="665" t="s">
        <v>14</v>
      </c>
      <c r="W38" s="666">
        <f t="shared" si="14"/>
        <v>100</v>
      </c>
      <c r="X38" s="1262"/>
      <c r="Y38" s="3471" t="s">
        <v>1696</v>
      </c>
      <c r="Z38" s="1261" t="str">
        <f t="shared" si="15"/>
        <v>业态</v>
      </c>
      <c r="AA38" s="1261">
        <f t="shared" si="3"/>
        <v>1</v>
      </c>
      <c r="AB38" s="1261">
        <f t="shared" si="4"/>
        <v>1</v>
      </c>
      <c r="AC38" s="1261">
        <f t="shared" si="5"/>
        <v>1</v>
      </c>
    </row>
    <row r="39" spans="1:29" ht="15">
      <c r="A39" s="407"/>
      <c r="B39" s="362" t="s">
        <v>1789</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90"/>
      <c r="M39" s="2485"/>
      <c r="N39" s="2485"/>
      <c r="O39" s="2485"/>
      <c r="P39" s="3469"/>
      <c r="Q39" s="1260" t="str">
        <f t="shared" si="11"/>
        <v>层高</v>
      </c>
      <c r="R39" s="665" t="s">
        <v>14</v>
      </c>
      <c r="S39" s="666">
        <f t="shared" si="12"/>
        <v>100</v>
      </c>
      <c r="T39" s="665" t="s">
        <v>14</v>
      </c>
      <c r="U39" s="666">
        <f t="shared" si="13"/>
        <v>100</v>
      </c>
      <c r="V39" s="665" t="s">
        <v>14</v>
      </c>
      <c r="W39" s="666">
        <f t="shared" si="14"/>
        <v>100</v>
      </c>
      <c r="X39" s="1262"/>
      <c r="Y39" s="3471"/>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90"/>
      <c r="M40" s="2485"/>
      <c r="N40" s="2485"/>
      <c r="O40" s="2485"/>
      <c r="P40" s="3469"/>
      <c r="Q40" s="1260" t="str">
        <f t="shared" si="11"/>
        <v>单套建筑面积</v>
      </c>
      <c r="R40" s="665" t="s">
        <v>14</v>
      </c>
      <c r="S40" s="666">
        <f t="shared" si="12"/>
        <v>100</v>
      </c>
      <c r="T40" s="665" t="s">
        <v>14</v>
      </c>
      <c r="U40" s="666">
        <f t="shared" si="13"/>
        <v>100</v>
      </c>
      <c r="V40" s="665" t="s">
        <v>14</v>
      </c>
      <c r="W40" s="666">
        <f t="shared" si="14"/>
        <v>100</v>
      </c>
      <c r="X40" s="1262"/>
      <c r="Y40" s="3471"/>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9"/>
      <c r="M41" s="2491"/>
      <c r="N41" s="2491"/>
      <c r="O41" s="2491"/>
      <c r="P41" s="3469"/>
      <c r="Q41" s="529" t="str">
        <f t="shared" si="11"/>
        <v>进深比</v>
      </c>
      <c r="R41" s="667" t="s">
        <v>14</v>
      </c>
      <c r="S41" s="668">
        <f t="shared" si="12"/>
        <v>100</v>
      </c>
      <c r="T41" s="667" t="s">
        <v>14</v>
      </c>
      <c r="U41" s="668">
        <f t="shared" si="13"/>
        <v>100</v>
      </c>
      <c r="V41" s="667" t="s">
        <v>14</v>
      </c>
      <c r="W41" s="668">
        <f t="shared" si="14"/>
        <v>100</v>
      </c>
      <c r="X41" s="669"/>
      <c r="Y41" s="3471"/>
      <c r="Z41" s="670" t="str">
        <f t="shared" si="15"/>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90"/>
      <c r="M42" s="2485"/>
      <c r="N42" s="2485"/>
      <c r="O42" s="2485"/>
      <c r="P42" s="3469"/>
      <c r="Q42" s="1260" t="str">
        <f t="shared" si="11"/>
        <v>内部装修</v>
      </c>
      <c r="R42" s="665" t="s">
        <v>14</v>
      </c>
      <c r="S42" s="666">
        <f t="shared" si="12"/>
        <v>100</v>
      </c>
      <c r="T42" s="665" t="s">
        <v>14</v>
      </c>
      <c r="U42" s="666">
        <f t="shared" si="13"/>
        <v>100</v>
      </c>
      <c r="V42" s="665" t="s">
        <v>14</v>
      </c>
      <c r="W42" s="666">
        <f t="shared" si="14"/>
        <v>100</v>
      </c>
      <c r="X42" s="1262"/>
      <c r="Y42" s="3471"/>
      <c r="Z42" s="1261" t="str">
        <f t="shared" si="15"/>
        <v>内部装修</v>
      </c>
      <c r="AA42" s="1261">
        <f t="shared" si="3"/>
        <v>1</v>
      </c>
      <c r="AB42" s="1261">
        <f t="shared" si="4"/>
        <v>1</v>
      </c>
      <c r="AC42" s="1261">
        <f t="shared" si="5"/>
        <v>1</v>
      </c>
    </row>
    <row r="43" spans="1:29" ht="28.8">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90"/>
      <c r="M43" s="2485"/>
      <c r="N43" s="2485"/>
      <c r="O43" s="2485"/>
      <c r="P43" s="3469"/>
      <c r="Q43" s="1260" t="str">
        <f t="shared" si="11"/>
        <v>内部装修维护情况</v>
      </c>
      <c r="R43" s="665" t="s">
        <v>14</v>
      </c>
      <c r="S43" s="666">
        <f t="shared" si="12"/>
        <v>100</v>
      </c>
      <c r="T43" s="665" t="s">
        <v>14</v>
      </c>
      <c r="U43" s="666">
        <f t="shared" si="13"/>
        <v>100</v>
      </c>
      <c r="V43" s="665" t="s">
        <v>14</v>
      </c>
      <c r="W43" s="666">
        <f t="shared" si="14"/>
        <v>100</v>
      </c>
      <c r="X43" s="1262"/>
      <c r="Y43" s="3471"/>
      <c r="Z43" s="1261" t="str">
        <f t="shared" si="15"/>
        <v>内部装修维护情况</v>
      </c>
      <c r="AA43" s="1261">
        <f t="shared" si="3"/>
        <v>1</v>
      </c>
      <c r="AB43" s="1261">
        <f t="shared" si="4"/>
        <v>1</v>
      </c>
      <c r="AC43" s="1261">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6"/>
      <c r="M44" s="2437"/>
      <c r="N44" s="2437"/>
      <c r="O44" s="2437"/>
      <c r="P44" s="3469"/>
      <c r="Q44" s="528">
        <f t="shared" si="11"/>
        <v>111</v>
      </c>
      <c r="R44" s="662" t="s">
        <v>14</v>
      </c>
      <c r="S44" s="663">
        <f t="shared" si="12"/>
        <v>100</v>
      </c>
      <c r="T44" s="662" t="s">
        <v>14</v>
      </c>
      <c r="U44" s="663">
        <f t="shared" si="13"/>
        <v>100</v>
      </c>
      <c r="V44" s="662" t="s">
        <v>14</v>
      </c>
      <c r="W44" s="663">
        <f t="shared" si="14"/>
        <v>100</v>
      </c>
      <c r="X44" s="664"/>
      <c r="Y44" s="3471"/>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90"/>
      <c r="M45" s="2485"/>
      <c r="N45" s="2485"/>
      <c r="O45" s="2485"/>
      <c r="P45" s="3469"/>
      <c r="Q45" s="1260">
        <f t="shared" si="11"/>
        <v>111</v>
      </c>
      <c r="R45" s="665" t="s">
        <v>14</v>
      </c>
      <c r="S45" s="666">
        <f t="shared" si="12"/>
        <v>100</v>
      </c>
      <c r="T45" s="665" t="s">
        <v>14</v>
      </c>
      <c r="U45" s="666">
        <f t="shared" si="13"/>
        <v>100</v>
      </c>
      <c r="V45" s="665" t="s">
        <v>14</v>
      </c>
      <c r="W45" s="666">
        <f t="shared" si="14"/>
        <v>100</v>
      </c>
      <c r="X45" s="1262"/>
      <c r="Y45" s="3471"/>
      <c r="Z45" s="1261">
        <f t="shared" si="15"/>
        <v>111</v>
      </c>
      <c r="AA45" s="1261">
        <f t="shared" si="3"/>
        <v>1</v>
      </c>
      <c r="AB45" s="1261">
        <f t="shared" si="4"/>
        <v>1</v>
      </c>
      <c r="AC45" s="1261">
        <f t="shared" si="5"/>
        <v>1</v>
      </c>
    </row>
    <row r="46" spans="1:29" ht="15.6"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90"/>
      <c r="M46" s="2485"/>
      <c r="N46" s="2485"/>
      <c r="O46" s="2485"/>
      <c r="P46" s="3470"/>
      <c r="Q46" s="1260">
        <f t="shared" si="11"/>
        <v>111</v>
      </c>
      <c r="R46" s="665" t="s">
        <v>14</v>
      </c>
      <c r="S46" s="666">
        <f t="shared" si="12"/>
        <v>100</v>
      </c>
      <c r="T46" s="665" t="s">
        <v>14</v>
      </c>
      <c r="U46" s="666">
        <f t="shared" si="13"/>
        <v>100</v>
      </c>
      <c r="V46" s="665" t="s">
        <v>14</v>
      </c>
      <c r="W46" s="666">
        <f t="shared" si="14"/>
        <v>100</v>
      </c>
      <c r="X46" s="1262"/>
      <c r="Y46" s="3472"/>
      <c r="Z46" s="1261">
        <f t="shared" si="15"/>
        <v>111</v>
      </c>
      <c r="AA46" s="1261">
        <f t="shared" si="3"/>
        <v>1</v>
      </c>
      <c r="AB46" s="1261">
        <f t="shared" si="4"/>
        <v>1</v>
      </c>
      <c r="AC46" s="1261">
        <f t="shared" si="5"/>
        <v>1</v>
      </c>
    </row>
    <row r="47" spans="1:29" ht="14.4">
      <c r="A47" s="414" t="s">
        <v>1708</v>
      </c>
      <c r="B47" s="415"/>
      <c r="C47" s="1079" t="s">
        <v>0</v>
      </c>
      <c r="D47" s="416"/>
      <c r="E47" s="417"/>
      <c r="F47" s="418"/>
      <c r="G47" s="419"/>
      <c r="H47" s="420"/>
      <c r="I47" s="417"/>
      <c r="J47" s="420"/>
      <c r="K47" s="672"/>
      <c r="L47" s="2492"/>
      <c r="M47" s="2485"/>
      <c r="N47" s="2485"/>
      <c r="O47" s="2485"/>
      <c r="P47" s="3465" t="str">
        <f>A47</f>
        <v>成交单价（元/平方米）</v>
      </c>
      <c r="Q47" s="3465"/>
      <c r="R47" s="3460">
        <f>E47</f>
        <v>0</v>
      </c>
      <c r="S47" s="3460"/>
      <c r="T47" s="3460">
        <f>G47</f>
        <v>0</v>
      </c>
      <c r="U47" s="3460"/>
      <c r="V47" s="3460">
        <f>I47</f>
        <v>0</v>
      </c>
      <c r="W47" s="3460"/>
      <c r="X47" s="383"/>
      <c r="Y47" s="671"/>
      <c r="Z47" s="383"/>
      <c r="AA47" s="383"/>
      <c r="AB47" s="383"/>
      <c r="AC47" s="383"/>
    </row>
    <row r="48" spans="1:29" ht="15" thickBot="1">
      <c r="A48" s="421" t="s">
        <v>1793</v>
      </c>
      <c r="B48" s="422"/>
      <c r="C48" s="1080" t="e">
        <f>R49</f>
        <v>#DIV/0!</v>
      </c>
      <c r="D48" s="2138" t="s">
        <v>2135</v>
      </c>
      <c r="E48" s="1081" t="e">
        <f>R48</f>
        <v>#DIV/0!</v>
      </c>
      <c r="F48" s="2139"/>
      <c r="G48" s="1080" t="e">
        <f>T48</f>
        <v>#DIV/0!</v>
      </c>
      <c r="H48" s="2139"/>
      <c r="I48" s="1081" t="e">
        <f>V48</f>
        <v>#DIV/0!</v>
      </c>
      <c r="J48" s="2139"/>
      <c r="K48" s="2141">
        <f>F48+H48+J48</f>
        <v>0</v>
      </c>
      <c r="L48" s="2492"/>
      <c r="M48" s="2485"/>
      <c r="N48" s="2485"/>
      <c r="O48" s="2485"/>
      <c r="P48" s="3465" t="str">
        <f>A48</f>
        <v>比较价值（元/平方米）</v>
      </c>
      <c r="Q48" s="3465"/>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92"/>
      <c r="M49" s="2485"/>
      <c r="N49" s="2485"/>
      <c r="O49" s="2485"/>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5" customFormat="1" ht="13.5" customHeight="1">
      <c r="A54" s="2495"/>
      <c r="B54" s="2495"/>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5"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6" t="s">
        <v>1798</v>
      </c>
      <c r="B57" s="383"/>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0" customFormat="1" ht="14.4">
      <c r="A58" s="438" t="s">
        <v>1679</v>
      </c>
      <c r="B58" s="439"/>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7"/>
      <c r="Q58" s="2508"/>
      <c r="R58" s="2508"/>
      <c r="S58" s="2508"/>
      <c r="T58" s="2508"/>
      <c r="U58" s="2508"/>
      <c r="V58" s="2508"/>
      <c r="W58" s="2508"/>
      <c r="X58" s="2508"/>
      <c r="Y58" s="2508"/>
      <c r="Z58" s="2508"/>
      <c r="AA58" s="2508"/>
      <c r="AB58" s="2508"/>
      <c r="AC58" s="2508"/>
    </row>
    <row r="59" spans="1:29" s="102" customFormat="1">
      <c r="A59" s="441"/>
      <c r="B59" s="442"/>
      <c r="C59" s="1099">
        <v>100</v>
      </c>
      <c r="D59" s="444"/>
      <c r="E59" s="444"/>
      <c r="F59" s="444"/>
      <c r="G59" s="444"/>
      <c r="H59" s="444"/>
      <c r="I59" s="444"/>
      <c r="J59" s="444"/>
      <c r="K59" s="444"/>
      <c r="L59" s="444"/>
      <c r="M59" s="445"/>
      <c r="N59" s="444"/>
      <c r="O59" s="445"/>
      <c r="P59" s="2509"/>
      <c r="Q59" s="2437"/>
      <c r="R59" s="2437"/>
      <c r="S59" s="2437"/>
      <c r="T59" s="2437"/>
      <c r="U59" s="2437"/>
      <c r="V59" s="2437"/>
      <c r="W59" s="2437"/>
      <c r="X59" s="2437"/>
      <c r="Y59" s="2437"/>
      <c r="Z59" s="2437"/>
      <c r="AA59" s="2437"/>
      <c r="AB59" s="2437"/>
      <c r="AC59" s="2437"/>
    </row>
    <row r="60" spans="1:29" s="102" customFormat="1" ht="15" thickBot="1">
      <c r="A60" s="447" t="s">
        <v>1716</v>
      </c>
      <c r="B60" s="448"/>
      <c r="C60" s="449"/>
      <c r="D60" s="450"/>
      <c r="E60" s="450"/>
      <c r="F60" s="450"/>
      <c r="G60" s="450"/>
      <c r="H60" s="450"/>
      <c r="I60" s="450"/>
      <c r="J60" s="450"/>
      <c r="K60" s="450"/>
      <c r="L60" s="450"/>
      <c r="M60" s="451"/>
      <c r="N60" s="450"/>
      <c r="O60" s="451"/>
      <c r="P60" s="2509"/>
      <c r="Q60" s="2506"/>
      <c r="R60" s="2437"/>
      <c r="S60" s="2437"/>
      <c r="T60" s="2437"/>
      <c r="U60" s="2437"/>
      <c r="V60" s="2437"/>
      <c r="W60" s="2437"/>
      <c r="X60" s="2437"/>
      <c r="Y60" s="2437"/>
      <c r="Z60" s="2437"/>
      <c r="AA60" s="2437"/>
      <c r="AB60" s="2437"/>
      <c r="AC60" s="2437"/>
    </row>
    <row r="61" spans="1:29" s="102" customFormat="1" ht="14.4">
      <c r="A61" s="453" t="s">
        <v>1681</v>
      </c>
      <c r="B61" s="442"/>
      <c r="C61" s="454" t="s">
        <v>1776</v>
      </c>
      <c r="D61" s="31"/>
      <c r="E61" s="31"/>
      <c r="F61" s="31"/>
      <c r="G61" s="31"/>
      <c r="H61" s="31"/>
      <c r="I61" s="31"/>
      <c r="J61" s="31"/>
      <c r="K61" s="31"/>
      <c r="L61" s="455"/>
      <c r="M61" s="456"/>
      <c r="N61" s="2518"/>
      <c r="O61" s="2518"/>
      <c r="P61" s="2510"/>
      <c r="Q61" s="2506"/>
      <c r="R61" s="2437"/>
      <c r="S61" s="2437"/>
      <c r="T61" s="2437"/>
      <c r="U61" s="2437"/>
      <c r="V61" s="2437"/>
      <c r="W61" s="2437"/>
      <c r="X61" s="2437"/>
      <c r="Y61" s="2437"/>
      <c r="Z61" s="2437"/>
      <c r="AA61" s="2437"/>
      <c r="AB61" s="2437"/>
      <c r="AC61" s="2437"/>
    </row>
    <row r="62" spans="1:29" s="102" customFormat="1" ht="14.4" thickBot="1">
      <c r="A62" s="453"/>
      <c r="B62" s="442"/>
      <c r="C62" s="443">
        <v>100</v>
      </c>
      <c r="D62" s="444"/>
      <c r="E62" s="444"/>
      <c r="F62" s="444"/>
      <c r="G62" s="444"/>
      <c r="H62" s="444"/>
      <c r="I62" s="444"/>
      <c r="J62" s="444"/>
      <c r="K62" s="444"/>
      <c r="L62" s="444"/>
      <c r="M62" s="446"/>
      <c r="N62" s="2518"/>
      <c r="O62" s="2518"/>
      <c r="P62" s="2509"/>
      <c r="Q62" s="2506"/>
      <c r="R62" s="2437"/>
      <c r="S62" s="2437"/>
      <c r="T62" s="2437"/>
      <c r="U62" s="2437"/>
      <c r="V62" s="2437"/>
      <c r="W62" s="2437"/>
      <c r="X62" s="2437"/>
      <c r="Y62" s="2437"/>
      <c r="Z62" s="2437"/>
      <c r="AA62" s="2437"/>
      <c r="AB62" s="2437"/>
      <c r="AC62" s="2437"/>
    </row>
    <row r="63" spans="1:29" ht="14.4">
      <c r="A63" s="377" t="s">
        <v>1719</v>
      </c>
      <c r="B63" s="458" t="s">
        <v>1685</v>
      </c>
      <c r="C63" s="459">
        <f>C9</f>
        <v>0</v>
      </c>
      <c r="D63" s="460"/>
      <c r="E63" s="460"/>
      <c r="F63" s="460"/>
      <c r="G63" s="460"/>
      <c r="H63" s="460"/>
      <c r="I63" s="460"/>
      <c r="J63" s="460"/>
      <c r="K63" s="461"/>
      <c r="L63" s="462"/>
      <c r="M63" s="463"/>
      <c r="N63" s="2519"/>
      <c r="O63" s="2519"/>
      <c r="P63" s="2511"/>
      <c r="Q63" s="2506"/>
      <c r="R63" s="2485"/>
      <c r="S63" s="2485"/>
      <c r="T63" s="2485"/>
      <c r="U63" s="2485"/>
      <c r="V63" s="2485"/>
      <c r="W63" s="2485"/>
      <c r="X63" s="2485"/>
      <c r="Y63" s="2485"/>
      <c r="Z63" s="2485"/>
      <c r="AA63" s="2485"/>
      <c r="AB63" s="2485"/>
      <c r="AC63" s="2485"/>
    </row>
    <row r="64" spans="1:29" ht="14.4" thickBot="1">
      <c r="A64" s="365"/>
      <c r="B64" s="464"/>
      <c r="C64" s="465">
        <v>100</v>
      </c>
      <c r="D64" s="465"/>
      <c r="E64" s="465"/>
      <c r="F64" s="465"/>
      <c r="G64" s="465"/>
      <c r="H64" s="465"/>
      <c r="I64" s="465"/>
      <c r="J64" s="465"/>
      <c r="K64" s="465"/>
      <c r="L64" s="465"/>
      <c r="M64" s="466"/>
      <c r="N64" s="2520"/>
      <c r="O64" s="2520"/>
      <c r="P64" s="2511"/>
      <c r="Q64" s="2506"/>
      <c r="R64" s="2485"/>
      <c r="S64" s="2485"/>
      <c r="T64" s="2485"/>
      <c r="U64" s="2485"/>
      <c r="V64" s="2485"/>
      <c r="W64" s="2485"/>
      <c r="X64" s="2485"/>
      <c r="Y64" s="2485"/>
      <c r="Z64" s="2485"/>
      <c r="AA64" s="2485"/>
      <c r="AB64" s="2485"/>
      <c r="AC64" s="2485"/>
    </row>
    <row r="65" spans="1:29" ht="29.4" thickTop="1">
      <c r="A65" s="365"/>
      <c r="B65" s="467" t="s">
        <v>1688</v>
      </c>
      <c r="C65" s="511"/>
      <c r="D65" s="511"/>
      <c r="E65" s="511"/>
      <c r="F65" s="511"/>
      <c r="G65" s="511"/>
      <c r="H65" s="511"/>
      <c r="I65" s="511"/>
      <c r="J65" s="511"/>
      <c r="K65" s="512"/>
      <c r="L65" s="513"/>
      <c r="M65" s="514"/>
      <c r="N65" s="2519"/>
      <c r="O65" s="2519"/>
      <c r="P65" s="2511"/>
      <c r="Q65" s="2506"/>
      <c r="R65" s="2485"/>
      <c r="S65" s="2485"/>
      <c r="T65" s="2485"/>
      <c r="U65" s="2485"/>
      <c r="V65" s="2485"/>
      <c r="W65" s="2485"/>
      <c r="X65" s="2485"/>
      <c r="Y65" s="2485"/>
      <c r="Z65" s="2485"/>
      <c r="AA65" s="2485"/>
      <c r="AB65" s="2485"/>
      <c r="AC65" s="2485"/>
    </row>
    <row r="66" spans="1:29" ht="14.4" thickBot="1">
      <c r="A66" s="365"/>
      <c r="B66" s="472"/>
      <c r="C66" s="465"/>
      <c r="D66" s="465"/>
      <c r="E66" s="465"/>
      <c r="F66" s="465"/>
      <c r="G66" s="465"/>
      <c r="H66" s="465"/>
      <c r="I66" s="465"/>
      <c r="J66" s="465"/>
      <c r="K66" s="465"/>
      <c r="L66" s="465"/>
      <c r="M66" s="466"/>
      <c r="N66" s="2520"/>
      <c r="O66" s="2520"/>
      <c r="P66" s="2511"/>
      <c r="Q66" s="2506"/>
      <c r="R66" s="2485"/>
      <c r="S66" s="2485"/>
      <c r="T66" s="2485"/>
      <c r="U66" s="2485"/>
      <c r="V66" s="2485"/>
      <c r="W66" s="2485"/>
      <c r="X66" s="2485"/>
      <c r="Y66" s="2485"/>
      <c r="Z66" s="2485"/>
      <c r="AA66" s="2485"/>
      <c r="AB66" s="2485"/>
      <c r="AC66" s="2485"/>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20"/>
      <c r="O67" s="2520"/>
      <c r="P67" s="2511"/>
      <c r="Q67" s="2506"/>
      <c r="R67" s="2485"/>
      <c r="S67" s="2485"/>
      <c r="T67" s="2485"/>
      <c r="U67" s="2485"/>
      <c r="V67" s="2485"/>
      <c r="W67" s="2485"/>
      <c r="X67" s="2485"/>
      <c r="Y67" s="2485"/>
      <c r="Z67" s="2485"/>
      <c r="AA67" s="2485"/>
      <c r="AB67" s="2485"/>
      <c r="AC67" s="2485"/>
    </row>
    <row r="68" spans="1:29">
      <c r="A68" s="365"/>
      <c r="B68" s="477"/>
      <c r="C68" s="478"/>
      <c r="D68" s="478"/>
      <c r="E68" s="478"/>
      <c r="F68" s="478"/>
      <c r="G68" s="478"/>
      <c r="H68" s="478"/>
      <c r="I68" s="478"/>
      <c r="J68" s="478"/>
      <c r="K68" s="479"/>
      <c r="L68" s="480"/>
      <c r="M68" s="481"/>
      <c r="N68" s="2519"/>
      <c r="O68" s="2519"/>
      <c r="P68" s="2511"/>
      <c r="Q68" s="2506"/>
      <c r="R68" s="2485"/>
      <c r="S68" s="2485"/>
      <c r="T68" s="2485"/>
      <c r="U68" s="2485"/>
      <c r="V68" s="2485"/>
      <c r="W68" s="2485"/>
      <c r="X68" s="2485"/>
      <c r="Y68" s="2485"/>
      <c r="Z68" s="2485"/>
      <c r="AA68" s="2485"/>
      <c r="AB68" s="2485"/>
      <c r="AC68" s="2485"/>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20"/>
      <c r="O69" s="2520"/>
      <c r="P69" s="2511"/>
      <c r="Q69" s="2506"/>
      <c r="R69" s="2485"/>
      <c r="S69" s="2485"/>
      <c r="T69" s="2485"/>
      <c r="U69" s="2485"/>
      <c r="V69" s="2485"/>
      <c r="W69" s="2485"/>
      <c r="X69" s="2485"/>
      <c r="Y69" s="2485"/>
      <c r="Z69" s="2485"/>
      <c r="AA69" s="2485"/>
      <c r="AB69" s="2485"/>
      <c r="AC69" s="2485"/>
    </row>
    <row r="70" spans="1:29" s="406" customFormat="1" ht="14.4" thickTop="1">
      <c r="A70" s="482"/>
      <c r="B70" s="467">
        <f>B12</f>
        <v>111</v>
      </c>
      <c r="C70" s="483"/>
      <c r="D70" s="483"/>
      <c r="E70" s="483"/>
      <c r="F70" s="483"/>
      <c r="G70" s="483"/>
      <c r="H70" s="484"/>
      <c r="I70" s="484"/>
      <c r="J70" s="484"/>
      <c r="K70" s="484"/>
      <c r="L70" s="485"/>
      <c r="M70" s="486"/>
      <c r="N70" s="2521"/>
      <c r="O70" s="2521"/>
      <c r="P70" s="2512"/>
      <c r="Q70" s="2513"/>
      <c r="R70" s="2491"/>
      <c r="S70" s="2491"/>
      <c r="T70" s="2491"/>
      <c r="U70" s="2491"/>
      <c r="V70" s="2491"/>
      <c r="W70" s="2491"/>
      <c r="X70" s="2491"/>
      <c r="Y70" s="2491"/>
      <c r="Z70" s="2491"/>
      <c r="AA70" s="2491"/>
      <c r="AB70" s="2491"/>
      <c r="AC70" s="2491"/>
    </row>
    <row r="71" spans="1:29" s="406" customFormat="1" ht="14.4" thickBot="1">
      <c r="A71" s="482"/>
      <c r="B71" s="472"/>
      <c r="C71" s="489"/>
      <c r="D71" s="465"/>
      <c r="E71" s="465"/>
      <c r="F71" s="465"/>
      <c r="G71" s="465"/>
      <c r="H71" s="465"/>
      <c r="I71" s="465"/>
      <c r="J71" s="465"/>
      <c r="K71" s="465"/>
      <c r="L71" s="465"/>
      <c r="M71" s="466"/>
      <c r="N71" s="2520"/>
      <c r="O71" s="2520"/>
      <c r="P71" s="2512"/>
      <c r="Q71" s="2513"/>
      <c r="R71" s="2491"/>
      <c r="S71" s="2491"/>
      <c r="T71" s="2491"/>
      <c r="U71" s="2491"/>
      <c r="V71" s="2491"/>
      <c r="W71" s="2491"/>
      <c r="X71" s="2491"/>
      <c r="Y71" s="2491"/>
      <c r="Z71" s="2491"/>
      <c r="AA71" s="2491"/>
      <c r="AB71" s="2491"/>
      <c r="AC71" s="2491"/>
    </row>
    <row r="72" spans="1:29" s="406" customFormat="1" ht="14.4" thickTop="1">
      <c r="A72" s="482"/>
      <c r="B72" s="467">
        <f>B13</f>
        <v>111</v>
      </c>
      <c r="C72" s="483"/>
      <c r="D72" s="483"/>
      <c r="E72" s="483"/>
      <c r="F72" s="483"/>
      <c r="G72" s="483"/>
      <c r="H72" s="484"/>
      <c r="I72" s="484"/>
      <c r="J72" s="484"/>
      <c r="K72" s="484"/>
      <c r="L72" s="485"/>
      <c r="M72" s="486"/>
      <c r="N72" s="2521"/>
      <c r="O72" s="2521"/>
      <c r="P72" s="2514"/>
      <c r="Q72" s="2515"/>
      <c r="R72" s="2491"/>
      <c r="S72" s="2491"/>
      <c r="T72" s="2491"/>
      <c r="U72" s="2491"/>
      <c r="V72" s="2491"/>
      <c r="W72" s="2491"/>
      <c r="X72" s="2491"/>
      <c r="Y72" s="2491"/>
      <c r="Z72" s="2491"/>
      <c r="AA72" s="2491"/>
      <c r="AB72" s="2491"/>
      <c r="AC72" s="2491"/>
    </row>
    <row r="73" spans="1:29" s="406" customFormat="1" ht="14.4" thickBot="1">
      <c r="A73" s="482"/>
      <c r="B73" s="472"/>
      <c r="C73" s="489"/>
      <c r="D73" s="465"/>
      <c r="E73" s="465"/>
      <c r="F73" s="465"/>
      <c r="G73" s="489"/>
      <c r="H73" s="491"/>
      <c r="I73" s="491"/>
      <c r="J73" s="491"/>
      <c r="K73" s="491"/>
      <c r="L73" s="491"/>
      <c r="M73" s="492"/>
      <c r="N73" s="2521"/>
      <c r="O73" s="2521"/>
      <c r="P73" s="2512"/>
      <c r="Q73" s="2513"/>
      <c r="R73" s="2491"/>
      <c r="S73" s="2491"/>
      <c r="T73" s="2491"/>
      <c r="U73" s="2491"/>
      <c r="V73" s="2491"/>
      <c r="W73" s="2491"/>
      <c r="X73" s="2491"/>
      <c r="Y73" s="2491"/>
      <c r="Z73" s="2491"/>
      <c r="AA73" s="2491"/>
      <c r="AB73" s="2491"/>
      <c r="AC73" s="2491"/>
    </row>
    <row r="74" spans="1:29" s="406" customFormat="1" ht="14.4" thickTop="1">
      <c r="A74" s="482"/>
      <c r="B74" s="475">
        <f>B14</f>
        <v>111</v>
      </c>
      <c r="C74" s="483"/>
      <c r="D74" s="483"/>
      <c r="E74" s="483"/>
      <c r="F74" s="483"/>
      <c r="G74" s="31"/>
      <c r="H74" s="493"/>
      <c r="I74" s="493"/>
      <c r="J74" s="493"/>
      <c r="K74" s="493"/>
      <c r="L74" s="494"/>
      <c r="M74" s="495"/>
      <c r="N74" s="2521"/>
      <c r="O74" s="2521"/>
      <c r="P74" s="2516"/>
      <c r="Q74" s="2513"/>
      <c r="R74" s="2491"/>
      <c r="S74" s="2491"/>
      <c r="T74" s="2491"/>
      <c r="U74" s="2491"/>
      <c r="V74" s="2491"/>
      <c r="W74" s="2491"/>
      <c r="X74" s="2491"/>
      <c r="Y74" s="2491"/>
      <c r="Z74" s="2491"/>
      <c r="AA74" s="2491"/>
      <c r="AB74" s="2491"/>
      <c r="AC74" s="2491"/>
    </row>
    <row r="75" spans="1:29" s="406" customFormat="1" ht="14.4" thickBot="1">
      <c r="A75" s="497"/>
      <c r="B75" s="498"/>
      <c r="C75" s="499"/>
      <c r="D75" s="499"/>
      <c r="E75" s="499"/>
      <c r="F75" s="499"/>
      <c r="G75" s="499"/>
      <c r="H75" s="500"/>
      <c r="I75" s="500"/>
      <c r="J75" s="500"/>
      <c r="K75" s="500"/>
      <c r="L75" s="500"/>
      <c r="M75" s="501"/>
      <c r="N75" s="2521"/>
      <c r="O75" s="2521"/>
      <c r="P75" s="2512"/>
      <c r="Q75" s="2513"/>
      <c r="R75" s="2491"/>
      <c r="S75" s="2491"/>
      <c r="T75" s="2491"/>
      <c r="U75" s="2491"/>
      <c r="V75" s="2491"/>
      <c r="W75" s="2491"/>
      <c r="X75" s="2491"/>
      <c r="Y75" s="2491"/>
      <c r="Z75" s="2491"/>
      <c r="AA75" s="2491"/>
      <c r="AB75" s="2491"/>
      <c r="AC75" s="2491"/>
    </row>
    <row r="76" spans="1:29" ht="14.4">
      <c r="A76" s="377" t="s">
        <v>1690</v>
      </c>
      <c r="B76" s="458" t="s">
        <v>1720</v>
      </c>
      <c r="C76" s="502" t="s">
        <v>1721</v>
      </c>
      <c r="D76" s="502" t="s">
        <v>1722</v>
      </c>
      <c r="E76" s="502" t="s">
        <v>1723</v>
      </c>
      <c r="F76" s="502" t="s">
        <v>1724</v>
      </c>
      <c r="G76" s="502" t="s">
        <v>1725</v>
      </c>
      <c r="H76" s="459"/>
      <c r="I76" s="459"/>
      <c r="J76" s="459"/>
      <c r="K76" s="503"/>
      <c r="L76" s="504"/>
      <c r="M76" s="505"/>
      <c r="N76" s="2519"/>
      <c r="O76" s="2519"/>
      <c r="P76" s="2517"/>
      <c r="Q76" s="2506"/>
      <c r="R76" s="2485"/>
      <c r="S76" s="2485"/>
      <c r="T76" s="2485"/>
      <c r="U76" s="2485"/>
      <c r="V76" s="2485"/>
      <c r="W76" s="2485"/>
      <c r="X76" s="2485"/>
      <c r="Y76" s="2485"/>
      <c r="Z76" s="2485"/>
      <c r="AA76" s="2485"/>
      <c r="AB76" s="2485"/>
      <c r="AC76" s="2485"/>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20"/>
      <c r="O77" s="2520"/>
      <c r="P77" s="2511"/>
      <c r="Q77" s="2506"/>
      <c r="R77" s="2485"/>
      <c r="S77" s="2485"/>
      <c r="T77" s="2485"/>
      <c r="U77" s="2485"/>
      <c r="V77" s="2485"/>
      <c r="W77" s="2485"/>
      <c r="X77" s="2485"/>
      <c r="Y77" s="2485"/>
      <c r="Z77" s="2485"/>
      <c r="AA77" s="2485"/>
      <c r="AB77" s="2485"/>
      <c r="AC77" s="2485"/>
    </row>
    <row r="78" spans="1:29" ht="15" thickTop="1">
      <c r="A78" s="365"/>
      <c r="B78" s="467" t="s">
        <v>1726</v>
      </c>
      <c r="C78" s="507" t="s">
        <v>1721</v>
      </c>
      <c r="D78" s="507" t="s">
        <v>1722</v>
      </c>
      <c r="E78" s="507" t="s">
        <v>1723</v>
      </c>
      <c r="F78" s="507" t="s">
        <v>1724</v>
      </c>
      <c r="G78" s="507" t="s">
        <v>1725</v>
      </c>
      <c r="H78" s="468"/>
      <c r="I78" s="468"/>
      <c r="J78" s="468"/>
      <c r="K78" s="469"/>
      <c r="L78" s="470"/>
      <c r="M78" s="471"/>
      <c r="N78" s="2519"/>
      <c r="O78" s="2519"/>
      <c r="P78" s="2511"/>
      <c r="Q78" s="2506"/>
      <c r="R78" s="2485"/>
      <c r="S78" s="2485"/>
      <c r="T78" s="2485"/>
      <c r="U78" s="2485"/>
      <c r="V78" s="2485"/>
      <c r="W78" s="2485"/>
      <c r="X78" s="2485"/>
      <c r="Y78" s="2485"/>
      <c r="Z78" s="2485"/>
      <c r="AA78" s="2485"/>
      <c r="AB78" s="2485"/>
      <c r="AC78" s="2485"/>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20"/>
      <c r="O79" s="2520"/>
      <c r="P79" s="2511"/>
      <c r="Q79" s="2506"/>
      <c r="R79" s="2485"/>
      <c r="S79" s="2485"/>
      <c r="T79" s="2485"/>
      <c r="U79" s="2485"/>
      <c r="V79" s="2485"/>
      <c r="W79" s="2485"/>
      <c r="X79" s="2485"/>
      <c r="Y79" s="2485"/>
      <c r="Z79" s="2485"/>
      <c r="AA79" s="2485"/>
      <c r="AB79" s="2485"/>
      <c r="AC79" s="2485"/>
    </row>
    <row r="80" spans="1:29" ht="15" thickTop="1">
      <c r="A80" s="365"/>
      <c r="B80" s="467" t="s">
        <v>1727</v>
      </c>
      <c r="C80" s="507" t="s">
        <v>1721</v>
      </c>
      <c r="D80" s="507" t="s">
        <v>1722</v>
      </c>
      <c r="E80" s="507" t="s">
        <v>1723</v>
      </c>
      <c r="F80" s="507" t="s">
        <v>1724</v>
      </c>
      <c r="G80" s="507" t="s">
        <v>1725</v>
      </c>
      <c r="H80" s="468"/>
      <c r="I80" s="468"/>
      <c r="J80" s="468"/>
      <c r="K80" s="469"/>
      <c r="L80" s="470"/>
      <c r="M80" s="471"/>
      <c r="N80" s="2519"/>
      <c r="O80" s="2519"/>
      <c r="P80" s="2511"/>
      <c r="Q80" s="2506"/>
      <c r="R80" s="2485"/>
      <c r="S80" s="2485"/>
      <c r="T80" s="2485"/>
      <c r="U80" s="2485"/>
      <c r="V80" s="2485"/>
      <c r="W80" s="2485"/>
      <c r="X80" s="2485"/>
      <c r="Y80" s="2485"/>
      <c r="Z80" s="2485"/>
      <c r="AA80" s="2485"/>
      <c r="AB80" s="2485"/>
      <c r="AC80" s="2485"/>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20"/>
      <c r="O81" s="2520"/>
      <c r="P81" s="2511"/>
      <c r="Q81" s="2506"/>
      <c r="R81" s="2485"/>
      <c r="S81" s="2485"/>
      <c r="T81" s="2485"/>
      <c r="U81" s="2485"/>
      <c r="V81" s="2485"/>
      <c r="W81" s="2485"/>
      <c r="X81" s="2485"/>
      <c r="Y81" s="2485"/>
      <c r="Z81" s="2485"/>
      <c r="AA81" s="2485"/>
      <c r="AB81" s="2485"/>
      <c r="AC81" s="2485"/>
    </row>
    <row r="82" spans="1:29" ht="15" thickTop="1">
      <c r="A82" s="365"/>
      <c r="B82" s="475" t="s">
        <v>1779</v>
      </c>
      <c r="C82" s="579" t="s">
        <v>1799</v>
      </c>
      <c r="D82" s="579" t="s">
        <v>1800</v>
      </c>
      <c r="E82" s="579" t="s">
        <v>1801</v>
      </c>
      <c r="F82" s="579" t="s">
        <v>1802</v>
      </c>
      <c r="G82" s="579" t="s">
        <v>1803</v>
      </c>
      <c r="H82" s="468"/>
      <c r="I82" s="468"/>
      <c r="J82" s="468"/>
      <c r="K82" s="468"/>
      <c r="L82" s="468"/>
      <c r="M82" s="1061"/>
      <c r="N82" s="2520"/>
      <c r="O82" s="2520"/>
      <c r="P82" s="2511"/>
      <c r="Q82" s="2506"/>
      <c r="R82" s="2485"/>
      <c r="S82" s="2485"/>
      <c r="T82" s="2485"/>
      <c r="U82" s="2485"/>
      <c r="V82" s="2485"/>
      <c r="W82" s="2485"/>
      <c r="X82" s="2485"/>
      <c r="Y82" s="2485"/>
      <c r="Z82" s="2485"/>
      <c r="AA82" s="2485"/>
      <c r="AB82" s="2485"/>
      <c r="AC82" s="2485"/>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20"/>
      <c r="O83" s="2520"/>
      <c r="P83" s="2511"/>
      <c r="Q83" s="2506"/>
      <c r="R83" s="2485"/>
      <c r="S83" s="2485"/>
      <c r="T83" s="2485"/>
      <c r="U83" s="2485"/>
      <c r="V83" s="2485"/>
      <c r="W83" s="2485"/>
      <c r="X83" s="2485"/>
      <c r="Y83" s="2485"/>
      <c r="Z83" s="2485"/>
      <c r="AA83" s="2485"/>
      <c r="AB83" s="2485"/>
      <c r="AC83" s="2485"/>
    </row>
    <row r="84" spans="1:29" ht="15" thickTop="1">
      <c r="A84" s="365"/>
      <c r="B84" s="467" t="s">
        <v>1733</v>
      </c>
      <c r="C84" s="507" t="s">
        <v>1721</v>
      </c>
      <c r="D84" s="507" t="s">
        <v>1722</v>
      </c>
      <c r="E84" s="507" t="s">
        <v>1723</v>
      </c>
      <c r="F84" s="507" t="s">
        <v>1724</v>
      </c>
      <c r="G84" s="507" t="s">
        <v>1725</v>
      </c>
      <c r="H84" s="468"/>
      <c r="I84" s="468"/>
      <c r="J84" s="468"/>
      <c r="K84" s="469"/>
      <c r="L84" s="470"/>
      <c r="M84" s="471"/>
      <c r="N84" s="2519"/>
      <c r="O84" s="2519"/>
      <c r="P84" s="2511"/>
      <c r="Q84" s="2506"/>
      <c r="R84" s="2485"/>
      <c r="S84" s="2485"/>
      <c r="T84" s="2485"/>
      <c r="U84" s="2485"/>
      <c r="V84" s="2485"/>
      <c r="W84" s="2485"/>
      <c r="X84" s="2485"/>
      <c r="Y84" s="2485"/>
      <c r="Z84" s="2485"/>
      <c r="AA84" s="2485"/>
      <c r="AB84" s="2485"/>
      <c r="AC84" s="2485"/>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20"/>
      <c r="O85" s="2520"/>
      <c r="P85" s="2511"/>
      <c r="Q85" s="2506"/>
      <c r="R85" s="2485"/>
      <c r="S85" s="2485"/>
      <c r="T85" s="2485"/>
      <c r="U85" s="2485"/>
      <c r="V85" s="2485"/>
      <c r="W85" s="2485"/>
      <c r="X85" s="2485"/>
      <c r="Y85" s="2485"/>
      <c r="Z85" s="2485"/>
      <c r="AA85" s="2485"/>
      <c r="AB85" s="2485"/>
      <c r="AC85" s="2485"/>
    </row>
    <row r="86" spans="1:29" s="102" customFormat="1" ht="15" thickTop="1">
      <c r="A86" s="368"/>
      <c r="B86" s="467" t="s">
        <v>1804</v>
      </c>
      <c r="C86" s="483"/>
      <c r="D86" s="483"/>
      <c r="E86" s="483"/>
      <c r="F86" s="483"/>
      <c r="G86" s="483"/>
      <c r="H86" s="483"/>
      <c r="I86" s="483"/>
      <c r="J86" s="483"/>
      <c r="K86" s="483"/>
      <c r="L86" s="508"/>
      <c r="M86" s="509"/>
      <c r="N86" s="2518"/>
      <c r="O86" s="2518"/>
      <c r="P86" s="2511"/>
      <c r="Q86" s="2506"/>
      <c r="R86" s="2437"/>
      <c r="S86" s="2437"/>
      <c r="T86" s="2437"/>
      <c r="U86" s="2437"/>
      <c r="V86" s="2437"/>
      <c r="W86" s="2437"/>
      <c r="X86" s="2437"/>
      <c r="Y86" s="2437"/>
      <c r="Z86" s="2437"/>
      <c r="AA86" s="2437"/>
      <c r="AB86" s="2437"/>
      <c r="AC86" s="2437"/>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20"/>
      <c r="O87" s="2520"/>
      <c r="P87" s="2511"/>
      <c r="Q87" s="2506"/>
      <c r="R87" s="2437"/>
      <c r="S87" s="2437"/>
      <c r="T87" s="2437"/>
      <c r="U87" s="2437"/>
      <c r="V87" s="2437"/>
      <c r="W87" s="2437"/>
      <c r="X87" s="2437"/>
      <c r="Y87" s="2437"/>
      <c r="Z87" s="2437"/>
      <c r="AA87" s="2437"/>
      <c r="AB87" s="2437"/>
      <c r="AC87" s="2437"/>
    </row>
    <row r="88" spans="1:29" s="102" customFormat="1" ht="14.4" thickTop="1">
      <c r="A88" s="368"/>
      <c r="B88" s="467" t="str">
        <f>B26</f>
        <v>平面位置/可视性</v>
      </c>
      <c r="C88" s="483"/>
      <c r="D88" s="483"/>
      <c r="E88" s="483"/>
      <c r="F88" s="1777"/>
      <c r="G88" s="483"/>
      <c r="H88" s="483"/>
      <c r="I88" s="483"/>
      <c r="J88" s="483"/>
      <c r="K88" s="483"/>
      <c r="L88" s="483"/>
      <c r="M88" s="509"/>
      <c r="N88" s="2518"/>
      <c r="O88" s="2518"/>
      <c r="P88" s="2511"/>
      <c r="Q88" s="2506"/>
      <c r="R88" s="2437"/>
      <c r="S88" s="2437"/>
      <c r="T88" s="2437"/>
      <c r="U88" s="2437"/>
      <c r="V88" s="2437"/>
      <c r="W88" s="2437"/>
      <c r="X88" s="2437"/>
      <c r="Y88" s="2437"/>
      <c r="Z88" s="2437"/>
      <c r="AA88" s="2437"/>
      <c r="AB88" s="2437"/>
      <c r="AC88" s="2437"/>
    </row>
    <row r="89" spans="1:29" s="102" customFormat="1" ht="14.4" thickBot="1">
      <c r="A89" s="368"/>
      <c r="B89" s="472"/>
      <c r="C89" s="489"/>
      <c r="D89" s="465"/>
      <c r="E89" s="465"/>
      <c r="F89" s="465"/>
      <c r="G89" s="465"/>
      <c r="H89" s="465"/>
      <c r="I89" s="465"/>
      <c r="J89" s="465"/>
      <c r="K89" s="465"/>
      <c r="L89" s="465"/>
      <c r="M89" s="465"/>
      <c r="N89" s="2520"/>
      <c r="O89" s="2520"/>
      <c r="P89" s="2511"/>
      <c r="Q89" s="2506"/>
      <c r="R89" s="2437"/>
      <c r="S89" s="2437"/>
      <c r="T89" s="2437"/>
      <c r="U89" s="2437"/>
      <c r="V89" s="2437"/>
      <c r="W89" s="2437"/>
      <c r="X89" s="2437"/>
      <c r="Y89" s="2437"/>
      <c r="Z89" s="2437"/>
      <c r="AA89" s="2437"/>
      <c r="AB89" s="2437"/>
      <c r="AC89" s="2437"/>
    </row>
    <row r="90" spans="1:29" s="406" customFormat="1" ht="14.4" thickTop="1">
      <c r="A90" s="482"/>
      <c r="B90" s="467" t="str">
        <f>B27</f>
        <v>人流量</v>
      </c>
      <c r="C90" s="483"/>
      <c r="D90" s="483"/>
      <c r="E90" s="483"/>
      <c r="F90" s="483"/>
      <c r="G90" s="483"/>
      <c r="H90" s="484"/>
      <c r="I90" s="484"/>
      <c r="J90" s="484"/>
      <c r="K90" s="484"/>
      <c r="L90" s="485"/>
      <c r="M90" s="486"/>
      <c r="N90" s="2521"/>
      <c r="O90" s="2521"/>
      <c r="P90" s="2512"/>
      <c r="Q90" s="2513"/>
      <c r="R90" s="2491"/>
      <c r="S90" s="2491"/>
      <c r="T90" s="2491"/>
      <c r="U90" s="2491"/>
      <c r="V90" s="2491"/>
      <c r="W90" s="2491"/>
      <c r="X90" s="2491"/>
      <c r="Y90" s="2491"/>
      <c r="Z90" s="2491"/>
      <c r="AA90" s="2491"/>
      <c r="AB90" s="2491"/>
      <c r="AC90" s="2491"/>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5"/>
      <c r="B92" s="467" t="str">
        <f>B28</f>
        <v>楼层</v>
      </c>
      <c r="C92" s="483"/>
      <c r="D92" s="483"/>
      <c r="E92" s="483"/>
      <c r="F92" s="483"/>
      <c r="G92" s="483"/>
      <c r="H92" s="483"/>
      <c r="I92" s="483"/>
      <c r="J92" s="483"/>
      <c r="K92" s="483"/>
      <c r="L92" s="508"/>
      <c r="M92" s="509"/>
      <c r="N92" s="2519"/>
      <c r="O92" s="2519"/>
      <c r="P92" s="2511"/>
      <c r="Q92" s="2506"/>
      <c r="R92" s="2485"/>
      <c r="S92" s="2485"/>
      <c r="T92" s="2485"/>
      <c r="U92" s="2485"/>
      <c r="V92" s="2485"/>
      <c r="W92" s="2485"/>
      <c r="X92" s="2485"/>
      <c r="Y92" s="2485"/>
      <c r="Z92" s="2485"/>
      <c r="AA92" s="2485"/>
      <c r="AB92" s="2485"/>
      <c r="AC92" s="2485"/>
    </row>
    <row r="93" spans="1:29" ht="14.4" thickBot="1">
      <c r="A93" s="365"/>
      <c r="B93" s="472"/>
      <c r="C93" s="465"/>
      <c r="D93" s="465"/>
      <c r="E93" s="465"/>
      <c r="F93" s="465"/>
      <c r="G93" s="465"/>
      <c r="H93" s="465"/>
      <c r="I93" s="465"/>
      <c r="J93" s="465"/>
      <c r="K93" s="465"/>
      <c r="L93" s="465"/>
      <c r="M93" s="466"/>
      <c r="N93" s="2520"/>
      <c r="O93" s="2520"/>
      <c r="P93" s="2511"/>
      <c r="Q93" s="2506"/>
      <c r="R93" s="2485"/>
      <c r="S93" s="2485"/>
      <c r="T93" s="2485"/>
      <c r="U93" s="2485"/>
      <c r="V93" s="2485"/>
      <c r="W93" s="2485"/>
      <c r="X93" s="2485"/>
      <c r="Y93" s="2485"/>
      <c r="Z93" s="2485"/>
      <c r="AA93" s="2485"/>
      <c r="AB93" s="2485"/>
      <c r="AC93" s="2485"/>
    </row>
    <row r="94" spans="1:29" ht="14.4" thickTop="1">
      <c r="A94" s="365"/>
      <c r="B94" s="467">
        <f>B29</f>
        <v>111</v>
      </c>
      <c r="C94" s="483"/>
      <c r="D94" s="483"/>
      <c r="E94" s="483"/>
      <c r="F94" s="483"/>
      <c r="G94" s="511"/>
      <c r="H94" s="511"/>
      <c r="I94" s="511"/>
      <c r="J94" s="511"/>
      <c r="K94" s="512"/>
      <c r="L94" s="513"/>
      <c r="M94" s="514"/>
      <c r="N94" s="2519"/>
      <c r="O94" s="2519"/>
      <c r="P94" s="2511"/>
      <c r="Q94" s="2506"/>
      <c r="R94" s="2485"/>
      <c r="S94" s="2485"/>
      <c r="T94" s="2485"/>
      <c r="U94" s="2485"/>
      <c r="V94" s="2485"/>
      <c r="W94" s="2485"/>
      <c r="X94" s="2485"/>
      <c r="Y94" s="2485"/>
      <c r="Z94" s="2485"/>
      <c r="AA94" s="2485"/>
      <c r="AB94" s="2485"/>
      <c r="AC94" s="2485"/>
    </row>
    <row r="95" spans="1:29" ht="14.4" thickBot="1">
      <c r="A95" s="365"/>
      <c r="B95" s="472"/>
      <c r="C95" s="489"/>
      <c r="D95" s="465"/>
      <c r="E95" s="465"/>
      <c r="F95" s="465"/>
      <c r="G95" s="465"/>
      <c r="H95" s="465"/>
      <c r="I95" s="465"/>
      <c r="J95" s="465"/>
      <c r="K95" s="465"/>
      <c r="L95" s="465"/>
      <c r="M95" s="466"/>
      <c r="N95" s="2520"/>
      <c r="O95" s="2520"/>
      <c r="P95" s="2511"/>
      <c r="Q95" s="2506"/>
      <c r="R95" s="2485"/>
      <c r="S95" s="2485"/>
      <c r="T95" s="2485"/>
      <c r="U95" s="2485"/>
      <c r="V95" s="2485"/>
      <c r="W95" s="2485"/>
      <c r="X95" s="2485"/>
      <c r="Y95" s="2485"/>
      <c r="Z95" s="2485"/>
      <c r="AA95" s="2485"/>
      <c r="AB95" s="2485"/>
      <c r="AC95" s="2485"/>
    </row>
    <row r="96" spans="1:29" ht="14.4" thickTop="1">
      <c r="A96" s="365"/>
      <c r="B96" s="467">
        <f>B30</f>
        <v>111</v>
      </c>
      <c r="C96" s="483"/>
      <c r="D96" s="483"/>
      <c r="E96" s="483"/>
      <c r="F96" s="483"/>
      <c r="G96" s="511"/>
      <c r="H96" s="511"/>
      <c r="I96" s="511"/>
      <c r="J96" s="511"/>
      <c r="K96" s="512"/>
      <c r="L96" s="513"/>
      <c r="M96" s="514"/>
      <c r="N96" s="2519"/>
      <c r="O96" s="2519"/>
      <c r="P96" s="2511"/>
      <c r="Q96" s="2506"/>
      <c r="R96" s="2485"/>
      <c r="S96" s="2485"/>
      <c r="T96" s="2485"/>
      <c r="U96" s="2485"/>
      <c r="V96" s="2485"/>
      <c r="W96" s="2485"/>
      <c r="X96" s="2485"/>
      <c r="Y96" s="2485"/>
      <c r="Z96" s="2485"/>
      <c r="AA96" s="2485"/>
      <c r="AB96" s="2485"/>
      <c r="AC96" s="2485"/>
    </row>
    <row r="97" spans="1:29" ht="14.4" thickBot="1">
      <c r="A97" s="365"/>
      <c r="B97" s="472"/>
      <c r="C97" s="489"/>
      <c r="D97" s="465"/>
      <c r="E97" s="465"/>
      <c r="F97" s="465"/>
      <c r="G97" s="465"/>
      <c r="H97" s="465"/>
      <c r="I97" s="465"/>
      <c r="J97" s="465"/>
      <c r="K97" s="465"/>
      <c r="L97" s="465"/>
      <c r="M97" s="466"/>
      <c r="N97" s="2520"/>
      <c r="O97" s="2520"/>
      <c r="P97" s="2511"/>
      <c r="Q97" s="2506"/>
      <c r="R97" s="2485"/>
      <c r="S97" s="2485"/>
      <c r="T97" s="2485"/>
      <c r="U97" s="2485"/>
      <c r="V97" s="2485"/>
      <c r="W97" s="2485"/>
      <c r="X97" s="2485"/>
      <c r="Y97" s="2485"/>
      <c r="Z97" s="2485"/>
      <c r="AA97" s="2485"/>
      <c r="AB97" s="2485"/>
      <c r="AC97" s="2485"/>
    </row>
    <row r="98" spans="1:29" ht="14.4" thickTop="1">
      <c r="A98" s="365"/>
      <c r="B98" s="475">
        <f>B31</f>
        <v>111</v>
      </c>
      <c r="C98" s="483"/>
      <c r="D98" s="483"/>
      <c r="E98" s="483"/>
      <c r="F98" s="483"/>
      <c r="G98" s="515"/>
      <c r="H98" s="515"/>
      <c r="I98" s="515"/>
      <c r="J98" s="515"/>
      <c r="K98" s="516"/>
      <c r="L98" s="517"/>
      <c r="M98" s="518"/>
      <c r="N98" s="2519"/>
      <c r="O98" s="2519"/>
      <c r="P98" s="2511"/>
      <c r="Q98" s="2506"/>
      <c r="R98" s="2485"/>
      <c r="S98" s="2485"/>
      <c r="T98" s="2485"/>
      <c r="U98" s="2485"/>
      <c r="V98" s="2485"/>
      <c r="W98" s="2485"/>
      <c r="X98" s="2485"/>
      <c r="Y98" s="2485"/>
      <c r="Z98" s="2485"/>
      <c r="AA98" s="2485"/>
      <c r="AB98" s="2485"/>
      <c r="AC98" s="2485"/>
    </row>
    <row r="99" spans="1:29" ht="14.4" thickBot="1">
      <c r="A99" s="373"/>
      <c r="B99" s="498"/>
      <c r="C99" s="499"/>
      <c r="D99" s="499"/>
      <c r="E99" s="499"/>
      <c r="F99" s="499"/>
      <c r="G99" s="519"/>
      <c r="H99" s="519"/>
      <c r="I99" s="519"/>
      <c r="J99" s="519"/>
      <c r="K99" s="519"/>
      <c r="L99" s="519"/>
      <c r="M99" s="520"/>
      <c r="N99" s="2520"/>
      <c r="O99" s="2520"/>
      <c r="P99" s="2511"/>
      <c r="Q99" s="2506"/>
      <c r="R99" s="2485"/>
      <c r="S99" s="2485"/>
      <c r="T99" s="2485"/>
      <c r="U99" s="2485"/>
      <c r="V99" s="2485"/>
      <c r="W99" s="2485"/>
      <c r="X99" s="2485"/>
      <c r="Y99" s="2485"/>
      <c r="Z99" s="2485"/>
      <c r="AA99" s="2485"/>
      <c r="AB99" s="2485"/>
      <c r="AC99" s="2485"/>
    </row>
    <row r="100" spans="1:29" ht="14.4">
      <c r="A100" s="377" t="s">
        <v>1694</v>
      </c>
      <c r="B100" s="458" t="s">
        <v>1805</v>
      </c>
      <c r="C100" s="460"/>
      <c r="D100" s="460"/>
      <c r="E100" s="460"/>
      <c r="F100" s="460"/>
      <c r="G100" s="460"/>
      <c r="H100" s="460"/>
      <c r="I100" s="460"/>
      <c r="J100" s="460"/>
      <c r="K100" s="461"/>
      <c r="L100" s="462"/>
      <c r="M100" s="463"/>
      <c r="N100" s="2519"/>
      <c r="O100" s="2519"/>
      <c r="P100" s="2511"/>
      <c r="Q100" s="2506"/>
      <c r="R100" s="2485"/>
      <c r="S100" s="2485"/>
      <c r="T100" s="2485"/>
      <c r="U100" s="2485"/>
      <c r="V100" s="2485"/>
      <c r="W100" s="2485"/>
      <c r="X100" s="2485"/>
      <c r="Y100" s="2485"/>
      <c r="Z100" s="2485"/>
      <c r="AA100" s="2485"/>
      <c r="AB100" s="2485"/>
      <c r="AC100" s="2485"/>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6" customFormat="1">
      <c r="A103" s="404"/>
      <c r="B103" s="521"/>
      <c r="C103" s="6"/>
      <c r="D103" s="6"/>
      <c r="E103" s="6"/>
      <c r="F103" s="6"/>
      <c r="G103" s="6"/>
      <c r="H103" s="6"/>
      <c r="I103" s="6"/>
      <c r="J103" s="522"/>
      <c r="K103" s="522"/>
      <c r="L103" s="523"/>
      <c r="M103" s="524"/>
      <c r="N103" s="2521"/>
      <c r="O103" s="2521"/>
      <c r="P103" s="2512"/>
      <c r="Q103" s="2513"/>
      <c r="R103" s="2491"/>
      <c r="S103" s="2491"/>
      <c r="T103" s="2491"/>
      <c r="U103" s="2491"/>
      <c r="V103" s="2491"/>
      <c r="W103" s="2491"/>
      <c r="X103" s="2491"/>
      <c r="Y103" s="2491"/>
      <c r="Z103" s="2491"/>
      <c r="AA103" s="2491"/>
      <c r="AB103" s="2491"/>
      <c r="AC103" s="2491"/>
    </row>
    <row r="104" spans="1:29" s="406" customFormat="1" ht="14.4" thickBot="1">
      <c r="A104" s="482"/>
      <c r="B104" s="472"/>
      <c r="C104" s="489"/>
      <c r="D104" s="465"/>
      <c r="E104" s="465"/>
      <c r="F104" s="465"/>
      <c r="G104" s="465"/>
      <c r="H104" s="465"/>
      <c r="I104" s="465"/>
      <c r="J104" s="465"/>
      <c r="K104" s="465"/>
      <c r="L104" s="465"/>
      <c r="M104" s="466"/>
      <c r="N104" s="2520"/>
      <c r="O104" s="2520"/>
      <c r="P104" s="2512"/>
      <c r="Q104" s="2513"/>
      <c r="R104" s="2491"/>
      <c r="S104" s="2491"/>
      <c r="T104" s="2491"/>
      <c r="U104" s="2491"/>
      <c r="V104" s="2491"/>
      <c r="W104" s="2491"/>
      <c r="X104" s="2491"/>
      <c r="Y104" s="2491"/>
      <c r="Z104" s="2491"/>
      <c r="AA104" s="2491"/>
      <c r="AB104" s="2491"/>
      <c r="AC104" s="2491"/>
    </row>
    <row r="105" spans="1:29" ht="15" thickTop="1">
      <c r="A105" s="407"/>
      <c r="B105" s="467" t="s">
        <v>1738</v>
      </c>
      <c r="C105" s="483"/>
      <c r="D105" s="483"/>
      <c r="E105" s="511"/>
      <c r="F105" s="511"/>
      <c r="G105" s="511"/>
      <c r="H105" s="511"/>
      <c r="I105" s="511"/>
      <c r="J105" s="511"/>
      <c r="K105" s="512"/>
      <c r="L105" s="513"/>
      <c r="M105" s="514"/>
      <c r="N105" s="2519"/>
      <c r="O105" s="2519"/>
      <c r="P105" s="2511"/>
      <c r="Q105" s="2506"/>
      <c r="R105" s="2485"/>
      <c r="S105" s="2485"/>
      <c r="T105" s="2485"/>
      <c r="U105" s="2485"/>
      <c r="V105" s="2485"/>
      <c r="W105" s="2485"/>
      <c r="X105" s="2485"/>
      <c r="Y105" s="2485"/>
      <c r="Z105" s="2485"/>
      <c r="AA105" s="2485"/>
      <c r="AB105" s="2485"/>
      <c r="AC105" s="2485"/>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7"/>
      <c r="B107" s="467" t="s">
        <v>1740</v>
      </c>
      <c r="C107" s="483"/>
      <c r="D107" s="483"/>
      <c r="E107" s="483"/>
      <c r="F107" s="511"/>
      <c r="G107" s="511"/>
      <c r="H107" s="511"/>
      <c r="I107" s="511"/>
      <c r="J107" s="511"/>
      <c r="K107" s="512"/>
      <c r="L107" s="513"/>
      <c r="M107" s="514"/>
      <c r="N107" s="2519"/>
      <c r="O107" s="2519"/>
      <c r="P107" s="2511"/>
      <c r="Q107" s="2506"/>
      <c r="R107" s="2485"/>
      <c r="S107" s="2485"/>
      <c r="T107" s="2485"/>
      <c r="U107" s="2485"/>
      <c r="V107" s="2485"/>
      <c r="W107" s="2485"/>
      <c r="X107" s="2485"/>
      <c r="Y107" s="2485"/>
      <c r="Z107" s="2485"/>
      <c r="AA107" s="2485"/>
      <c r="AB107" s="2485"/>
      <c r="AC107" s="2485"/>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9"/>
      <c r="O109" s="2519"/>
      <c r="P109" s="2511"/>
      <c r="Q109" s="2506"/>
      <c r="R109" s="2485"/>
      <c r="S109" s="2485"/>
      <c r="T109" s="2485"/>
      <c r="U109" s="2485"/>
      <c r="V109" s="2485"/>
      <c r="W109" s="2485"/>
      <c r="X109" s="2485"/>
      <c r="Y109" s="2485"/>
      <c r="Z109" s="2485"/>
      <c r="AA109" s="2485"/>
      <c r="AB109" s="2485"/>
      <c r="AC109" s="2485"/>
    </row>
    <row r="110" spans="1:29">
      <c r="A110" s="407"/>
      <c r="B110" s="475"/>
      <c r="C110" s="528">
        <v>0.5</v>
      </c>
      <c r="D110" s="528">
        <v>0.6</v>
      </c>
      <c r="E110" s="528">
        <v>0.7</v>
      </c>
      <c r="F110" s="528">
        <v>0.8</v>
      </c>
      <c r="G110" s="528">
        <v>0.9</v>
      </c>
      <c r="H110" s="528">
        <v>1.0001</v>
      </c>
      <c r="I110" s="546"/>
      <c r="J110" s="546"/>
      <c r="K110" s="547"/>
      <c r="L110" s="548"/>
      <c r="M110" s="549"/>
      <c r="N110" s="2519"/>
      <c r="O110" s="2519"/>
      <c r="P110" s="2511"/>
      <c r="Q110" s="2506"/>
      <c r="R110" s="2485"/>
      <c r="S110" s="2485"/>
      <c r="T110" s="2485"/>
      <c r="U110" s="2485"/>
      <c r="V110" s="2485"/>
      <c r="W110" s="2485"/>
      <c r="X110" s="2485"/>
      <c r="Y110" s="2485"/>
      <c r="Z110" s="2485"/>
      <c r="AA110" s="2485"/>
      <c r="AB110" s="2485"/>
      <c r="AC110" s="2485"/>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20"/>
      <c r="O111" s="2520"/>
      <c r="P111" s="2511"/>
      <c r="Q111" s="2506"/>
      <c r="R111" s="2485"/>
      <c r="S111" s="2485"/>
      <c r="T111" s="2485"/>
      <c r="U111" s="2485"/>
      <c r="V111" s="2485"/>
      <c r="W111" s="2485"/>
      <c r="X111" s="2485"/>
      <c r="Y111" s="2485"/>
      <c r="Z111" s="2485"/>
      <c r="AA111" s="2485"/>
      <c r="AB111" s="2485"/>
      <c r="AC111" s="2485"/>
    </row>
    <row r="112" spans="1:29" s="406" customFormat="1" ht="15" thickTop="1">
      <c r="A112" s="404"/>
      <c r="B112" s="467" t="s">
        <v>1742</v>
      </c>
      <c r="C112" s="483"/>
      <c r="D112" s="483"/>
      <c r="E112" s="483"/>
      <c r="F112" s="483"/>
      <c r="G112" s="483"/>
      <c r="H112" s="511"/>
      <c r="I112" s="511"/>
      <c r="J112" s="511"/>
      <c r="K112" s="512"/>
      <c r="L112" s="513"/>
      <c r="M112" s="514"/>
      <c r="N112" s="2521"/>
      <c r="O112" s="2521"/>
      <c r="P112" s="2512"/>
      <c r="Q112" s="2513"/>
      <c r="R112" s="2491"/>
      <c r="S112" s="2491"/>
      <c r="T112" s="2491"/>
      <c r="U112" s="2491"/>
      <c r="V112" s="2491"/>
      <c r="W112" s="2491"/>
      <c r="X112" s="2491"/>
      <c r="Y112" s="2491"/>
      <c r="Z112" s="2491"/>
      <c r="AA112" s="2491"/>
      <c r="AB112" s="2491"/>
      <c r="AC112" s="2491"/>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7"/>
      <c r="B114" s="467" t="s">
        <v>1806</v>
      </c>
      <c r="C114" s="483"/>
      <c r="D114" s="483"/>
      <c r="E114" s="511"/>
      <c r="F114" s="511"/>
      <c r="G114" s="511"/>
      <c r="H114" s="511"/>
      <c r="I114" s="511"/>
      <c r="J114" s="511"/>
      <c r="K114" s="512"/>
      <c r="L114" s="513"/>
      <c r="M114" s="514"/>
      <c r="N114" s="2519"/>
      <c r="O114" s="2519"/>
      <c r="P114" s="2511"/>
      <c r="Q114" s="2506"/>
      <c r="R114" s="2485"/>
      <c r="S114" s="2485"/>
      <c r="T114" s="2485"/>
      <c r="U114" s="2485"/>
      <c r="V114" s="2485"/>
      <c r="W114" s="2485"/>
      <c r="X114" s="2485"/>
      <c r="Y114" s="2485"/>
      <c r="Z114" s="2485"/>
      <c r="AA114" s="2485"/>
      <c r="AB114" s="2485"/>
      <c r="AC114" s="2485"/>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7"/>
      <c r="B116" s="467" t="s">
        <v>1807</v>
      </c>
      <c r="C116" s="483"/>
      <c r="D116" s="483"/>
      <c r="E116" s="483"/>
      <c r="F116" s="483"/>
      <c r="G116" s="483"/>
      <c r="H116" s="511"/>
      <c r="I116" s="511"/>
      <c r="J116" s="511"/>
      <c r="K116" s="512"/>
      <c r="L116" s="513"/>
      <c r="M116" s="514"/>
      <c r="N116" s="2519"/>
      <c r="O116" s="2519"/>
      <c r="P116" s="2511"/>
      <c r="Q116" s="2506"/>
      <c r="R116" s="2485"/>
      <c r="S116" s="2485"/>
      <c r="T116" s="2485"/>
      <c r="U116" s="2485"/>
      <c r="V116" s="2485"/>
      <c r="W116" s="2485"/>
      <c r="X116" s="2485"/>
      <c r="Y116" s="2485"/>
      <c r="Z116" s="2485"/>
      <c r="AA116" s="2485"/>
      <c r="AB116" s="2485"/>
      <c r="AC116" s="2485"/>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20"/>
      <c r="O117" s="2520"/>
      <c r="P117" s="2511"/>
      <c r="Q117" s="2506"/>
      <c r="R117" s="2485"/>
      <c r="S117" s="2485"/>
      <c r="T117" s="2485"/>
      <c r="U117" s="2485"/>
      <c r="V117" s="2485"/>
      <c r="W117" s="2485"/>
      <c r="X117" s="2485"/>
      <c r="Y117" s="2485"/>
      <c r="Z117" s="2485"/>
      <c r="AA117" s="2485"/>
      <c r="AB117" s="2485"/>
      <c r="AC117" s="2485"/>
    </row>
    <row r="118" spans="1:29" ht="15" thickTop="1">
      <c r="A118" s="407"/>
      <c r="B118" s="467" t="s">
        <v>1808</v>
      </c>
      <c r="C118" s="550"/>
      <c r="D118" s="550"/>
      <c r="E118" s="550"/>
      <c r="F118" s="550"/>
      <c r="G118" s="550"/>
      <c r="H118" s="484"/>
      <c r="I118" s="484"/>
      <c r="J118" s="484"/>
      <c r="K118" s="484"/>
      <c r="L118" s="485"/>
      <c r="M118" s="486"/>
      <c r="N118" s="2519"/>
      <c r="O118" s="2519"/>
      <c r="P118" s="2511"/>
      <c r="Q118" s="2506"/>
      <c r="R118" s="2485"/>
      <c r="S118" s="2485"/>
      <c r="T118" s="2485"/>
      <c r="U118" s="2485"/>
      <c r="V118" s="2485"/>
      <c r="W118" s="2485"/>
      <c r="X118" s="2485"/>
      <c r="Y118" s="2485"/>
      <c r="Z118" s="2485"/>
      <c r="AA118" s="2485"/>
      <c r="AB118" s="2485"/>
      <c r="AC118" s="2485"/>
    </row>
    <row r="119" spans="1:29" ht="14.4" thickBot="1">
      <c r="A119" s="365"/>
      <c r="B119" s="472"/>
      <c r="C119" s="489"/>
      <c r="D119" s="465"/>
      <c r="E119" s="465"/>
      <c r="F119" s="465"/>
      <c r="G119" s="465"/>
      <c r="H119" s="465"/>
      <c r="I119" s="465"/>
      <c r="J119" s="465"/>
      <c r="K119" s="465"/>
      <c r="L119" s="465"/>
      <c r="M119" s="466"/>
      <c r="N119" s="2520"/>
      <c r="O119" s="2520"/>
      <c r="P119" s="2511"/>
      <c r="Q119" s="2506"/>
      <c r="R119" s="2485"/>
      <c r="S119" s="2485"/>
      <c r="T119" s="2485"/>
      <c r="U119" s="2485"/>
      <c r="V119" s="2485"/>
      <c r="W119" s="2485"/>
      <c r="X119" s="2485"/>
      <c r="Y119" s="2485"/>
      <c r="Z119" s="2485"/>
      <c r="AA119" s="2485"/>
      <c r="AB119" s="2485"/>
      <c r="AC119" s="2485"/>
    </row>
    <row r="120" spans="1:29" s="406" customFormat="1" ht="15" thickTop="1">
      <c r="A120" s="404"/>
      <c r="B120" s="467" t="s">
        <v>1809</v>
      </c>
      <c r="C120" s="511"/>
      <c r="D120" s="511"/>
      <c r="E120" s="511"/>
      <c r="F120" s="511"/>
      <c r="G120" s="484"/>
      <c r="H120" s="484"/>
      <c r="I120" s="484"/>
      <c r="J120" s="484"/>
      <c r="K120" s="484"/>
      <c r="L120" s="485"/>
      <c r="M120" s="486"/>
      <c r="N120" s="2521"/>
      <c r="O120" s="2521"/>
      <c r="P120" s="2512"/>
      <c r="Q120" s="2513"/>
      <c r="R120" s="2491"/>
      <c r="S120" s="2491"/>
      <c r="T120" s="2491"/>
      <c r="U120" s="2491"/>
      <c r="V120" s="2491"/>
      <c r="W120" s="2491"/>
      <c r="X120" s="2491"/>
      <c r="Y120" s="2491"/>
      <c r="Z120" s="2491"/>
      <c r="AA120" s="2491"/>
      <c r="AB120" s="2491"/>
      <c r="AC120" s="2491"/>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7"/>
      <c r="B122" s="467" t="s">
        <v>1744</v>
      </c>
      <c r="C122" s="483"/>
      <c r="D122" s="483"/>
      <c r="E122" s="483"/>
      <c r="F122" s="511"/>
      <c r="G122" s="511"/>
      <c r="H122" s="511"/>
      <c r="I122" s="511"/>
      <c r="J122" s="511"/>
      <c r="K122" s="512"/>
      <c r="L122" s="513"/>
      <c r="M122" s="514"/>
      <c r="N122" s="2519"/>
      <c r="O122" s="2519"/>
      <c r="P122" s="2511"/>
      <c r="Q122" s="2506"/>
      <c r="R122" s="2485"/>
      <c r="S122" s="2485"/>
      <c r="T122" s="2485"/>
      <c r="U122" s="2485"/>
      <c r="V122" s="2485"/>
      <c r="W122" s="2485"/>
      <c r="X122" s="2485"/>
      <c r="Y122" s="2485"/>
      <c r="Z122" s="2485"/>
      <c r="AA122" s="2485"/>
      <c r="AB122" s="2485"/>
      <c r="AC122" s="2485"/>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9"/>
      <c r="O124" s="2519"/>
      <c r="P124" s="2512"/>
      <c r="Q124" s="2506"/>
      <c r="R124" s="2485"/>
      <c r="S124" s="2485"/>
      <c r="T124" s="2485"/>
      <c r="U124" s="2485"/>
      <c r="V124" s="2485"/>
      <c r="W124" s="2485"/>
      <c r="X124" s="2485"/>
      <c r="Y124" s="2485"/>
      <c r="Z124" s="2485"/>
      <c r="AA124" s="2485"/>
      <c r="AB124" s="2485"/>
      <c r="AC124" s="2485"/>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20"/>
      <c r="O125" s="2520"/>
      <c r="P125" s="2511"/>
      <c r="Q125" s="2506"/>
      <c r="R125" s="2485"/>
      <c r="S125" s="2485"/>
      <c r="T125" s="2485"/>
      <c r="U125" s="2485"/>
      <c r="V125" s="2485"/>
      <c r="W125" s="2485"/>
      <c r="X125" s="2485"/>
      <c r="Y125" s="2485"/>
      <c r="Z125" s="2485"/>
      <c r="AA125" s="2485"/>
      <c r="AB125" s="2485"/>
      <c r="AC125" s="2485"/>
    </row>
    <row r="126" spans="1:29" s="406" customFormat="1" ht="14.4" thickTop="1">
      <c r="A126" s="404"/>
      <c r="B126" s="467">
        <f>B44</f>
        <v>111</v>
      </c>
      <c r="C126" s="483"/>
      <c r="D126" s="483"/>
      <c r="E126" s="483"/>
      <c r="F126" s="483"/>
      <c r="G126" s="483"/>
      <c r="H126" s="484"/>
      <c r="I126" s="484"/>
      <c r="J126" s="484"/>
      <c r="K126" s="484"/>
      <c r="L126" s="485"/>
      <c r="M126" s="486"/>
      <c r="N126" s="2521"/>
      <c r="O126" s="2521"/>
      <c r="P126" s="2512"/>
      <c r="Q126" s="2513"/>
      <c r="R126" s="2491"/>
      <c r="S126" s="2491"/>
      <c r="T126" s="2491"/>
      <c r="U126" s="2491"/>
      <c r="V126" s="2491"/>
      <c r="W126" s="2491"/>
      <c r="X126" s="2491"/>
      <c r="Y126" s="2491"/>
      <c r="Z126" s="2491"/>
      <c r="AA126" s="2491"/>
      <c r="AB126" s="2491"/>
      <c r="AC126" s="2491"/>
    </row>
    <row r="127" spans="1:29" s="406" customFormat="1" ht="14.4" thickBot="1">
      <c r="A127" s="482"/>
      <c r="B127" s="472"/>
      <c r="C127" s="489"/>
      <c r="D127" s="465"/>
      <c r="E127" s="465"/>
      <c r="F127" s="465"/>
      <c r="G127" s="489"/>
      <c r="H127" s="491"/>
      <c r="I127" s="491"/>
      <c r="J127" s="491"/>
      <c r="K127" s="491"/>
      <c r="L127" s="491"/>
      <c r="M127" s="492"/>
      <c r="N127" s="2521"/>
      <c r="O127" s="2521"/>
      <c r="P127" s="2512"/>
      <c r="Q127" s="2513"/>
      <c r="R127" s="2491"/>
      <c r="S127" s="2491"/>
      <c r="T127" s="2491"/>
      <c r="U127" s="2491"/>
      <c r="V127" s="2491"/>
      <c r="W127" s="2491"/>
      <c r="X127" s="2491"/>
      <c r="Y127" s="2491"/>
      <c r="Z127" s="2491"/>
      <c r="AA127" s="2491"/>
      <c r="AB127" s="2491"/>
      <c r="AC127" s="2491"/>
    </row>
    <row r="128" spans="1:29" ht="14.4" thickTop="1">
      <c r="A128" s="407"/>
      <c r="B128" s="467">
        <f>B45</f>
        <v>111</v>
      </c>
      <c r="C128" s="483"/>
      <c r="D128" s="483"/>
      <c r="E128" s="483"/>
      <c r="F128" s="483"/>
      <c r="G128" s="511"/>
      <c r="H128" s="511"/>
      <c r="I128" s="511"/>
      <c r="J128" s="511"/>
      <c r="K128" s="512"/>
      <c r="L128" s="513"/>
      <c r="M128" s="514"/>
      <c r="N128" s="2519"/>
      <c r="O128" s="2519"/>
      <c r="P128" s="2511"/>
      <c r="Q128" s="2506"/>
      <c r="R128" s="2485"/>
      <c r="S128" s="2485"/>
      <c r="T128" s="2485"/>
      <c r="U128" s="2485"/>
      <c r="V128" s="2485"/>
      <c r="W128" s="2485"/>
      <c r="X128" s="2485"/>
      <c r="Y128" s="2485"/>
      <c r="Z128" s="2485"/>
      <c r="AA128" s="2485"/>
      <c r="AB128" s="2485"/>
      <c r="AC128" s="2485"/>
    </row>
    <row r="129" spans="1:29" ht="14.4" thickBot="1">
      <c r="A129" s="365"/>
      <c r="B129" s="472"/>
      <c r="C129" s="489"/>
      <c r="D129" s="465"/>
      <c r="E129" s="465"/>
      <c r="F129" s="465"/>
      <c r="G129" s="465"/>
      <c r="H129" s="465"/>
      <c r="I129" s="465"/>
      <c r="J129" s="465"/>
      <c r="K129" s="465"/>
      <c r="L129" s="465"/>
      <c r="M129" s="466"/>
      <c r="N129" s="2520"/>
      <c r="O129" s="2520"/>
      <c r="P129" s="2511"/>
      <c r="Q129" s="2506"/>
      <c r="R129" s="2485"/>
      <c r="S129" s="2485"/>
      <c r="T129" s="2485"/>
      <c r="U129" s="2485"/>
      <c r="V129" s="2485"/>
      <c r="W129" s="2485"/>
      <c r="X129" s="2485"/>
      <c r="Y129" s="2485"/>
      <c r="Z129" s="2485"/>
      <c r="AA129" s="2485"/>
      <c r="AB129" s="2485"/>
      <c r="AC129" s="2485"/>
    </row>
    <row r="130" spans="1:29" ht="14.4" thickTop="1">
      <c r="A130" s="407"/>
      <c r="B130" s="475">
        <f>B46</f>
        <v>111</v>
      </c>
      <c r="C130" s="483"/>
      <c r="D130" s="483"/>
      <c r="E130" s="483"/>
      <c r="F130" s="483"/>
      <c r="G130" s="515"/>
      <c r="H130" s="515"/>
      <c r="I130" s="515"/>
      <c r="J130" s="515"/>
      <c r="K130" s="31"/>
      <c r="L130" s="455"/>
      <c r="M130" s="518"/>
      <c r="N130" s="2519"/>
      <c r="O130" s="2519"/>
      <c r="P130" s="2511"/>
      <c r="Q130" s="2506"/>
      <c r="R130" s="2485"/>
      <c r="S130" s="2485"/>
      <c r="T130" s="2485"/>
      <c r="U130" s="2485"/>
      <c r="V130" s="2485"/>
      <c r="W130" s="2485"/>
      <c r="X130" s="2485"/>
      <c r="Y130" s="2485"/>
      <c r="Z130" s="2485"/>
      <c r="AA130" s="2485"/>
      <c r="AB130" s="2485"/>
      <c r="AC130" s="2485"/>
    </row>
    <row r="131" spans="1:29" ht="14.4" thickBot="1">
      <c r="A131" s="373"/>
      <c r="B131" s="498"/>
      <c r="C131" s="499"/>
      <c r="D131" s="499"/>
      <c r="E131" s="499"/>
      <c r="F131" s="499"/>
      <c r="G131" s="519"/>
      <c r="H131" s="519"/>
      <c r="I131" s="519"/>
      <c r="J131" s="519"/>
      <c r="K131" s="519"/>
      <c r="L131" s="519"/>
      <c r="M131" s="520"/>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17.399999999999999">
      <c r="A4" s="1379" t="str">
        <f>"受贵公司委托，我公司对"&amp;项目基本情况!S1&amp;"进行了预评估。"</f>
        <v>受贵公司委托，我公司对北京市房地产抵押价值进行了预评估。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估价对象为北京市房地产，为所有。根据《国有土地使用证》[]，估价对象（分摊）出让国有建设用地使用权面积为891.05平方米，建筑面积为1232.79平方米。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估价对象为北京市房地产,属开发建设的，该项目尚在开发建设中。根据《国有土地使用证》[]，估价对象（分摊）出让国有建设用地使用权面积为891.05平方米，规划建筑面积为1232.79平方米。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2025年3月12日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79" t="str">
        <f>IF(项目基本情况!B9="房地产市场价值","——",IF(项目基本情况!E9="——","",定义!C57))</f>
        <v/>
      </c>
    </row>
    <row r="23" spans="1:1" ht="17.399999999999999">
      <c r="A23" s="1378" t="s">
        <v>896</v>
      </c>
    </row>
    <row r="24" spans="1:1" ht="17.399999999999999">
      <c r="A24" s="1384" t="str">
        <f>"本次评估采用的主估价方法为"&amp;结果表!K4&amp;"和"&amp;结果表!L4&amp;"。"</f>
        <v>本次评估采用的主估价方法为成本法和收益法。</v>
      </c>
    </row>
    <row r="25" spans="1:1" ht="17.399999999999999">
      <c r="A25" s="1384"/>
    </row>
    <row r="26" spans="1:1" ht="17.399999999999999">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5" t="s">
        <v>1810</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1232.79</v>
      </c>
      <c r="E3" s="1802"/>
      <c r="F3" s="854"/>
      <c r="G3" s="853"/>
      <c r="H3" s="853"/>
      <c r="I3" s="853"/>
      <c r="J3" s="853"/>
      <c r="K3" s="855"/>
      <c r="L3" s="2501"/>
      <c r="M3" s="2502"/>
      <c r="N3" s="2502"/>
      <c r="O3" s="2502"/>
      <c r="P3" s="339"/>
      <c r="Q3" s="339"/>
      <c r="R3" s="339"/>
      <c r="S3" s="339"/>
      <c r="T3" s="339"/>
      <c r="U3" s="339"/>
      <c r="V3" s="339"/>
      <c r="W3" s="339"/>
      <c r="X3" s="339"/>
      <c r="Y3" s="339"/>
      <c r="Z3" s="339"/>
      <c r="AA3" s="339"/>
      <c r="AB3" s="339"/>
      <c r="AC3" s="661"/>
    </row>
    <row r="4" spans="1:29" ht="14.4">
      <c r="A4" s="343" t="s">
        <v>1769</v>
      </c>
      <c r="B4" s="344"/>
      <c r="C4" s="3448" t="s">
        <v>1770</v>
      </c>
      <c r="D4" s="3449"/>
      <c r="E4" s="3450" t="s">
        <v>1771</v>
      </c>
      <c r="F4" s="3451"/>
      <c r="G4" s="3448" t="s">
        <v>1772</v>
      </c>
      <c r="H4" s="3449"/>
      <c r="I4" s="3448" t="s">
        <v>1773</v>
      </c>
      <c r="J4" s="3449"/>
      <c r="K4" s="535" t="s">
        <v>1774</v>
      </c>
      <c r="L4" s="2484"/>
      <c r="M4" s="2485"/>
      <c r="N4" s="2485"/>
      <c r="O4" s="2485"/>
      <c r="P4" s="3481" t="s">
        <v>1775</v>
      </c>
      <c r="Q4" s="3482"/>
      <c r="R4" s="3476" t="s">
        <v>1771</v>
      </c>
      <c r="S4" s="3477"/>
      <c r="T4" s="3476" t="s">
        <v>1772</v>
      </c>
      <c r="U4" s="3477"/>
      <c r="V4" s="3485" t="s">
        <v>1773</v>
      </c>
      <c r="W4" s="3485"/>
      <c r="X4" s="1806"/>
      <c r="Y4" s="3476" t="s">
        <v>1775</v>
      </c>
      <c r="Z4" s="3477"/>
      <c r="AA4" s="3475" t="s">
        <v>1771</v>
      </c>
      <c r="AB4" s="3475" t="s">
        <v>1772</v>
      </c>
      <c r="AC4" s="3478" t="s">
        <v>1773</v>
      </c>
    </row>
    <row r="5" spans="1:29">
      <c r="A5" s="346"/>
      <c r="B5" s="347"/>
      <c r="C5" s="3441" t="s">
        <v>1673</v>
      </c>
      <c r="D5" s="3442"/>
      <c r="E5" s="3439" t="s">
        <v>1674</v>
      </c>
      <c r="F5" s="3440"/>
      <c r="G5" s="3441" t="s">
        <v>1675</v>
      </c>
      <c r="H5" s="3442"/>
      <c r="I5" s="3441" t="s">
        <v>1676</v>
      </c>
      <c r="J5" s="3442"/>
      <c r="K5" s="535"/>
      <c r="L5" s="2484"/>
      <c r="M5" s="2485"/>
      <c r="N5" s="2485"/>
      <c r="O5" s="2485"/>
      <c r="P5" s="3483"/>
      <c r="Q5" s="3455"/>
      <c r="R5" s="3437"/>
      <c r="S5" s="3438"/>
      <c r="T5" s="3437"/>
      <c r="U5" s="3438"/>
      <c r="V5" s="3460"/>
      <c r="W5" s="3460"/>
      <c r="X5" s="1262"/>
      <c r="Y5" s="3437"/>
      <c r="Z5" s="3438"/>
      <c r="AA5" s="3431"/>
      <c r="AB5" s="3431"/>
      <c r="AC5" s="3479"/>
    </row>
    <row r="6" spans="1:29" ht="15" thickBot="1">
      <c r="A6" s="348"/>
      <c r="B6" s="349"/>
      <c r="C6" s="3443" t="s">
        <v>1677</v>
      </c>
      <c r="D6" s="3444"/>
      <c r="E6" s="3445" t="s">
        <v>1677</v>
      </c>
      <c r="F6" s="3446"/>
      <c r="G6" s="3443" t="s">
        <v>1677</v>
      </c>
      <c r="H6" s="3444"/>
      <c r="I6" s="3443" t="s">
        <v>1677</v>
      </c>
      <c r="J6" s="3444"/>
      <c r="K6" s="535" t="s">
        <v>1678</v>
      </c>
      <c r="L6" s="2484"/>
      <c r="M6" s="2485"/>
      <c r="N6" s="2485"/>
      <c r="O6" s="2485"/>
      <c r="P6" s="3484"/>
      <c r="Q6" s="3457"/>
      <c r="R6" s="3437"/>
      <c r="S6" s="3438"/>
      <c r="T6" s="3458"/>
      <c r="U6" s="3459"/>
      <c r="V6" s="3460"/>
      <c r="W6" s="3460"/>
      <c r="X6" s="1262"/>
      <c r="Y6" s="3458"/>
      <c r="Z6" s="3459"/>
      <c r="AA6" s="3432"/>
      <c r="AB6" s="3432"/>
      <c r="AC6" s="3480"/>
    </row>
    <row r="7" spans="1:29" s="102" customFormat="1" ht="15" thickBot="1">
      <c r="A7" s="350" t="s">
        <v>1679</v>
      </c>
      <c r="B7" s="351"/>
      <c r="C7" s="352">
        <f>'数据-取费表'!B2</f>
        <v>45728</v>
      </c>
      <c r="D7" s="353">
        <v>100</v>
      </c>
      <c r="E7" s="354"/>
      <c r="F7" s="355">
        <f>SUMIF(59:59,YEAR(E7)&amp;"-"&amp;MONTH(E7),60:60)</f>
        <v>0</v>
      </c>
      <c r="G7" s="354"/>
      <c r="H7" s="353">
        <f>SUMIF(59:59,YEAR(G7)&amp;"-"&amp;MONTH(G7),60:60)</f>
        <v>0</v>
      </c>
      <c r="I7" s="354"/>
      <c r="J7" s="353">
        <f>SUMIF(59:59,YEAR(I7)&amp;"-"&amp;MONTH(I7),60:60)</f>
        <v>0</v>
      </c>
      <c r="K7" s="38"/>
      <c r="L7" s="2486"/>
      <c r="M7" s="2437"/>
      <c r="N7" s="2437"/>
      <c r="O7" s="2437"/>
      <c r="P7" s="3486" t="s">
        <v>1680</v>
      </c>
      <c r="Q7" s="3461"/>
      <c r="R7" s="662" t="s">
        <v>14</v>
      </c>
      <c r="S7" s="663">
        <f t="shared" ref="S7:S15" si="0">F7</f>
        <v>0</v>
      </c>
      <c r="T7" s="662" t="s">
        <v>14</v>
      </c>
      <c r="U7" s="663">
        <f t="shared" ref="U7:U15" si="1">H7</f>
        <v>0</v>
      </c>
      <c r="V7" s="662" t="s">
        <v>14</v>
      </c>
      <c r="W7" s="663">
        <f t="shared" ref="W7:W15" si="2">J7</f>
        <v>0</v>
      </c>
      <c r="X7" s="664"/>
      <c r="Y7" s="3433" t="s">
        <v>1680</v>
      </c>
      <c r="Z7" s="3434"/>
      <c r="AA7" s="50" t="e">
        <f>D7/F7</f>
        <v>#DIV/0!</v>
      </c>
      <c r="AB7" s="50" t="e">
        <f>D7/H7</f>
        <v>#DIV/0!</v>
      </c>
      <c r="AC7" s="800" t="e">
        <f>D7/J7</f>
        <v>#DIV/0!</v>
      </c>
    </row>
    <row r="8" spans="1:29" s="102"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6"/>
      <c r="M8" s="2437"/>
      <c r="N8" s="2437"/>
      <c r="O8" s="2437"/>
      <c r="P8" s="3486" t="s">
        <v>1683</v>
      </c>
      <c r="Q8" s="3434"/>
      <c r="R8" s="662" t="s">
        <v>14</v>
      </c>
      <c r="S8" s="663">
        <f t="shared" si="0"/>
        <v>100</v>
      </c>
      <c r="T8" s="662" t="s">
        <v>14</v>
      </c>
      <c r="U8" s="663">
        <f t="shared" si="1"/>
        <v>100</v>
      </c>
      <c r="V8" s="662" t="s">
        <v>14</v>
      </c>
      <c r="W8" s="663">
        <f t="shared" si="2"/>
        <v>100</v>
      </c>
      <c r="X8" s="664"/>
      <c r="Y8" s="3433" t="s">
        <v>1683</v>
      </c>
      <c r="Z8" s="3434"/>
      <c r="AA8" s="50">
        <f t="shared" ref="AA8:AA47" si="3">D8/F8</f>
        <v>1</v>
      </c>
      <c r="AB8" s="50">
        <f t="shared" ref="AB8:AB47" si="4">D8/H8</f>
        <v>1</v>
      </c>
      <c r="AC8" s="800">
        <f t="shared" ref="AC8:AC47" si="5">D8/J8</f>
        <v>1</v>
      </c>
    </row>
    <row r="9" spans="1:29" s="102"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6"/>
      <c r="M9" s="2437"/>
      <c r="N9" s="2437"/>
      <c r="O9" s="2437"/>
      <c r="P9" s="3447" t="s">
        <v>1686</v>
      </c>
      <c r="Q9" s="528" t="str">
        <f t="shared" ref="Q9:Q15" si="6">B9</f>
        <v>用途</v>
      </c>
      <c r="R9" s="662" t="s">
        <v>14</v>
      </c>
      <c r="S9" s="663">
        <f t="shared" si="0"/>
        <v>100</v>
      </c>
      <c r="T9" s="662" t="s">
        <v>14</v>
      </c>
      <c r="U9" s="663">
        <f t="shared" si="1"/>
        <v>100</v>
      </c>
      <c r="V9" s="662" t="s">
        <v>14</v>
      </c>
      <c r="W9" s="663">
        <f t="shared" si="2"/>
        <v>100</v>
      </c>
      <c r="X9" s="664"/>
      <c r="Y9" s="3377" t="s">
        <v>1687</v>
      </c>
      <c r="Z9" s="50" t="str">
        <f t="shared" ref="Z9:Z15" si="7">Q9</f>
        <v>用途</v>
      </c>
      <c r="AA9" s="50">
        <f t="shared" si="3"/>
        <v>1</v>
      </c>
      <c r="AB9" s="50">
        <f t="shared" si="4"/>
        <v>1</v>
      </c>
      <c r="AC9" s="800">
        <f t="shared" si="5"/>
        <v>1</v>
      </c>
    </row>
    <row r="10" spans="1:29" s="364" customFormat="1" ht="28.8">
      <c r="A10" s="361"/>
      <c r="B10" s="362" t="s">
        <v>1688</v>
      </c>
      <c r="C10" s="3130"/>
      <c r="D10" s="117">
        <v>100</v>
      </c>
      <c r="E10" s="3130"/>
      <c r="F10" s="117">
        <f>SUMIF(66:66,E10,67:67)-SUMIF(66:66,C10,67:67)+100</f>
        <v>100</v>
      </c>
      <c r="G10" s="3131"/>
      <c r="H10" s="117">
        <f>SUMIF(66:66,G10,67:67)-SUMIF(66:66,C10,67:67)+100</f>
        <v>100</v>
      </c>
      <c r="I10" s="3130"/>
      <c r="J10" s="117">
        <f>SUMIF(66:66,I10,67:67)-SUMIF(66:66,C10,67:67)+100</f>
        <v>100</v>
      </c>
      <c r="K10" s="38"/>
      <c r="L10" s="2487"/>
      <c r="M10" s="2488"/>
      <c r="N10" s="2488"/>
      <c r="O10" s="2488"/>
      <c r="P10" s="3447"/>
      <c r="Q10" s="528" t="str">
        <f t="shared" si="6"/>
        <v>土地使用年限（年）</v>
      </c>
      <c r="R10" s="662" t="s">
        <v>14</v>
      </c>
      <c r="S10" s="663">
        <f t="shared" si="0"/>
        <v>100</v>
      </c>
      <c r="T10" s="662" t="s">
        <v>14</v>
      </c>
      <c r="U10" s="663">
        <f t="shared" si="1"/>
        <v>100</v>
      </c>
      <c r="V10" s="662" t="s">
        <v>14</v>
      </c>
      <c r="W10" s="663">
        <f t="shared" si="2"/>
        <v>100</v>
      </c>
      <c r="X10" s="664"/>
      <c r="Y10" s="3377"/>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9"/>
      <c r="M11" s="2485"/>
      <c r="N11" s="2485"/>
      <c r="O11" s="2485"/>
      <c r="P11" s="3447"/>
      <c r="Q11" s="528" t="str">
        <f t="shared" si="6"/>
        <v>容积率</v>
      </c>
      <c r="R11" s="662" t="s">
        <v>14</v>
      </c>
      <c r="S11" s="663">
        <f t="shared" si="0"/>
        <v>100</v>
      </c>
      <c r="T11" s="662" t="s">
        <v>14</v>
      </c>
      <c r="U11" s="663">
        <f t="shared" si="1"/>
        <v>100</v>
      </c>
      <c r="V11" s="662" t="s">
        <v>14</v>
      </c>
      <c r="W11" s="663">
        <f t="shared" si="2"/>
        <v>100</v>
      </c>
      <c r="X11" s="664"/>
      <c r="Y11" s="3377"/>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6"/>
      <c r="M12" s="2437"/>
      <c r="N12" s="2437"/>
      <c r="O12" s="2437"/>
      <c r="P12" s="3447"/>
      <c r="Q12" s="528">
        <f t="shared" si="6"/>
        <v>111</v>
      </c>
      <c r="R12" s="662" t="s">
        <v>14</v>
      </c>
      <c r="S12" s="663">
        <f t="shared" si="0"/>
        <v>100</v>
      </c>
      <c r="T12" s="662" t="s">
        <v>14</v>
      </c>
      <c r="U12" s="663">
        <f t="shared" si="1"/>
        <v>100</v>
      </c>
      <c r="V12" s="662" t="s">
        <v>14</v>
      </c>
      <c r="W12" s="663">
        <f t="shared" si="2"/>
        <v>100</v>
      </c>
      <c r="X12" s="664"/>
      <c r="Y12" s="3377"/>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90"/>
      <c r="M13" s="2485"/>
      <c r="N13" s="2485"/>
      <c r="O13" s="2485"/>
      <c r="P13" s="3447"/>
      <c r="Q13" s="528">
        <f t="shared" si="6"/>
        <v>111</v>
      </c>
      <c r="R13" s="662" t="s">
        <v>14</v>
      </c>
      <c r="S13" s="663">
        <f t="shared" si="0"/>
        <v>100</v>
      </c>
      <c r="T13" s="662" t="s">
        <v>14</v>
      </c>
      <c r="U13" s="663">
        <f t="shared" si="1"/>
        <v>100</v>
      </c>
      <c r="V13" s="662" t="s">
        <v>14</v>
      </c>
      <c r="W13" s="663">
        <f t="shared" si="2"/>
        <v>100</v>
      </c>
      <c r="X13" s="664"/>
      <c r="Y13" s="3377"/>
      <c r="Z13" s="50">
        <f t="shared" si="7"/>
        <v>111</v>
      </c>
      <c r="AA13" s="50">
        <f t="shared" si="3"/>
        <v>1</v>
      </c>
      <c r="AB13" s="50">
        <f t="shared" si="4"/>
        <v>1</v>
      </c>
      <c r="AC13" s="800">
        <f t="shared" si="5"/>
        <v>1</v>
      </c>
    </row>
    <row r="14" spans="1:29" ht="15.6"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90"/>
      <c r="M14" s="2485"/>
      <c r="N14" s="2485"/>
      <c r="O14" s="2485"/>
      <c r="P14" s="3447"/>
      <c r="Q14" s="528">
        <f t="shared" si="6"/>
        <v>111</v>
      </c>
      <c r="R14" s="662" t="s">
        <v>14</v>
      </c>
      <c r="S14" s="663">
        <f t="shared" si="0"/>
        <v>100</v>
      </c>
      <c r="T14" s="662" t="s">
        <v>14</v>
      </c>
      <c r="U14" s="663">
        <f t="shared" si="1"/>
        <v>100</v>
      </c>
      <c r="V14" s="662" t="s">
        <v>14</v>
      </c>
      <c r="W14" s="663">
        <f t="shared" si="2"/>
        <v>100</v>
      </c>
      <c r="X14" s="664"/>
      <c r="Y14" s="3377"/>
      <c r="Z14" s="50">
        <f t="shared" si="7"/>
        <v>111</v>
      </c>
      <c r="AA14" s="50">
        <f t="shared" si="3"/>
        <v>1</v>
      </c>
      <c r="AB14" s="50">
        <f t="shared" si="4"/>
        <v>1</v>
      </c>
      <c r="AC14" s="800">
        <f t="shared" si="5"/>
        <v>1</v>
      </c>
    </row>
    <row r="15" spans="1:29" ht="15">
      <c r="A15" s="377" t="s">
        <v>1690</v>
      </c>
      <c r="B15" s="552" t="s">
        <v>1811</v>
      </c>
      <c r="C15" s="1808">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90"/>
      <c r="M15" s="2485"/>
      <c r="N15" s="2485"/>
      <c r="O15" s="2485"/>
      <c r="P15" s="3473" t="s">
        <v>1691</v>
      </c>
      <c r="Q15" s="1260" t="str">
        <f t="shared" si="6"/>
        <v>办公集聚程度</v>
      </c>
      <c r="R15" s="665" t="s">
        <v>14</v>
      </c>
      <c r="S15" s="666">
        <f t="shared" si="0"/>
        <v>100</v>
      </c>
      <c r="T15" s="665" t="s">
        <v>14</v>
      </c>
      <c r="U15" s="666">
        <f t="shared" si="1"/>
        <v>100</v>
      </c>
      <c r="V15" s="665" t="s">
        <v>14</v>
      </c>
      <c r="W15" s="666">
        <f t="shared" si="2"/>
        <v>100</v>
      </c>
      <c r="X15" s="1262"/>
      <c r="Y15" s="3466"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90"/>
      <c r="M16" s="2485"/>
      <c r="N16" s="2485"/>
      <c r="O16" s="2485"/>
      <c r="P16" s="3474"/>
      <c r="Q16" s="1260"/>
      <c r="R16" s="665"/>
      <c r="S16" s="666"/>
      <c r="T16" s="665"/>
      <c r="U16" s="666"/>
      <c r="V16" s="665"/>
      <c r="W16" s="666"/>
      <c r="X16" s="1262"/>
      <c r="Y16" s="3467"/>
      <c r="Z16" s="1261"/>
      <c r="AA16" s="1261">
        <v>1</v>
      </c>
      <c r="AB16" s="1261">
        <v>1</v>
      </c>
      <c r="AC16" s="1809">
        <v>1</v>
      </c>
    </row>
    <row r="17" spans="1:29" ht="15">
      <c r="A17" s="365"/>
      <c r="B17" s="554" t="s">
        <v>1259</v>
      </c>
      <c r="C17" s="1810">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90"/>
      <c r="M17" s="2485"/>
      <c r="N17" s="2485"/>
      <c r="O17" s="2485"/>
      <c r="P17" s="3474"/>
      <c r="Q17" s="1260" t="str">
        <f>B17</f>
        <v>交通便捷度</v>
      </c>
      <c r="R17" s="665" t="s">
        <v>14</v>
      </c>
      <c r="S17" s="666">
        <f>F17</f>
        <v>100</v>
      </c>
      <c r="T17" s="665" t="s">
        <v>14</v>
      </c>
      <c r="U17" s="666">
        <f>H17</f>
        <v>100</v>
      </c>
      <c r="V17" s="665" t="s">
        <v>14</v>
      </c>
      <c r="W17" s="666">
        <f>J17</f>
        <v>100</v>
      </c>
      <c r="X17" s="1262"/>
      <c r="Y17" s="3467"/>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90"/>
      <c r="M18" s="2485"/>
      <c r="N18" s="2485"/>
      <c r="O18" s="2485"/>
      <c r="P18" s="3474"/>
      <c r="Q18" s="1260"/>
      <c r="R18" s="665"/>
      <c r="S18" s="666"/>
      <c r="T18" s="665"/>
      <c r="U18" s="666"/>
      <c r="V18" s="665"/>
      <c r="W18" s="666"/>
      <c r="X18" s="1262"/>
      <c r="Y18" s="3467"/>
      <c r="Z18" s="1261"/>
      <c r="AA18" s="1261">
        <v>1</v>
      </c>
      <c r="AB18" s="1261">
        <v>1</v>
      </c>
      <c r="AC18" s="1809">
        <v>1</v>
      </c>
    </row>
    <row r="19" spans="1:29" ht="15">
      <c r="A19" s="365"/>
      <c r="B19" s="554" t="s">
        <v>1812</v>
      </c>
      <c r="C19" s="1810">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90"/>
      <c r="M19" s="2485"/>
      <c r="N19" s="2485"/>
      <c r="O19" s="2485"/>
      <c r="P19" s="3474"/>
      <c r="Q19" s="1260" t="str">
        <f>B19</f>
        <v>公共配套设施</v>
      </c>
      <c r="R19" s="665" t="s">
        <v>14</v>
      </c>
      <c r="S19" s="666">
        <f>F19</f>
        <v>100</v>
      </c>
      <c r="T19" s="665" t="s">
        <v>14</v>
      </c>
      <c r="U19" s="666">
        <f>H19</f>
        <v>100</v>
      </c>
      <c r="V19" s="665" t="s">
        <v>14</v>
      </c>
      <c r="W19" s="666">
        <f>J19</f>
        <v>100</v>
      </c>
      <c r="X19" s="1262"/>
      <c r="Y19" s="3467"/>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90"/>
      <c r="M20" s="2485"/>
      <c r="N20" s="2485"/>
      <c r="O20" s="2485"/>
      <c r="P20" s="3474"/>
      <c r="Q20" s="1260"/>
      <c r="R20" s="665"/>
      <c r="S20" s="666"/>
      <c r="T20" s="665"/>
      <c r="U20" s="666"/>
      <c r="V20" s="665"/>
      <c r="W20" s="666"/>
      <c r="X20" s="1262"/>
      <c r="Y20" s="3467"/>
      <c r="Z20" s="1261"/>
      <c r="AA20" s="1261">
        <v>1</v>
      </c>
      <c r="AB20" s="1261">
        <v>1</v>
      </c>
      <c r="AC20" s="1809">
        <v>1</v>
      </c>
    </row>
    <row r="21" spans="1:29" ht="15">
      <c r="A21" s="365"/>
      <c r="B21" s="555" t="s">
        <v>1813</v>
      </c>
      <c r="C21" s="1810">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90"/>
      <c r="M21" s="2485"/>
      <c r="N21" s="2485"/>
      <c r="O21" s="2485"/>
      <c r="P21" s="3474"/>
      <c r="Q21" s="1260" t="str">
        <f>B21</f>
        <v>基础设施水平</v>
      </c>
      <c r="R21" s="665" t="s">
        <v>14</v>
      </c>
      <c r="S21" s="666">
        <f>F21</f>
        <v>100</v>
      </c>
      <c r="T21" s="665" t="s">
        <v>14</v>
      </c>
      <c r="U21" s="666">
        <f>H21</f>
        <v>100</v>
      </c>
      <c r="V21" s="665" t="s">
        <v>14</v>
      </c>
      <c r="W21" s="666">
        <f>J21</f>
        <v>100</v>
      </c>
      <c r="X21" s="1262"/>
      <c r="Y21" s="3467"/>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2"/>
      <c r="L22" s="2490"/>
      <c r="M22" s="2485"/>
      <c r="N22" s="2485"/>
      <c r="O22" s="2485"/>
      <c r="P22" s="3474"/>
      <c r="Q22" s="1260"/>
      <c r="R22" s="665"/>
      <c r="S22" s="666"/>
      <c r="T22" s="665"/>
      <c r="U22" s="666"/>
      <c r="V22" s="665"/>
      <c r="W22" s="666"/>
      <c r="X22" s="1262"/>
      <c r="Y22" s="3467"/>
      <c r="Z22" s="1261"/>
      <c r="AA22" s="1261">
        <v>1</v>
      </c>
      <c r="AB22" s="1261">
        <v>1</v>
      </c>
      <c r="AC22" s="1809">
        <v>1</v>
      </c>
    </row>
    <row r="23" spans="1:29" ht="15">
      <c r="A23" s="365"/>
      <c r="B23" s="554" t="s">
        <v>1814</v>
      </c>
      <c r="C23" s="1810">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90"/>
      <c r="M23" s="2485"/>
      <c r="N23" s="2485"/>
      <c r="O23" s="2485"/>
      <c r="P23" s="3474"/>
      <c r="Q23" s="1260" t="str">
        <f>B23</f>
        <v>环境质量</v>
      </c>
      <c r="R23" s="665" t="s">
        <v>14</v>
      </c>
      <c r="S23" s="666">
        <f>F23</f>
        <v>100</v>
      </c>
      <c r="T23" s="665" t="s">
        <v>14</v>
      </c>
      <c r="U23" s="666">
        <f>H23</f>
        <v>100</v>
      </c>
      <c r="V23" s="665" t="s">
        <v>14</v>
      </c>
      <c r="W23" s="666">
        <f>J23</f>
        <v>100</v>
      </c>
      <c r="X23" s="1262"/>
      <c r="Y23" s="3467"/>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90"/>
      <c r="M24" s="2485"/>
      <c r="N24" s="2485"/>
      <c r="O24" s="2485"/>
      <c r="P24" s="3474"/>
      <c r="Q24" s="1260"/>
      <c r="R24" s="665"/>
      <c r="S24" s="666"/>
      <c r="T24" s="665"/>
      <c r="U24" s="666"/>
      <c r="V24" s="665"/>
      <c r="W24" s="666"/>
      <c r="X24" s="1262"/>
      <c r="Y24" s="3467"/>
      <c r="Z24" s="1261"/>
      <c r="AA24" s="1261">
        <v>1</v>
      </c>
      <c r="AB24" s="1261">
        <v>1</v>
      </c>
      <c r="AC24" s="1809">
        <v>1</v>
      </c>
    </row>
    <row r="25" spans="1:29" ht="28.8">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90"/>
      <c r="M25" s="2485"/>
      <c r="N25" s="2485"/>
      <c r="O25" s="2485"/>
      <c r="P25" s="3474"/>
      <c r="Q25" s="1260" t="str">
        <f>B25</f>
        <v>毗邻道路的类型与等级</v>
      </c>
      <c r="R25" s="665" t="s">
        <v>14</v>
      </c>
      <c r="S25" s="666">
        <f>F25</f>
        <v>100</v>
      </c>
      <c r="T25" s="665" t="s">
        <v>14</v>
      </c>
      <c r="U25" s="666">
        <f>H25</f>
        <v>100</v>
      </c>
      <c r="V25" s="665" t="s">
        <v>14</v>
      </c>
      <c r="W25" s="666">
        <f>J25</f>
        <v>100</v>
      </c>
      <c r="X25" s="1262"/>
      <c r="Y25" s="3467"/>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90"/>
      <c r="M26" s="2485"/>
      <c r="N26" s="2485"/>
      <c r="O26" s="2485"/>
      <c r="P26" s="3474"/>
      <c r="Q26" s="1260"/>
      <c r="R26" s="665"/>
      <c r="S26" s="666"/>
      <c r="T26" s="665"/>
      <c r="U26" s="666"/>
      <c r="V26" s="665"/>
      <c r="W26" s="666"/>
      <c r="X26" s="1262"/>
      <c r="Y26" s="3467"/>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90"/>
      <c r="M27" s="2485"/>
      <c r="N27" s="2485"/>
      <c r="O27" s="2485"/>
      <c r="P27" s="3474"/>
      <c r="Q27" s="1260" t="str">
        <f t="shared" ref="Q27:Q47" si="11">B27</f>
        <v>楼层</v>
      </c>
      <c r="R27" s="665" t="s">
        <v>14</v>
      </c>
      <c r="S27" s="666">
        <f>F27</f>
        <v>100</v>
      </c>
      <c r="T27" s="665" t="s">
        <v>14</v>
      </c>
      <c r="U27" s="666">
        <f>H27</f>
        <v>100</v>
      </c>
      <c r="V27" s="665" t="s">
        <v>14</v>
      </c>
      <c r="W27" s="666">
        <f>J27</f>
        <v>100</v>
      </c>
      <c r="X27" s="1262"/>
      <c r="Y27" s="3467"/>
      <c r="Z27" s="1261" t="str">
        <f>Q27</f>
        <v>楼层</v>
      </c>
      <c r="AA27" s="1261">
        <f t="shared" si="3"/>
        <v>1</v>
      </c>
      <c r="AB27" s="1261">
        <f t="shared" si="4"/>
        <v>1</v>
      </c>
      <c r="AC27" s="1809">
        <f t="shared" si="5"/>
        <v>1</v>
      </c>
    </row>
    <row r="28" spans="1:29" s="102"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6"/>
      <c r="M28" s="2437"/>
      <c r="N28" s="2437"/>
      <c r="O28" s="2437"/>
      <c r="P28" s="3474"/>
      <c r="Q28" s="528" t="str">
        <f t="shared" si="11"/>
        <v>朝向</v>
      </c>
      <c r="R28" s="662" t="s">
        <v>14</v>
      </c>
      <c r="S28" s="663">
        <f>F28</f>
        <v>100</v>
      </c>
      <c r="T28" s="662" t="s">
        <v>14</v>
      </c>
      <c r="U28" s="663">
        <f>H28</f>
        <v>100</v>
      </c>
      <c r="V28" s="662" t="s">
        <v>14</v>
      </c>
      <c r="W28" s="663">
        <f>J28</f>
        <v>100</v>
      </c>
      <c r="X28" s="664"/>
      <c r="Y28" s="3467"/>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90"/>
      <c r="M29" s="2485"/>
      <c r="N29" s="2485"/>
      <c r="O29" s="2485"/>
      <c r="P29" s="3474"/>
      <c r="Q29" s="1260">
        <f t="shared" si="11"/>
        <v>111</v>
      </c>
      <c r="R29" s="665" t="s">
        <v>14</v>
      </c>
      <c r="S29" s="666">
        <f t="shared" ref="S29:S47" si="12">F29</f>
        <v>100</v>
      </c>
      <c r="T29" s="665" t="s">
        <v>14</v>
      </c>
      <c r="U29" s="666">
        <f t="shared" ref="U29:U47" si="13">H29</f>
        <v>100</v>
      </c>
      <c r="V29" s="665" t="s">
        <v>14</v>
      </c>
      <c r="W29" s="666">
        <f t="shared" ref="W29:W47" si="14">J29</f>
        <v>100</v>
      </c>
      <c r="X29" s="1262"/>
      <c r="Y29" s="3467"/>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90"/>
      <c r="M30" s="2485"/>
      <c r="N30" s="2485"/>
      <c r="O30" s="2485"/>
      <c r="P30" s="3474"/>
      <c r="Q30" s="1260">
        <f t="shared" si="11"/>
        <v>111</v>
      </c>
      <c r="R30" s="665" t="s">
        <v>14</v>
      </c>
      <c r="S30" s="666">
        <f t="shared" si="12"/>
        <v>100</v>
      </c>
      <c r="T30" s="665" t="s">
        <v>14</v>
      </c>
      <c r="U30" s="666">
        <f t="shared" si="13"/>
        <v>100</v>
      </c>
      <c r="V30" s="665" t="s">
        <v>14</v>
      </c>
      <c r="W30" s="666">
        <f t="shared" si="14"/>
        <v>100</v>
      </c>
      <c r="X30" s="1262"/>
      <c r="Y30" s="3467"/>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90"/>
      <c r="M31" s="2485"/>
      <c r="N31" s="2485"/>
      <c r="O31" s="2485"/>
      <c r="P31" s="3474"/>
      <c r="Q31" s="1260">
        <f t="shared" si="11"/>
        <v>111</v>
      </c>
      <c r="R31" s="665" t="s">
        <v>14</v>
      </c>
      <c r="S31" s="666">
        <f t="shared" si="12"/>
        <v>100</v>
      </c>
      <c r="T31" s="665" t="s">
        <v>14</v>
      </c>
      <c r="U31" s="666">
        <f t="shared" si="13"/>
        <v>100</v>
      </c>
      <c r="V31" s="665" t="s">
        <v>14</v>
      </c>
      <c r="W31" s="666">
        <f t="shared" si="14"/>
        <v>100</v>
      </c>
      <c r="X31" s="1262"/>
      <c r="Y31" s="3467"/>
      <c r="Z31" s="1261">
        <f t="shared" si="15"/>
        <v>111</v>
      </c>
      <c r="AA31" s="1261">
        <f t="shared" si="3"/>
        <v>1</v>
      </c>
      <c r="AB31" s="1261">
        <f t="shared" si="4"/>
        <v>1</v>
      </c>
      <c r="AC31" s="1809">
        <f t="shared" si="5"/>
        <v>1</v>
      </c>
    </row>
    <row r="32" spans="1:29" ht="15.6"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90"/>
      <c r="M32" s="2485"/>
      <c r="N32" s="2485"/>
      <c r="O32" s="2485"/>
      <c r="P32" s="3474"/>
      <c r="Q32" s="1260">
        <f t="shared" si="11"/>
        <v>111</v>
      </c>
      <c r="R32" s="665" t="s">
        <v>14</v>
      </c>
      <c r="S32" s="666">
        <f t="shared" si="12"/>
        <v>100</v>
      </c>
      <c r="T32" s="665" t="s">
        <v>14</v>
      </c>
      <c r="U32" s="666">
        <f t="shared" si="13"/>
        <v>100</v>
      </c>
      <c r="V32" s="665" t="s">
        <v>14</v>
      </c>
      <c r="W32" s="666">
        <f t="shared" si="14"/>
        <v>100</v>
      </c>
      <c r="X32" s="1262"/>
      <c r="Y32" s="3467"/>
      <c r="Z32" s="1261">
        <f t="shared" si="15"/>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90"/>
      <c r="M33" s="2485"/>
      <c r="N33" s="2485"/>
      <c r="O33" s="2485"/>
      <c r="P33" s="3468" t="s">
        <v>1696</v>
      </c>
      <c r="Q33" s="1260" t="str">
        <f t="shared" si="11"/>
        <v>建筑类型</v>
      </c>
      <c r="R33" s="665" t="s">
        <v>14</v>
      </c>
      <c r="S33" s="666">
        <f t="shared" si="12"/>
        <v>100</v>
      </c>
      <c r="T33" s="665" t="s">
        <v>14</v>
      </c>
      <c r="U33" s="666">
        <f t="shared" si="13"/>
        <v>100</v>
      </c>
      <c r="V33" s="665" t="s">
        <v>14</v>
      </c>
      <c r="W33" s="666">
        <f t="shared" si="14"/>
        <v>100</v>
      </c>
      <c r="X33" s="1262"/>
      <c r="Y33" s="3471" t="s">
        <v>1696</v>
      </c>
      <c r="Z33" s="1261" t="str">
        <f t="shared" si="15"/>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9"/>
      <c r="M34" s="2491"/>
      <c r="N34" s="2491"/>
      <c r="O34" s="2491"/>
      <c r="P34" s="3469"/>
      <c r="Q34" s="529" t="str">
        <f t="shared" si="11"/>
        <v>项目建筑规模</v>
      </c>
      <c r="R34" s="667" t="s">
        <v>14</v>
      </c>
      <c r="S34" s="668" t="e">
        <f t="shared" si="12"/>
        <v>#N/A</v>
      </c>
      <c r="T34" s="667" t="s">
        <v>14</v>
      </c>
      <c r="U34" s="668" t="e">
        <f t="shared" si="13"/>
        <v>#N/A</v>
      </c>
      <c r="V34" s="667" t="s">
        <v>14</v>
      </c>
      <c r="W34" s="668" t="e">
        <f t="shared" si="14"/>
        <v>#N/A</v>
      </c>
      <c r="X34" s="669"/>
      <c r="Y34" s="3471"/>
      <c r="Z34" s="670" t="str">
        <f t="shared" si="15"/>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90"/>
      <c r="M35" s="2485"/>
      <c r="N35" s="2485"/>
      <c r="O35" s="2485"/>
      <c r="P35" s="3469"/>
      <c r="Q35" s="1260" t="str">
        <f t="shared" si="11"/>
        <v>建筑结构</v>
      </c>
      <c r="R35" s="665" t="s">
        <v>14</v>
      </c>
      <c r="S35" s="666">
        <f t="shared" si="12"/>
        <v>100</v>
      </c>
      <c r="T35" s="665" t="s">
        <v>14</v>
      </c>
      <c r="U35" s="666">
        <f t="shared" si="13"/>
        <v>100</v>
      </c>
      <c r="V35" s="665" t="s">
        <v>14</v>
      </c>
      <c r="W35" s="666">
        <f t="shared" si="14"/>
        <v>100</v>
      </c>
      <c r="X35" s="1262"/>
      <c r="Y35" s="3471"/>
      <c r="Z35" s="1261" t="str">
        <f t="shared" si="15"/>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90"/>
      <c r="M36" s="2485"/>
      <c r="N36" s="2485"/>
      <c r="O36" s="2485"/>
      <c r="P36" s="3469"/>
      <c r="Q36" s="1260" t="str">
        <f t="shared" si="11"/>
        <v>公共部分装修</v>
      </c>
      <c r="R36" s="665" t="s">
        <v>14</v>
      </c>
      <c r="S36" s="666">
        <f t="shared" si="12"/>
        <v>100</v>
      </c>
      <c r="T36" s="665" t="s">
        <v>14</v>
      </c>
      <c r="U36" s="666">
        <f t="shared" si="13"/>
        <v>100</v>
      </c>
      <c r="V36" s="665" t="s">
        <v>14</v>
      </c>
      <c r="W36" s="666">
        <f t="shared" si="14"/>
        <v>100</v>
      </c>
      <c r="X36" s="1262"/>
      <c r="Y36" s="3471"/>
      <c r="Z36" s="1261" t="str">
        <f t="shared" si="15"/>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90"/>
      <c r="M37" s="2485"/>
      <c r="N37" s="2485"/>
      <c r="O37" s="2485"/>
      <c r="P37" s="3469"/>
      <c r="Q37" s="1260" t="str">
        <f t="shared" si="11"/>
        <v>成新度</v>
      </c>
      <c r="R37" s="665" t="s">
        <v>14</v>
      </c>
      <c r="S37" s="666" t="e">
        <f t="shared" si="12"/>
        <v>#N/A</v>
      </c>
      <c r="T37" s="665" t="s">
        <v>14</v>
      </c>
      <c r="U37" s="666" t="e">
        <f t="shared" si="13"/>
        <v>#N/A</v>
      </c>
      <c r="V37" s="665" t="s">
        <v>14</v>
      </c>
      <c r="W37" s="666" t="e">
        <f t="shared" si="14"/>
        <v>#N/A</v>
      </c>
      <c r="X37" s="1262"/>
      <c r="Y37" s="3471"/>
      <c r="Z37" s="1261" t="str">
        <f t="shared" si="15"/>
        <v>成新度</v>
      </c>
      <c r="AA37" s="1261" t="e">
        <f t="shared" si="3"/>
        <v>#N/A</v>
      </c>
      <c r="AB37" s="1261" t="e">
        <f t="shared" si="4"/>
        <v>#N/A</v>
      </c>
      <c r="AC37" s="1809"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6"/>
      <c r="M38" s="2437"/>
      <c r="N38" s="2437"/>
      <c r="O38" s="2437"/>
      <c r="P38" s="3469"/>
      <c r="Q38" s="528" t="str">
        <f t="shared" si="11"/>
        <v>写字楼等级</v>
      </c>
      <c r="R38" s="662" t="s">
        <v>14</v>
      </c>
      <c r="S38" s="663">
        <f t="shared" si="12"/>
        <v>100</v>
      </c>
      <c r="T38" s="662" t="s">
        <v>14</v>
      </c>
      <c r="U38" s="663">
        <f t="shared" si="13"/>
        <v>100</v>
      </c>
      <c r="V38" s="662" t="s">
        <v>14</v>
      </c>
      <c r="W38" s="663">
        <f t="shared" si="14"/>
        <v>100</v>
      </c>
      <c r="X38" s="664"/>
      <c r="Y38" s="3471"/>
      <c r="Z38" s="50" t="str">
        <f t="shared" si="15"/>
        <v>写字楼等级</v>
      </c>
      <c r="AA38" s="50">
        <f t="shared" si="3"/>
        <v>1</v>
      </c>
      <c r="AB38" s="50">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90"/>
      <c r="M39" s="2485"/>
      <c r="N39" s="2485"/>
      <c r="O39" s="2485"/>
      <c r="P39" s="3469" t="s">
        <v>1696</v>
      </c>
      <c r="Q39" s="1260" t="str">
        <f t="shared" si="11"/>
        <v>物业管理</v>
      </c>
      <c r="R39" s="665" t="s">
        <v>14</v>
      </c>
      <c r="S39" s="666">
        <f t="shared" si="12"/>
        <v>100</v>
      </c>
      <c r="T39" s="665" t="s">
        <v>14</v>
      </c>
      <c r="U39" s="666">
        <f t="shared" si="13"/>
        <v>100</v>
      </c>
      <c r="V39" s="665" t="s">
        <v>14</v>
      </c>
      <c r="W39" s="666">
        <f t="shared" si="14"/>
        <v>100</v>
      </c>
      <c r="X39" s="1262"/>
      <c r="Y39" s="3471" t="s">
        <v>1696</v>
      </c>
      <c r="Z39" s="1261" t="str">
        <f t="shared" si="15"/>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90"/>
      <c r="M40" s="2485"/>
      <c r="N40" s="2485"/>
      <c r="O40" s="2485"/>
      <c r="P40" s="3469"/>
      <c r="Q40" s="1260" t="str">
        <f t="shared" si="11"/>
        <v>市政基础设施</v>
      </c>
      <c r="R40" s="665" t="s">
        <v>14</v>
      </c>
      <c r="S40" s="666">
        <f t="shared" si="12"/>
        <v>100</v>
      </c>
      <c r="T40" s="665" t="s">
        <v>14</v>
      </c>
      <c r="U40" s="666">
        <f t="shared" si="13"/>
        <v>100</v>
      </c>
      <c r="V40" s="665" t="s">
        <v>14</v>
      </c>
      <c r="W40" s="666">
        <f t="shared" si="14"/>
        <v>100</v>
      </c>
      <c r="X40" s="1262"/>
      <c r="Y40" s="3471"/>
      <c r="Z40" s="1261" t="str">
        <f t="shared" si="15"/>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90"/>
      <c r="M41" s="2485"/>
      <c r="N41" s="2485"/>
      <c r="O41" s="2485"/>
      <c r="P41" s="3469"/>
      <c r="Q41" s="1260" t="str">
        <f t="shared" si="11"/>
        <v>层高</v>
      </c>
      <c r="R41" s="665" t="s">
        <v>14</v>
      </c>
      <c r="S41" s="666">
        <f t="shared" si="12"/>
        <v>100</v>
      </c>
      <c r="T41" s="665" t="s">
        <v>14</v>
      </c>
      <c r="U41" s="666">
        <f t="shared" si="13"/>
        <v>100</v>
      </c>
      <c r="V41" s="665" t="s">
        <v>14</v>
      </c>
      <c r="W41" s="666">
        <f t="shared" si="14"/>
        <v>100</v>
      </c>
      <c r="X41" s="1262"/>
      <c r="Y41" s="3471"/>
      <c r="Z41" s="1261" t="str">
        <f t="shared" si="15"/>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9"/>
      <c r="M42" s="2491"/>
      <c r="N42" s="2491"/>
      <c r="O42" s="2491"/>
      <c r="P42" s="3469"/>
      <c r="Q42" s="529" t="str">
        <f t="shared" si="11"/>
        <v>单套建筑面积</v>
      </c>
      <c r="R42" s="667" t="s">
        <v>14</v>
      </c>
      <c r="S42" s="668">
        <f t="shared" si="12"/>
        <v>100</v>
      </c>
      <c r="T42" s="667" t="s">
        <v>14</v>
      </c>
      <c r="U42" s="668">
        <f t="shared" si="13"/>
        <v>100</v>
      </c>
      <c r="V42" s="667" t="s">
        <v>14</v>
      </c>
      <c r="W42" s="668">
        <f t="shared" si="14"/>
        <v>100</v>
      </c>
      <c r="X42" s="669"/>
      <c r="Y42" s="3471"/>
      <c r="Z42" s="670" t="str">
        <f t="shared" si="15"/>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90"/>
      <c r="M43" s="2485"/>
      <c r="N43" s="2485"/>
      <c r="O43" s="2485"/>
      <c r="P43" s="3469"/>
      <c r="Q43" s="1260" t="str">
        <f t="shared" si="11"/>
        <v>内部装修</v>
      </c>
      <c r="R43" s="665" t="s">
        <v>14</v>
      </c>
      <c r="S43" s="666">
        <f t="shared" si="12"/>
        <v>100</v>
      </c>
      <c r="T43" s="665" t="s">
        <v>14</v>
      </c>
      <c r="U43" s="666">
        <f t="shared" si="13"/>
        <v>100</v>
      </c>
      <c r="V43" s="665" t="s">
        <v>14</v>
      </c>
      <c r="W43" s="666">
        <f t="shared" si="14"/>
        <v>100</v>
      </c>
      <c r="X43" s="1262"/>
      <c r="Y43" s="3471"/>
      <c r="Z43" s="1261" t="str">
        <f t="shared" si="15"/>
        <v>内部装修</v>
      </c>
      <c r="AA43" s="1261">
        <f t="shared" si="3"/>
        <v>1</v>
      </c>
      <c r="AB43" s="1261">
        <f t="shared" si="4"/>
        <v>1</v>
      </c>
      <c r="AC43" s="1809">
        <f t="shared" si="5"/>
        <v>1</v>
      </c>
    </row>
    <row r="44" spans="1:29" ht="28.8">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90"/>
      <c r="M44" s="2485"/>
      <c r="N44" s="2485"/>
      <c r="O44" s="2485"/>
      <c r="P44" s="3469"/>
      <c r="Q44" s="1260" t="str">
        <f t="shared" si="11"/>
        <v>内部装修维护情况</v>
      </c>
      <c r="R44" s="665" t="s">
        <v>14</v>
      </c>
      <c r="S44" s="666">
        <f t="shared" si="12"/>
        <v>100</v>
      </c>
      <c r="T44" s="665" t="s">
        <v>14</v>
      </c>
      <c r="U44" s="666">
        <f t="shared" si="13"/>
        <v>100</v>
      </c>
      <c r="V44" s="665" t="s">
        <v>14</v>
      </c>
      <c r="W44" s="666">
        <f t="shared" si="14"/>
        <v>100</v>
      </c>
      <c r="X44" s="1262"/>
      <c r="Y44" s="3471"/>
      <c r="Z44" s="1261" t="str">
        <f t="shared" si="15"/>
        <v>内部装修维护情况</v>
      </c>
      <c r="AA44" s="1261">
        <f t="shared" si="3"/>
        <v>1</v>
      </c>
      <c r="AB44" s="1261">
        <f t="shared" si="4"/>
        <v>1</v>
      </c>
      <c r="AC44" s="1809">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6"/>
      <c r="M45" s="2437"/>
      <c r="N45" s="2437"/>
      <c r="O45" s="2437"/>
      <c r="P45" s="3469"/>
      <c r="Q45" s="528">
        <f t="shared" si="11"/>
        <v>111</v>
      </c>
      <c r="R45" s="662" t="s">
        <v>14</v>
      </c>
      <c r="S45" s="663">
        <f t="shared" si="12"/>
        <v>100</v>
      </c>
      <c r="T45" s="662" t="s">
        <v>14</v>
      </c>
      <c r="U45" s="663">
        <f t="shared" si="13"/>
        <v>100</v>
      </c>
      <c r="V45" s="662" t="s">
        <v>14</v>
      </c>
      <c r="W45" s="663">
        <f t="shared" si="14"/>
        <v>100</v>
      </c>
      <c r="X45" s="664"/>
      <c r="Y45" s="3471"/>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90"/>
      <c r="M46" s="2485"/>
      <c r="N46" s="2485"/>
      <c r="O46" s="2485"/>
      <c r="P46" s="3469"/>
      <c r="Q46" s="1260">
        <f t="shared" si="11"/>
        <v>111</v>
      </c>
      <c r="R46" s="665" t="s">
        <v>14</v>
      </c>
      <c r="S46" s="666">
        <f t="shared" si="12"/>
        <v>100</v>
      </c>
      <c r="T46" s="665" t="s">
        <v>14</v>
      </c>
      <c r="U46" s="666">
        <f t="shared" si="13"/>
        <v>100</v>
      </c>
      <c r="V46" s="665" t="s">
        <v>14</v>
      </c>
      <c r="W46" s="666">
        <f t="shared" si="14"/>
        <v>100</v>
      </c>
      <c r="X46" s="1262"/>
      <c r="Y46" s="3471"/>
      <c r="Z46" s="1261">
        <f t="shared" si="15"/>
        <v>111</v>
      </c>
      <c r="AA46" s="1261">
        <f t="shared" si="3"/>
        <v>1</v>
      </c>
      <c r="AB46" s="1261">
        <f t="shared" si="4"/>
        <v>1</v>
      </c>
      <c r="AC46" s="1809">
        <f t="shared" si="5"/>
        <v>1</v>
      </c>
    </row>
    <row r="47" spans="1:29" ht="15.6"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90"/>
      <c r="M47" s="2485"/>
      <c r="N47" s="2485"/>
      <c r="O47" s="2485"/>
      <c r="P47" s="3470"/>
      <c r="Q47" s="1260">
        <f t="shared" si="11"/>
        <v>111</v>
      </c>
      <c r="R47" s="665" t="s">
        <v>14</v>
      </c>
      <c r="S47" s="666">
        <f t="shared" si="12"/>
        <v>100</v>
      </c>
      <c r="T47" s="665" t="s">
        <v>14</v>
      </c>
      <c r="U47" s="666">
        <f t="shared" si="13"/>
        <v>100</v>
      </c>
      <c r="V47" s="665" t="s">
        <v>14</v>
      </c>
      <c r="W47" s="666">
        <f t="shared" si="14"/>
        <v>100</v>
      </c>
      <c r="X47" s="1262"/>
      <c r="Y47" s="3472"/>
      <c r="Z47" s="1261">
        <f t="shared" si="15"/>
        <v>111</v>
      </c>
      <c r="AA47" s="1261">
        <f t="shared" si="3"/>
        <v>1</v>
      </c>
      <c r="AB47" s="1261">
        <f t="shared" si="4"/>
        <v>1</v>
      </c>
      <c r="AC47" s="1809">
        <f t="shared" si="5"/>
        <v>1</v>
      </c>
    </row>
    <row r="48" spans="1:29" ht="14.4">
      <c r="A48" s="414" t="s">
        <v>1708</v>
      </c>
      <c r="B48" s="415"/>
      <c r="C48" s="1079" t="s">
        <v>0</v>
      </c>
      <c r="D48" s="416"/>
      <c r="E48" s="417"/>
      <c r="F48" s="418"/>
      <c r="G48" s="419"/>
      <c r="H48" s="420"/>
      <c r="I48" s="417"/>
      <c r="J48" s="420"/>
      <c r="K48" s="672"/>
      <c r="L48" s="2492"/>
      <c r="M48" s="2485"/>
      <c r="N48" s="2485"/>
      <c r="O48" s="2485"/>
      <c r="P48" s="3447" t="str">
        <f>A48</f>
        <v>成交单价（元/平方米）</v>
      </c>
      <c r="Q48" s="3465"/>
      <c r="R48" s="3460">
        <f>E48</f>
        <v>0</v>
      </c>
      <c r="S48" s="3460"/>
      <c r="T48" s="3460">
        <f>G48</f>
        <v>0</v>
      </c>
      <c r="U48" s="3460"/>
      <c r="V48" s="3460">
        <f>I48</f>
        <v>0</v>
      </c>
      <c r="W48" s="3460"/>
      <c r="X48" s="383"/>
      <c r="Y48" s="671"/>
      <c r="Z48" s="383"/>
      <c r="AA48" s="383"/>
      <c r="AB48" s="383"/>
      <c r="AC48" s="553"/>
    </row>
    <row r="49" spans="1:29" ht="15" thickBot="1">
      <c r="A49" s="421" t="s">
        <v>1793</v>
      </c>
      <c r="B49" s="422"/>
      <c r="C49" s="1080" t="e">
        <f>R50</f>
        <v>#DIV/0!</v>
      </c>
      <c r="D49" s="2138" t="s">
        <v>2135</v>
      </c>
      <c r="E49" s="1081" t="e">
        <f>R49</f>
        <v>#DIV/0!</v>
      </c>
      <c r="F49" s="2139"/>
      <c r="G49" s="1080" t="e">
        <f>T49</f>
        <v>#DIV/0!</v>
      </c>
      <c r="H49" s="2139"/>
      <c r="I49" s="1081" t="e">
        <f>V49</f>
        <v>#DIV/0!</v>
      </c>
      <c r="J49" s="2139"/>
      <c r="K49" s="2141">
        <f>F49+H49+J49</f>
        <v>0</v>
      </c>
      <c r="L49" s="2492"/>
      <c r="M49" s="2485"/>
      <c r="N49" s="2485"/>
      <c r="O49" s="2485"/>
      <c r="P49" s="3447" t="str">
        <f>A49</f>
        <v>比较价值（元/平方米）</v>
      </c>
      <c r="Q49" s="3465"/>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92"/>
      <c r="M50" s="2485"/>
      <c r="N50" s="2485"/>
      <c r="O50" s="2485"/>
      <c r="P50" s="3487" t="str">
        <f>A50</f>
        <v>估价对象XX用房的比较价值（楼面单价，元/平方米）</v>
      </c>
      <c r="Q50" s="3488"/>
      <c r="R50" s="3489" t="e">
        <f>IF(F1="售价",ROUND(IF(D49="简单平均",AVERAGE(R49:V49),R49*F49+T49*H49+V49*J49),0),ROUND(IF(D49="简单平均",AVERAGE(R49:V49),R49*F49+T49*H49+V49*J49),1))</f>
        <v>#DIV/0!</v>
      </c>
      <c r="S50" s="3489"/>
      <c r="T50" s="3489"/>
      <c r="U50" s="3489"/>
      <c r="V50" s="3489"/>
      <c r="W50" s="3489"/>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5" customFormat="1" ht="13.5" customHeight="1">
      <c r="A55" s="2495"/>
      <c r="B55" s="2495"/>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5"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6" t="s">
        <v>1798</v>
      </c>
      <c r="B58" s="383"/>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0" customFormat="1" ht="14.4">
      <c r="A59" s="438" t="s">
        <v>1679</v>
      </c>
      <c r="B59" s="439"/>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25"/>
      <c r="Q59" s="2508"/>
      <c r="R59" s="2508"/>
      <c r="S59" s="2508"/>
      <c r="T59" s="2508"/>
      <c r="U59" s="2508"/>
      <c r="V59" s="2508"/>
      <c r="W59" s="2508"/>
      <c r="X59" s="2508"/>
      <c r="Y59" s="2508"/>
      <c r="Z59" s="2508"/>
      <c r="AA59" s="2508"/>
      <c r="AB59" s="2508"/>
      <c r="AC59" s="2508"/>
    </row>
    <row r="60" spans="1:29" s="102" customFormat="1">
      <c r="A60" s="441"/>
      <c r="B60" s="442"/>
      <c r="C60" s="1099">
        <v>100</v>
      </c>
      <c r="D60" s="444"/>
      <c r="E60" s="444"/>
      <c r="F60" s="444"/>
      <c r="G60" s="444"/>
      <c r="H60" s="444"/>
      <c r="I60" s="444"/>
      <c r="J60" s="444"/>
      <c r="K60" s="444"/>
      <c r="L60" s="444"/>
      <c r="M60" s="445"/>
      <c r="N60" s="444"/>
      <c r="O60" s="445"/>
      <c r="P60" s="2526"/>
      <c r="Q60" s="2437"/>
      <c r="R60" s="2437"/>
      <c r="S60" s="2437"/>
      <c r="T60" s="2437"/>
      <c r="U60" s="2437"/>
      <c r="V60" s="2437"/>
      <c r="W60" s="2437"/>
      <c r="X60" s="2437"/>
      <c r="Y60" s="2437"/>
      <c r="Z60" s="2437"/>
      <c r="AA60" s="2437"/>
      <c r="AB60" s="2437"/>
      <c r="AC60" s="2437"/>
    </row>
    <row r="61" spans="1:29" s="102" customFormat="1" ht="15" thickBot="1">
      <c r="A61" s="447" t="s">
        <v>1716</v>
      </c>
      <c r="B61" s="448"/>
      <c r="C61" s="449"/>
      <c r="D61" s="450"/>
      <c r="E61" s="450"/>
      <c r="F61" s="450"/>
      <c r="G61" s="450"/>
      <c r="H61" s="450"/>
      <c r="I61" s="450"/>
      <c r="J61" s="450"/>
      <c r="K61" s="450"/>
      <c r="L61" s="450"/>
      <c r="M61" s="451"/>
      <c r="N61" s="450"/>
      <c r="O61" s="451"/>
      <c r="P61" s="2526"/>
      <c r="Q61" s="2506"/>
      <c r="R61" s="2437"/>
      <c r="S61" s="2437"/>
      <c r="T61" s="2437"/>
      <c r="U61" s="2437"/>
      <c r="V61" s="2437"/>
      <c r="W61" s="2437"/>
      <c r="X61" s="2437"/>
      <c r="Y61" s="2437"/>
      <c r="Z61" s="2437"/>
      <c r="AA61" s="2437"/>
      <c r="AB61" s="2437"/>
      <c r="AC61" s="2437"/>
    </row>
    <row r="62" spans="1:29" s="102" customFormat="1" ht="14.4">
      <c r="A62" s="453" t="s">
        <v>1681</v>
      </c>
      <c r="B62" s="442"/>
      <c r="C62" s="454" t="s">
        <v>1776</v>
      </c>
      <c r="D62" s="31"/>
      <c r="E62" s="31"/>
      <c r="F62" s="31"/>
      <c r="G62" s="31"/>
      <c r="H62" s="31"/>
      <c r="I62" s="31"/>
      <c r="J62" s="31"/>
      <c r="K62" s="31"/>
      <c r="L62" s="455"/>
      <c r="M62" s="456"/>
      <c r="N62" s="2518"/>
      <c r="O62" s="2518"/>
      <c r="P62" s="2527"/>
      <c r="Q62" s="2506"/>
      <c r="R62" s="2437"/>
      <c r="S62" s="2437"/>
      <c r="T62" s="2437"/>
      <c r="U62" s="2437"/>
      <c r="V62" s="2437"/>
      <c r="W62" s="2437"/>
      <c r="X62" s="2437"/>
      <c r="Y62" s="2437"/>
      <c r="Z62" s="2437"/>
      <c r="AA62" s="2437"/>
      <c r="AB62" s="2437"/>
      <c r="AC62" s="2437"/>
    </row>
    <row r="63" spans="1:29" s="102" customFormat="1" ht="14.4" thickBot="1">
      <c r="A63" s="453"/>
      <c r="B63" s="442"/>
      <c r="C63" s="443">
        <v>100</v>
      </c>
      <c r="D63" s="444"/>
      <c r="E63" s="444"/>
      <c r="F63" s="444"/>
      <c r="G63" s="444"/>
      <c r="H63" s="444"/>
      <c r="I63" s="444"/>
      <c r="J63" s="444"/>
      <c r="K63" s="444"/>
      <c r="L63" s="444"/>
      <c r="M63" s="446"/>
      <c r="N63" s="2518"/>
      <c r="O63" s="2518"/>
      <c r="P63" s="2526"/>
      <c r="Q63" s="2506"/>
      <c r="R63" s="2437"/>
      <c r="S63" s="2437"/>
      <c r="T63" s="2437"/>
      <c r="U63" s="2437"/>
      <c r="V63" s="2437"/>
      <c r="W63" s="2437"/>
      <c r="X63" s="2437"/>
      <c r="Y63" s="2437"/>
      <c r="Z63" s="2437"/>
      <c r="AA63" s="2437"/>
      <c r="AB63" s="2437"/>
      <c r="AC63" s="2437"/>
    </row>
    <row r="64" spans="1:29" ht="14.4">
      <c r="A64" s="377" t="s">
        <v>1719</v>
      </c>
      <c r="B64" s="458" t="s">
        <v>1685</v>
      </c>
      <c r="C64" s="459">
        <f>C9</f>
        <v>0</v>
      </c>
      <c r="D64" s="460"/>
      <c r="E64" s="460"/>
      <c r="F64" s="460"/>
      <c r="G64" s="460"/>
      <c r="H64" s="460"/>
      <c r="I64" s="460"/>
      <c r="J64" s="460"/>
      <c r="K64" s="461"/>
      <c r="L64" s="462"/>
      <c r="M64" s="463"/>
      <c r="N64" s="2519"/>
      <c r="O64" s="2519"/>
      <c r="P64" s="2528"/>
      <c r="Q64" s="2506"/>
      <c r="R64" s="2485"/>
      <c r="S64" s="2485"/>
      <c r="T64" s="2485"/>
      <c r="U64" s="2485"/>
      <c r="V64" s="2485"/>
      <c r="W64" s="2485"/>
      <c r="X64" s="2485"/>
      <c r="Y64" s="2485"/>
      <c r="Z64" s="2485"/>
      <c r="AA64" s="2485"/>
      <c r="AB64" s="2485"/>
      <c r="AC64" s="2485"/>
    </row>
    <row r="65" spans="1:29" ht="14.4" thickBot="1">
      <c r="A65" s="365"/>
      <c r="B65" s="464"/>
      <c r="C65" s="465">
        <v>100</v>
      </c>
      <c r="D65" s="465"/>
      <c r="E65" s="465"/>
      <c r="F65" s="465"/>
      <c r="G65" s="465"/>
      <c r="H65" s="465"/>
      <c r="I65" s="465"/>
      <c r="J65" s="465"/>
      <c r="K65" s="465"/>
      <c r="L65" s="465"/>
      <c r="M65" s="466"/>
      <c r="N65" s="2520"/>
      <c r="O65" s="2520"/>
      <c r="P65" s="2528"/>
      <c r="Q65" s="2506"/>
      <c r="R65" s="2485"/>
      <c r="S65" s="2485"/>
      <c r="T65" s="2485"/>
      <c r="U65" s="2485"/>
      <c r="V65" s="2485"/>
      <c r="W65" s="2485"/>
      <c r="X65" s="2485"/>
      <c r="Y65" s="2485"/>
      <c r="Z65" s="2485"/>
      <c r="AA65" s="2485"/>
      <c r="AB65" s="2485"/>
      <c r="AC65" s="2485"/>
    </row>
    <row r="66" spans="1:29" ht="29.4" thickTop="1">
      <c r="A66" s="365"/>
      <c r="B66" s="467" t="s">
        <v>1688</v>
      </c>
      <c r="C66" s="511"/>
      <c r="D66" s="511"/>
      <c r="E66" s="511"/>
      <c r="F66" s="511"/>
      <c r="G66" s="511"/>
      <c r="H66" s="511"/>
      <c r="I66" s="511"/>
      <c r="J66" s="511"/>
      <c r="K66" s="512"/>
      <c r="L66" s="513"/>
      <c r="M66" s="514"/>
      <c r="N66" s="2519"/>
      <c r="O66" s="2519"/>
      <c r="P66" s="2528"/>
      <c r="Q66" s="2506"/>
      <c r="R66" s="2485"/>
      <c r="S66" s="2485"/>
      <c r="T66" s="2485"/>
      <c r="U66" s="2485"/>
      <c r="V66" s="2485"/>
      <c r="W66" s="2485"/>
      <c r="X66" s="2485"/>
      <c r="Y66" s="2485"/>
      <c r="Z66" s="2485"/>
      <c r="AA66" s="2485"/>
      <c r="AB66" s="2485"/>
      <c r="AC66" s="2485"/>
    </row>
    <row r="67" spans="1:29" ht="14.4" thickBot="1">
      <c r="A67" s="365"/>
      <c r="B67" s="472"/>
      <c r="C67" s="465"/>
      <c r="D67" s="465"/>
      <c r="E67" s="465"/>
      <c r="F67" s="465"/>
      <c r="G67" s="465"/>
      <c r="H67" s="465"/>
      <c r="I67" s="465"/>
      <c r="J67" s="465"/>
      <c r="K67" s="465"/>
      <c r="L67" s="465"/>
      <c r="M67" s="466"/>
      <c r="N67" s="2520"/>
      <c r="O67" s="2520"/>
      <c r="P67" s="2528"/>
      <c r="Q67" s="2506"/>
      <c r="R67" s="2485"/>
      <c r="S67" s="2485"/>
      <c r="T67" s="2485"/>
      <c r="U67" s="2485"/>
      <c r="V67" s="2485"/>
      <c r="W67" s="2485"/>
      <c r="X67" s="2485"/>
      <c r="Y67" s="2485"/>
      <c r="Z67" s="2485"/>
      <c r="AA67" s="2485"/>
      <c r="AB67" s="2485"/>
      <c r="AC67" s="2485"/>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20"/>
      <c r="O68" s="2520"/>
      <c r="P68" s="2528"/>
      <c r="Q68" s="2506"/>
      <c r="R68" s="2485"/>
      <c r="S68" s="2485"/>
      <c r="T68" s="2485"/>
      <c r="U68" s="2485"/>
      <c r="V68" s="2485"/>
      <c r="W68" s="2485"/>
      <c r="X68" s="2485"/>
      <c r="Y68" s="2485"/>
      <c r="Z68" s="2485"/>
      <c r="AA68" s="2485"/>
      <c r="AB68" s="2485"/>
      <c r="AC68" s="2485"/>
    </row>
    <row r="69" spans="1:29">
      <c r="A69" s="365"/>
      <c r="B69" s="477"/>
      <c r="C69" s="478">
        <v>0</v>
      </c>
      <c r="D69" s="478">
        <v>3</v>
      </c>
      <c r="E69" s="478"/>
      <c r="F69" s="478"/>
      <c r="G69" s="478"/>
      <c r="H69" s="478"/>
      <c r="I69" s="478"/>
      <c r="J69" s="478"/>
      <c r="K69" s="479"/>
      <c r="L69" s="480"/>
      <c r="M69" s="481"/>
      <c r="N69" s="2519"/>
      <c r="O69" s="2519"/>
      <c r="P69" s="2528"/>
      <c r="Q69" s="2506"/>
      <c r="R69" s="2485"/>
      <c r="S69" s="2485"/>
      <c r="T69" s="2485"/>
      <c r="U69" s="2485"/>
      <c r="V69" s="2485"/>
      <c r="W69" s="2485"/>
      <c r="X69" s="2485"/>
      <c r="Y69" s="2485"/>
      <c r="Z69" s="2485"/>
      <c r="AA69" s="2485"/>
      <c r="AB69" s="2485"/>
      <c r="AC69" s="2485"/>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20"/>
      <c r="O70" s="2520"/>
      <c r="P70" s="2528"/>
      <c r="Q70" s="2506"/>
      <c r="R70" s="2485"/>
      <c r="S70" s="2485"/>
      <c r="T70" s="2485"/>
      <c r="U70" s="2485"/>
      <c r="V70" s="2485"/>
      <c r="W70" s="2485"/>
      <c r="X70" s="2485"/>
      <c r="Y70" s="2485"/>
      <c r="Z70" s="2485"/>
      <c r="AA70" s="2485"/>
      <c r="AB70" s="2485"/>
      <c r="AC70" s="2485"/>
    </row>
    <row r="71" spans="1:29" s="406" customFormat="1" ht="14.4" thickTop="1">
      <c r="A71" s="482"/>
      <c r="B71" s="467">
        <f>B12</f>
        <v>111</v>
      </c>
      <c r="C71" s="483"/>
      <c r="D71" s="483"/>
      <c r="E71" s="483"/>
      <c r="F71" s="483"/>
      <c r="G71" s="483"/>
      <c r="H71" s="484"/>
      <c r="I71" s="484"/>
      <c r="J71" s="484"/>
      <c r="K71" s="484"/>
      <c r="L71" s="485"/>
      <c r="M71" s="486"/>
      <c r="N71" s="2521"/>
      <c r="O71" s="2521"/>
      <c r="P71" s="2529"/>
      <c r="Q71" s="2513"/>
      <c r="R71" s="2491"/>
      <c r="S71" s="2491"/>
      <c r="T71" s="2491"/>
      <c r="U71" s="2491"/>
      <c r="V71" s="2491"/>
      <c r="W71" s="2491"/>
      <c r="X71" s="2491"/>
      <c r="Y71" s="2491"/>
      <c r="Z71" s="2491"/>
      <c r="AA71" s="2491"/>
      <c r="AB71" s="2491"/>
      <c r="AC71" s="2491"/>
    </row>
    <row r="72" spans="1:29" s="406" customFormat="1" ht="14.4" thickBot="1">
      <c r="A72" s="482"/>
      <c r="B72" s="472"/>
      <c r="C72" s="489"/>
      <c r="D72" s="465"/>
      <c r="E72" s="465"/>
      <c r="F72" s="465"/>
      <c r="G72" s="465"/>
      <c r="H72" s="465"/>
      <c r="I72" s="465"/>
      <c r="J72" s="465"/>
      <c r="K72" s="465"/>
      <c r="L72" s="465"/>
      <c r="M72" s="466"/>
      <c r="N72" s="2520"/>
      <c r="O72" s="2520"/>
      <c r="P72" s="2529"/>
      <c r="Q72" s="2513"/>
      <c r="R72" s="2491"/>
      <c r="S72" s="2491"/>
      <c r="T72" s="2491"/>
      <c r="U72" s="2491"/>
      <c r="V72" s="2491"/>
      <c r="W72" s="2491"/>
      <c r="X72" s="2491"/>
      <c r="Y72" s="2491"/>
      <c r="Z72" s="2491"/>
      <c r="AA72" s="2491"/>
      <c r="AB72" s="2491"/>
      <c r="AC72" s="2491"/>
    </row>
    <row r="73" spans="1:29" s="406" customFormat="1" ht="14.4" thickTop="1">
      <c r="A73" s="482"/>
      <c r="B73" s="467">
        <f>B13</f>
        <v>111</v>
      </c>
      <c r="C73" s="483"/>
      <c r="D73" s="483"/>
      <c r="E73" s="483"/>
      <c r="F73" s="483"/>
      <c r="G73" s="483"/>
      <c r="H73" s="484"/>
      <c r="I73" s="484"/>
      <c r="J73" s="484"/>
      <c r="K73" s="484"/>
      <c r="L73" s="485"/>
      <c r="M73" s="486"/>
      <c r="N73" s="2521"/>
      <c r="O73" s="2521"/>
      <c r="P73" s="2530"/>
      <c r="Q73" s="2515"/>
      <c r="R73" s="2491"/>
      <c r="S73" s="2491"/>
      <c r="T73" s="2491"/>
      <c r="U73" s="2491"/>
      <c r="V73" s="2491"/>
      <c r="W73" s="2491"/>
      <c r="X73" s="2491"/>
      <c r="Y73" s="2491"/>
      <c r="Z73" s="2491"/>
      <c r="AA73" s="2491"/>
      <c r="AB73" s="2491"/>
      <c r="AC73" s="2491"/>
    </row>
    <row r="74" spans="1:29" s="406" customFormat="1" ht="14.4" thickBot="1">
      <c r="A74" s="482"/>
      <c r="B74" s="472"/>
      <c r="C74" s="489"/>
      <c r="D74" s="489"/>
      <c r="E74" s="489"/>
      <c r="F74" s="489"/>
      <c r="G74" s="489"/>
      <c r="H74" s="491"/>
      <c r="I74" s="491"/>
      <c r="J74" s="491"/>
      <c r="K74" s="491"/>
      <c r="L74" s="491"/>
      <c r="M74" s="492"/>
      <c r="N74" s="2521"/>
      <c r="O74" s="2521"/>
      <c r="P74" s="2529"/>
      <c r="Q74" s="2513"/>
      <c r="R74" s="2491"/>
      <c r="S74" s="2491"/>
      <c r="T74" s="2491"/>
      <c r="U74" s="2491"/>
      <c r="V74" s="2491"/>
      <c r="W74" s="2491"/>
      <c r="X74" s="2491"/>
      <c r="Y74" s="2491"/>
      <c r="Z74" s="2491"/>
      <c r="AA74" s="2491"/>
      <c r="AB74" s="2491"/>
      <c r="AC74" s="2491"/>
    </row>
    <row r="75" spans="1:29" s="406" customFormat="1" ht="14.4" thickTop="1">
      <c r="A75" s="482"/>
      <c r="B75" s="475">
        <f>B14</f>
        <v>111</v>
      </c>
      <c r="C75" s="31"/>
      <c r="D75" s="31"/>
      <c r="E75" s="31"/>
      <c r="F75" s="31"/>
      <c r="G75" s="31"/>
      <c r="H75" s="493"/>
      <c r="I75" s="493"/>
      <c r="J75" s="493"/>
      <c r="K75" s="493"/>
      <c r="L75" s="494"/>
      <c r="M75" s="495"/>
      <c r="N75" s="2521"/>
      <c r="O75" s="2521"/>
      <c r="P75" s="2531"/>
      <c r="Q75" s="2513"/>
      <c r="R75" s="2491"/>
      <c r="S75" s="2491"/>
      <c r="T75" s="2491"/>
      <c r="U75" s="2491"/>
      <c r="V75" s="2491"/>
      <c r="W75" s="2491"/>
      <c r="X75" s="2491"/>
      <c r="Y75" s="2491"/>
      <c r="Z75" s="2491"/>
      <c r="AA75" s="2491"/>
      <c r="AB75" s="2491"/>
      <c r="AC75" s="2491"/>
    </row>
    <row r="76" spans="1:29" s="406" customFormat="1" ht="14.4" thickBot="1">
      <c r="A76" s="497"/>
      <c r="B76" s="498"/>
      <c r="C76" s="499"/>
      <c r="D76" s="499"/>
      <c r="E76" s="499"/>
      <c r="F76" s="499"/>
      <c r="G76" s="499"/>
      <c r="H76" s="500"/>
      <c r="I76" s="500"/>
      <c r="J76" s="500"/>
      <c r="K76" s="500"/>
      <c r="L76" s="500"/>
      <c r="M76" s="501"/>
      <c r="N76" s="2521"/>
      <c r="O76" s="2521"/>
      <c r="P76" s="2529"/>
      <c r="Q76" s="2513"/>
      <c r="R76" s="2491"/>
      <c r="S76" s="2491"/>
      <c r="T76" s="2491"/>
      <c r="U76" s="2491"/>
      <c r="V76" s="2491"/>
      <c r="W76" s="2491"/>
      <c r="X76" s="2491"/>
      <c r="Y76" s="2491"/>
      <c r="Z76" s="2491"/>
      <c r="AA76" s="2491"/>
      <c r="AB76" s="2491"/>
      <c r="AC76" s="2491"/>
    </row>
    <row r="77" spans="1:29" ht="14.4">
      <c r="A77" s="377" t="s">
        <v>1690</v>
      </c>
      <c r="B77" s="458" t="s">
        <v>1821</v>
      </c>
      <c r="C77" s="502" t="s">
        <v>1721</v>
      </c>
      <c r="D77" s="502" t="s">
        <v>1722</v>
      </c>
      <c r="E77" s="502" t="s">
        <v>1723</v>
      </c>
      <c r="F77" s="502" t="s">
        <v>1724</v>
      </c>
      <c r="G77" s="502" t="s">
        <v>1725</v>
      </c>
      <c r="H77" s="459"/>
      <c r="I77" s="459"/>
      <c r="J77" s="459"/>
      <c r="K77" s="503"/>
      <c r="L77" s="504"/>
      <c r="M77" s="505"/>
      <c r="N77" s="2519"/>
      <c r="O77" s="2519"/>
      <c r="P77" s="2532"/>
      <c r="Q77" s="2506"/>
      <c r="R77" s="2485"/>
      <c r="S77" s="2485"/>
      <c r="T77" s="2485"/>
      <c r="U77" s="2485"/>
      <c r="V77" s="2485"/>
      <c r="W77" s="2485"/>
      <c r="X77" s="2485"/>
      <c r="Y77" s="2485"/>
      <c r="Z77" s="2485"/>
      <c r="AA77" s="2485"/>
      <c r="AB77" s="2485"/>
      <c r="AC77" s="2485"/>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20"/>
      <c r="O78" s="2520"/>
      <c r="P78" s="2528"/>
      <c r="Q78" s="2506"/>
      <c r="R78" s="2485"/>
      <c r="S78" s="2485"/>
      <c r="T78" s="2485"/>
      <c r="U78" s="2485"/>
      <c r="V78" s="2485"/>
      <c r="W78" s="2485"/>
      <c r="X78" s="2485"/>
      <c r="Y78" s="2485"/>
      <c r="Z78" s="2485"/>
      <c r="AA78" s="2485"/>
      <c r="AB78" s="2485"/>
      <c r="AC78" s="2485"/>
    </row>
    <row r="79" spans="1:29" ht="15" thickTop="1">
      <c r="A79" s="365"/>
      <c r="B79" s="467" t="s">
        <v>1726</v>
      </c>
      <c r="C79" s="507" t="s">
        <v>1721</v>
      </c>
      <c r="D79" s="507" t="s">
        <v>1722</v>
      </c>
      <c r="E79" s="507" t="s">
        <v>1723</v>
      </c>
      <c r="F79" s="507" t="s">
        <v>1724</v>
      </c>
      <c r="G79" s="507" t="s">
        <v>1725</v>
      </c>
      <c r="H79" s="468"/>
      <c r="I79" s="468"/>
      <c r="J79" s="468"/>
      <c r="K79" s="469"/>
      <c r="L79" s="470"/>
      <c r="M79" s="471"/>
      <c r="N79" s="2519"/>
      <c r="O79" s="2519"/>
      <c r="P79" s="2528"/>
      <c r="Q79" s="2506"/>
      <c r="R79" s="2485"/>
      <c r="S79" s="2485"/>
      <c r="T79" s="2485"/>
      <c r="U79" s="2485"/>
      <c r="V79" s="2485"/>
      <c r="W79" s="2485"/>
      <c r="X79" s="2485"/>
      <c r="Y79" s="2485"/>
      <c r="Z79" s="2485"/>
      <c r="AA79" s="2485"/>
      <c r="AB79" s="2485"/>
      <c r="AC79" s="2485"/>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20"/>
      <c r="O80" s="2520"/>
      <c r="P80" s="2528"/>
      <c r="Q80" s="2506"/>
      <c r="R80" s="2485"/>
      <c r="S80" s="2485"/>
      <c r="T80" s="2485"/>
      <c r="U80" s="2485"/>
      <c r="V80" s="2485"/>
      <c r="W80" s="2485"/>
      <c r="X80" s="2485"/>
      <c r="Y80" s="2485"/>
      <c r="Z80" s="2485"/>
      <c r="AA80" s="2485"/>
      <c r="AB80" s="2485"/>
      <c r="AC80" s="2485"/>
    </row>
    <row r="81" spans="1:29" ht="15" thickTop="1">
      <c r="A81" s="365"/>
      <c r="B81" s="467" t="s">
        <v>1727</v>
      </c>
      <c r="C81" s="507" t="s">
        <v>1721</v>
      </c>
      <c r="D81" s="507" t="s">
        <v>1722</v>
      </c>
      <c r="E81" s="507" t="s">
        <v>1723</v>
      </c>
      <c r="F81" s="507" t="s">
        <v>1724</v>
      </c>
      <c r="G81" s="507" t="s">
        <v>1725</v>
      </c>
      <c r="H81" s="468"/>
      <c r="I81" s="468"/>
      <c r="J81" s="468"/>
      <c r="K81" s="469"/>
      <c r="L81" s="470"/>
      <c r="M81" s="471"/>
      <c r="N81" s="2519"/>
      <c r="O81" s="2519"/>
      <c r="P81" s="2528"/>
      <c r="Q81" s="2506"/>
      <c r="R81" s="2485"/>
      <c r="S81" s="2485"/>
      <c r="T81" s="2485"/>
      <c r="U81" s="2485"/>
      <c r="V81" s="2485"/>
      <c r="W81" s="2485"/>
      <c r="X81" s="2485"/>
      <c r="Y81" s="2485"/>
      <c r="Z81" s="2485"/>
      <c r="AA81" s="2485"/>
      <c r="AB81" s="2485"/>
      <c r="AC81" s="2485"/>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20"/>
      <c r="O82" s="2520"/>
      <c r="P82" s="2528"/>
      <c r="Q82" s="2506"/>
      <c r="R82" s="2485"/>
      <c r="S82" s="2485"/>
      <c r="T82" s="2485"/>
      <c r="U82" s="2485"/>
      <c r="V82" s="2485"/>
      <c r="W82" s="2485"/>
      <c r="X82" s="2485"/>
      <c r="Y82" s="2485"/>
      <c r="Z82" s="2485"/>
      <c r="AA82" s="2485"/>
      <c r="AB82" s="2485"/>
      <c r="AC82" s="2485"/>
    </row>
    <row r="83" spans="1:29" ht="15" thickTop="1">
      <c r="A83" s="365"/>
      <c r="B83" s="475" t="s">
        <v>1813</v>
      </c>
      <c r="C83" s="579" t="s">
        <v>1799</v>
      </c>
      <c r="D83" s="579" t="s">
        <v>1800</v>
      </c>
      <c r="E83" s="579" t="s">
        <v>1801</v>
      </c>
      <c r="F83" s="579" t="s">
        <v>1802</v>
      </c>
      <c r="G83" s="579" t="s">
        <v>1803</v>
      </c>
      <c r="H83" s="468"/>
      <c r="I83" s="468"/>
      <c r="J83" s="468"/>
      <c r="K83" s="468"/>
      <c r="L83" s="468"/>
      <c r="M83" s="1061"/>
      <c r="N83" s="2520"/>
      <c r="O83" s="2520"/>
      <c r="P83" s="2528"/>
      <c r="Q83" s="2506"/>
      <c r="R83" s="2485"/>
      <c r="S83" s="2485"/>
      <c r="T83" s="2485"/>
      <c r="U83" s="2485"/>
      <c r="V83" s="2485"/>
      <c r="W83" s="2485"/>
      <c r="X83" s="2485"/>
      <c r="Y83" s="2485"/>
      <c r="Z83" s="2485"/>
      <c r="AA83" s="2485"/>
      <c r="AB83" s="2485"/>
      <c r="AC83" s="2485"/>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20"/>
      <c r="O84" s="2520"/>
      <c r="P84" s="2528"/>
      <c r="Q84" s="2506"/>
      <c r="R84" s="2485"/>
      <c r="S84" s="2485"/>
      <c r="T84" s="2485"/>
      <c r="U84" s="2485"/>
      <c r="V84" s="2485"/>
      <c r="W84" s="2485"/>
      <c r="X84" s="2485"/>
      <c r="Y84" s="2485"/>
      <c r="Z84" s="2485"/>
      <c r="AA84" s="2485"/>
      <c r="AB84" s="2485"/>
      <c r="AC84" s="2485"/>
    </row>
    <row r="85" spans="1:29" ht="15" thickTop="1">
      <c r="A85" s="365"/>
      <c r="B85" s="467" t="s">
        <v>1822</v>
      </c>
      <c r="C85" s="507" t="s">
        <v>1721</v>
      </c>
      <c r="D85" s="507" t="s">
        <v>1722</v>
      </c>
      <c r="E85" s="507" t="s">
        <v>1723</v>
      </c>
      <c r="F85" s="507" t="s">
        <v>1724</v>
      </c>
      <c r="G85" s="507" t="s">
        <v>1725</v>
      </c>
      <c r="H85" s="468"/>
      <c r="I85" s="468"/>
      <c r="J85" s="468"/>
      <c r="K85" s="469"/>
      <c r="L85" s="470"/>
      <c r="M85" s="471"/>
      <c r="N85" s="2519"/>
      <c r="O85" s="2519"/>
      <c r="P85" s="2528"/>
      <c r="Q85" s="2506"/>
      <c r="R85" s="2485"/>
      <c r="S85" s="2485"/>
      <c r="T85" s="2485"/>
      <c r="U85" s="2485"/>
      <c r="V85" s="2485"/>
      <c r="W85" s="2485"/>
      <c r="X85" s="2485"/>
      <c r="Y85" s="2485"/>
      <c r="Z85" s="2485"/>
      <c r="AA85" s="2485"/>
      <c r="AB85" s="2485"/>
      <c r="AC85" s="2485"/>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20"/>
      <c r="O86" s="2520"/>
      <c r="P86" s="2528"/>
      <c r="Q86" s="2506"/>
      <c r="R86" s="2485"/>
      <c r="S86" s="2485"/>
      <c r="T86" s="2485"/>
      <c r="U86" s="2485"/>
      <c r="V86" s="2485"/>
      <c r="W86" s="2485"/>
      <c r="X86" s="2485"/>
      <c r="Y86" s="2485"/>
      <c r="Z86" s="2485"/>
      <c r="AA86" s="2485"/>
      <c r="AB86" s="2485"/>
      <c r="AC86" s="2485"/>
    </row>
    <row r="87" spans="1:29" s="102" customFormat="1" ht="29.4" thickTop="1">
      <c r="A87" s="368"/>
      <c r="B87" s="467" t="s">
        <v>1823</v>
      </c>
      <c r="C87" s="483"/>
      <c r="D87" s="483"/>
      <c r="E87" s="483"/>
      <c r="F87" s="483"/>
      <c r="G87" s="483"/>
      <c r="H87" s="483"/>
      <c r="I87" s="483"/>
      <c r="J87" s="483"/>
      <c r="K87" s="483"/>
      <c r="L87" s="508"/>
      <c r="M87" s="509"/>
      <c r="N87" s="2518"/>
      <c r="O87" s="2518"/>
      <c r="P87" s="2528"/>
      <c r="Q87" s="2506"/>
      <c r="R87" s="2437"/>
      <c r="S87" s="2437"/>
      <c r="T87" s="2437"/>
      <c r="U87" s="2437"/>
      <c r="V87" s="2437"/>
      <c r="W87" s="2437"/>
      <c r="X87" s="2437"/>
      <c r="Y87" s="2437"/>
      <c r="Z87" s="2437"/>
      <c r="AA87" s="2437"/>
      <c r="AB87" s="2437"/>
      <c r="AC87" s="2437"/>
    </row>
    <row r="88" spans="1:29" s="102"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20"/>
      <c r="O88" s="2520"/>
      <c r="P88" s="2528"/>
      <c r="Q88" s="2506"/>
      <c r="R88" s="2437"/>
      <c r="S88" s="2437"/>
      <c r="T88" s="2437"/>
      <c r="U88" s="2437"/>
      <c r="V88" s="2437"/>
      <c r="W88" s="2437"/>
      <c r="X88" s="2437"/>
      <c r="Y88" s="2437"/>
      <c r="Z88" s="2437"/>
      <c r="AA88" s="2437"/>
      <c r="AB88" s="2437"/>
      <c r="AC88" s="2437"/>
    </row>
    <row r="89" spans="1:29" s="102" customFormat="1" ht="14.4" thickTop="1">
      <c r="A89" s="368"/>
      <c r="B89" s="467" t="str">
        <f>B27</f>
        <v>楼层</v>
      </c>
      <c r="C89" s="483"/>
      <c r="D89" s="483"/>
      <c r="E89" s="483"/>
      <c r="F89" s="1777"/>
      <c r="G89" s="483"/>
      <c r="H89" s="483"/>
      <c r="I89" s="483"/>
      <c r="J89" s="483"/>
      <c r="K89" s="483"/>
      <c r="L89" s="483"/>
      <c r="M89" s="509"/>
      <c r="N89" s="2518"/>
      <c r="O89" s="2518"/>
      <c r="P89" s="2528"/>
      <c r="Q89" s="2506"/>
      <c r="R89" s="2437"/>
      <c r="S89" s="2437"/>
      <c r="T89" s="2437"/>
      <c r="U89" s="2437"/>
      <c r="V89" s="2437"/>
      <c r="W89" s="2437"/>
      <c r="X89" s="2437"/>
      <c r="Y89" s="2437"/>
      <c r="Z89" s="2437"/>
      <c r="AA89" s="2437"/>
      <c r="AB89" s="2437"/>
      <c r="AC89" s="2437"/>
    </row>
    <row r="90" spans="1:29" s="102"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20"/>
      <c r="O90" s="2520"/>
      <c r="P90" s="2528"/>
      <c r="Q90" s="2506"/>
      <c r="R90" s="2437"/>
      <c r="S90" s="2437"/>
      <c r="T90" s="2437"/>
      <c r="U90" s="2437"/>
      <c r="V90" s="2437"/>
      <c r="W90" s="2437"/>
      <c r="X90" s="2437"/>
      <c r="Y90" s="2437"/>
      <c r="Z90" s="2437"/>
      <c r="AA90" s="2437"/>
      <c r="AB90" s="2437"/>
      <c r="AC90" s="2437"/>
    </row>
    <row r="91" spans="1:29" s="406" customFormat="1" ht="14.4" thickTop="1">
      <c r="A91" s="482"/>
      <c r="B91" s="467" t="str">
        <f>B28</f>
        <v>朝向</v>
      </c>
      <c r="C91" s="483"/>
      <c r="D91" s="483"/>
      <c r="E91" s="483"/>
      <c r="F91" s="483"/>
      <c r="G91" s="483"/>
      <c r="H91" s="484"/>
      <c r="I91" s="484"/>
      <c r="J91" s="484"/>
      <c r="K91" s="484"/>
      <c r="L91" s="485"/>
      <c r="M91" s="486"/>
      <c r="N91" s="2521"/>
      <c r="O91" s="2521"/>
      <c r="P91" s="2529"/>
      <c r="Q91" s="2513"/>
      <c r="R91" s="2491"/>
      <c r="S91" s="2491"/>
      <c r="T91" s="2491"/>
      <c r="U91" s="2491"/>
      <c r="V91" s="2491"/>
      <c r="W91" s="2491"/>
      <c r="X91" s="2491"/>
      <c r="Y91" s="2491"/>
      <c r="Z91" s="2491"/>
      <c r="AA91" s="2491"/>
      <c r="AB91" s="2491"/>
      <c r="AC91" s="2491"/>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5"/>
      <c r="B93" s="467">
        <f>B29</f>
        <v>111</v>
      </c>
      <c r="C93" s="483"/>
      <c r="D93" s="483"/>
      <c r="E93" s="483"/>
      <c r="F93" s="483"/>
      <c r="G93" s="483"/>
      <c r="H93" s="483"/>
      <c r="I93" s="483"/>
      <c r="J93" s="483"/>
      <c r="K93" s="483"/>
      <c r="L93" s="508"/>
      <c r="M93" s="509"/>
      <c r="N93" s="2519"/>
      <c r="O93" s="2519"/>
      <c r="P93" s="2528"/>
      <c r="Q93" s="2506"/>
      <c r="R93" s="2485"/>
      <c r="S93" s="2485"/>
      <c r="T93" s="2485"/>
      <c r="U93" s="2485"/>
      <c r="V93" s="2485"/>
      <c r="W93" s="2485"/>
      <c r="X93" s="2485"/>
      <c r="Y93" s="2485"/>
      <c r="Z93" s="2485"/>
      <c r="AA93" s="2485"/>
      <c r="AB93" s="2485"/>
      <c r="AC93" s="2485"/>
    </row>
    <row r="94" spans="1:29" ht="14.4" thickBot="1">
      <c r="A94" s="365"/>
      <c r="B94" s="472"/>
      <c r="C94" s="489"/>
      <c r="D94" s="465"/>
      <c r="E94" s="465"/>
      <c r="F94" s="465"/>
      <c r="G94" s="465"/>
      <c r="H94" s="465"/>
      <c r="I94" s="465"/>
      <c r="J94" s="465"/>
      <c r="K94" s="465"/>
      <c r="L94" s="465"/>
      <c r="M94" s="466"/>
      <c r="N94" s="2520"/>
      <c r="O94" s="2520"/>
      <c r="P94" s="2528"/>
      <c r="Q94" s="2506"/>
      <c r="R94" s="2485"/>
      <c r="S94" s="2485"/>
      <c r="T94" s="2485"/>
      <c r="U94" s="2485"/>
      <c r="V94" s="2485"/>
      <c r="W94" s="2485"/>
      <c r="X94" s="2485"/>
      <c r="Y94" s="2485"/>
      <c r="Z94" s="2485"/>
      <c r="AA94" s="2485"/>
      <c r="AB94" s="2485"/>
      <c r="AC94" s="2485"/>
    </row>
    <row r="95" spans="1:29" ht="14.4" thickTop="1">
      <c r="A95" s="365"/>
      <c r="B95" s="467">
        <f>B30</f>
        <v>111</v>
      </c>
      <c r="C95" s="483"/>
      <c r="D95" s="483"/>
      <c r="E95" s="483"/>
      <c r="F95" s="483"/>
      <c r="G95" s="511"/>
      <c r="H95" s="511"/>
      <c r="I95" s="511"/>
      <c r="J95" s="511"/>
      <c r="K95" s="512"/>
      <c r="L95" s="513"/>
      <c r="M95" s="514"/>
      <c r="N95" s="2519"/>
      <c r="O95" s="2519"/>
      <c r="P95" s="2528"/>
      <c r="Q95" s="2506"/>
      <c r="R95" s="2485"/>
      <c r="S95" s="2485"/>
      <c r="T95" s="2485"/>
      <c r="U95" s="2485"/>
      <c r="V95" s="2485"/>
      <c r="W95" s="2485"/>
      <c r="X95" s="2485"/>
      <c r="Y95" s="2485"/>
      <c r="Z95" s="2485"/>
      <c r="AA95" s="2485"/>
      <c r="AB95" s="2485"/>
      <c r="AC95" s="2485"/>
    </row>
    <row r="96" spans="1:29" ht="14.4" thickBot="1">
      <c r="A96" s="365"/>
      <c r="B96" s="472"/>
      <c r="C96" s="489"/>
      <c r="D96" s="489"/>
      <c r="E96" s="489"/>
      <c r="F96" s="489"/>
      <c r="G96" s="465"/>
      <c r="H96" s="465"/>
      <c r="I96" s="465"/>
      <c r="J96" s="465"/>
      <c r="K96" s="465"/>
      <c r="L96" s="465"/>
      <c r="M96" s="466"/>
      <c r="N96" s="2520"/>
      <c r="O96" s="2520"/>
      <c r="P96" s="2528"/>
      <c r="Q96" s="2506"/>
      <c r="R96" s="2485"/>
      <c r="S96" s="2485"/>
      <c r="T96" s="2485"/>
      <c r="U96" s="2485"/>
      <c r="V96" s="2485"/>
      <c r="W96" s="2485"/>
      <c r="X96" s="2485"/>
      <c r="Y96" s="2485"/>
      <c r="Z96" s="2485"/>
      <c r="AA96" s="2485"/>
      <c r="AB96" s="2485"/>
      <c r="AC96" s="2485"/>
    </row>
    <row r="97" spans="1:29" ht="14.4" thickTop="1">
      <c r="A97" s="365"/>
      <c r="B97" s="467">
        <f>B31</f>
        <v>111</v>
      </c>
      <c r="C97" s="483"/>
      <c r="D97" s="483"/>
      <c r="E97" s="483"/>
      <c r="F97" s="483"/>
      <c r="G97" s="511"/>
      <c r="H97" s="511"/>
      <c r="I97" s="511"/>
      <c r="J97" s="511"/>
      <c r="K97" s="512"/>
      <c r="L97" s="513"/>
      <c r="M97" s="514"/>
      <c r="N97" s="2519"/>
      <c r="O97" s="2519"/>
      <c r="P97" s="2528"/>
      <c r="Q97" s="2506"/>
      <c r="R97" s="2485"/>
      <c r="S97" s="2485"/>
      <c r="T97" s="2485"/>
      <c r="U97" s="2485"/>
      <c r="V97" s="2485"/>
      <c r="W97" s="2485"/>
      <c r="X97" s="2485"/>
      <c r="Y97" s="2485"/>
      <c r="Z97" s="2485"/>
      <c r="AA97" s="2485"/>
      <c r="AB97" s="2485"/>
      <c r="AC97" s="2485"/>
    </row>
    <row r="98" spans="1:29" ht="14.4" thickBot="1">
      <c r="A98" s="365"/>
      <c r="B98" s="472"/>
      <c r="C98" s="489"/>
      <c r="D98" s="465"/>
      <c r="E98" s="465"/>
      <c r="F98" s="465"/>
      <c r="G98" s="465"/>
      <c r="H98" s="465"/>
      <c r="I98" s="465"/>
      <c r="J98" s="465"/>
      <c r="K98" s="465"/>
      <c r="L98" s="465"/>
      <c r="M98" s="466"/>
      <c r="N98" s="2520"/>
      <c r="O98" s="2520"/>
      <c r="P98" s="2528"/>
      <c r="Q98" s="2506"/>
      <c r="R98" s="2485"/>
      <c r="S98" s="2485"/>
      <c r="T98" s="2485"/>
      <c r="U98" s="2485"/>
      <c r="V98" s="2485"/>
      <c r="W98" s="2485"/>
      <c r="X98" s="2485"/>
      <c r="Y98" s="2485"/>
      <c r="Z98" s="2485"/>
      <c r="AA98" s="2485"/>
      <c r="AB98" s="2485"/>
      <c r="AC98" s="2485"/>
    </row>
    <row r="99" spans="1:29" ht="14.4" thickTop="1">
      <c r="A99" s="365"/>
      <c r="B99" s="475">
        <f>B32</f>
        <v>111</v>
      </c>
      <c r="C99" s="31"/>
      <c r="D99" s="31"/>
      <c r="E99" s="31"/>
      <c r="F99" s="31"/>
      <c r="G99" s="515"/>
      <c r="H99" s="515"/>
      <c r="I99" s="515"/>
      <c r="J99" s="515"/>
      <c r="K99" s="516"/>
      <c r="L99" s="517"/>
      <c r="M99" s="518"/>
      <c r="N99" s="2519"/>
      <c r="O99" s="2519"/>
      <c r="P99" s="2528"/>
      <c r="Q99" s="2506"/>
      <c r="R99" s="2485"/>
      <c r="S99" s="2485"/>
      <c r="T99" s="2485"/>
      <c r="U99" s="2485"/>
      <c r="V99" s="2485"/>
      <c r="W99" s="2485"/>
      <c r="X99" s="2485"/>
      <c r="Y99" s="2485"/>
      <c r="Z99" s="2485"/>
      <c r="AA99" s="2485"/>
      <c r="AB99" s="2485"/>
      <c r="AC99" s="2485"/>
    </row>
    <row r="100" spans="1:29" ht="14.4" thickBot="1">
      <c r="A100" s="373"/>
      <c r="B100" s="498"/>
      <c r="C100" s="499"/>
      <c r="D100" s="499"/>
      <c r="E100" s="499"/>
      <c r="F100" s="499"/>
      <c r="G100" s="519"/>
      <c r="H100" s="519"/>
      <c r="I100" s="519"/>
      <c r="J100" s="519"/>
      <c r="K100" s="519"/>
      <c r="L100" s="519"/>
      <c r="M100" s="520"/>
      <c r="N100" s="2520"/>
      <c r="O100" s="2520"/>
      <c r="P100" s="2528"/>
      <c r="Q100" s="2506"/>
      <c r="R100" s="2485"/>
      <c r="S100" s="2485"/>
      <c r="T100" s="2485"/>
      <c r="U100" s="2485"/>
      <c r="V100" s="2485"/>
      <c r="W100" s="2485"/>
      <c r="X100" s="2485"/>
      <c r="Y100" s="2485"/>
      <c r="Z100" s="2485"/>
      <c r="AA100" s="2485"/>
      <c r="AB100" s="2485"/>
      <c r="AC100" s="2485"/>
    </row>
    <row r="101" spans="1:29" ht="14.4">
      <c r="A101" s="377" t="s">
        <v>1694</v>
      </c>
      <c r="B101" s="458" t="s">
        <v>1736</v>
      </c>
      <c r="C101" s="460"/>
      <c r="D101" s="460"/>
      <c r="E101" s="460"/>
      <c r="F101" s="460"/>
      <c r="G101" s="460"/>
      <c r="H101" s="460"/>
      <c r="I101" s="460"/>
      <c r="J101" s="460"/>
      <c r="K101" s="461"/>
      <c r="L101" s="462"/>
      <c r="M101" s="463"/>
      <c r="N101" s="2519"/>
      <c r="O101" s="2519"/>
      <c r="P101" s="2528"/>
      <c r="Q101" s="2506"/>
      <c r="R101" s="2485"/>
      <c r="S101" s="2485"/>
      <c r="T101" s="2485"/>
      <c r="U101" s="2485"/>
      <c r="V101" s="2485"/>
      <c r="W101" s="2485"/>
      <c r="X101" s="2485"/>
      <c r="Y101" s="2485"/>
      <c r="Z101" s="2485"/>
      <c r="AA101" s="2485"/>
      <c r="AB101" s="2485"/>
      <c r="AC101" s="2485"/>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6" customFormat="1">
      <c r="A104" s="404"/>
      <c r="B104" s="521"/>
      <c r="C104" s="6"/>
      <c r="D104" s="6"/>
      <c r="E104" s="6"/>
      <c r="F104" s="6"/>
      <c r="G104" s="6"/>
      <c r="H104" s="6"/>
      <c r="I104" s="6"/>
      <c r="J104" s="522"/>
      <c r="K104" s="522"/>
      <c r="L104" s="523"/>
      <c r="M104" s="524"/>
      <c r="N104" s="2521"/>
      <c r="O104" s="2521"/>
      <c r="P104" s="2529"/>
      <c r="Q104" s="2513"/>
      <c r="R104" s="2491"/>
      <c r="S104" s="2491"/>
      <c r="T104" s="2491"/>
      <c r="U104" s="2491"/>
      <c r="V104" s="2491"/>
      <c r="W104" s="2491"/>
      <c r="X104" s="2491"/>
      <c r="Y104" s="2491"/>
      <c r="Z104" s="2491"/>
      <c r="AA104" s="2491"/>
      <c r="AB104" s="2491"/>
      <c r="AC104" s="2491"/>
    </row>
    <row r="105" spans="1:29" s="406" customFormat="1" ht="14.4" thickBot="1">
      <c r="A105" s="482"/>
      <c r="B105" s="472"/>
      <c r="C105" s="489"/>
      <c r="D105" s="465"/>
      <c r="E105" s="465"/>
      <c r="F105" s="465"/>
      <c r="G105" s="465"/>
      <c r="H105" s="465"/>
      <c r="I105" s="465"/>
      <c r="J105" s="465"/>
      <c r="K105" s="465"/>
      <c r="L105" s="465"/>
      <c r="M105" s="466"/>
      <c r="N105" s="2520"/>
      <c r="O105" s="2520"/>
      <c r="P105" s="2529"/>
      <c r="Q105" s="2513"/>
      <c r="R105" s="2491"/>
      <c r="S105" s="2491"/>
      <c r="T105" s="2491"/>
      <c r="U105" s="2491"/>
      <c r="V105" s="2491"/>
      <c r="W105" s="2491"/>
      <c r="X105" s="2491"/>
      <c r="Y105" s="2491"/>
      <c r="Z105" s="2491"/>
      <c r="AA105" s="2491"/>
      <c r="AB105" s="2491"/>
      <c r="AC105" s="2491"/>
    </row>
    <row r="106" spans="1:29" ht="15" thickTop="1">
      <c r="A106" s="407"/>
      <c r="B106" s="467" t="s">
        <v>1738</v>
      </c>
      <c r="C106" s="483"/>
      <c r="D106" s="483"/>
      <c r="E106" s="511"/>
      <c r="F106" s="511"/>
      <c r="G106" s="511"/>
      <c r="H106" s="511"/>
      <c r="I106" s="511"/>
      <c r="J106" s="511"/>
      <c r="K106" s="512"/>
      <c r="L106" s="513"/>
      <c r="M106" s="514"/>
      <c r="N106" s="2519"/>
      <c r="O106" s="2519"/>
      <c r="P106" s="2528"/>
      <c r="Q106" s="2506"/>
      <c r="R106" s="2485"/>
      <c r="S106" s="2485"/>
      <c r="T106" s="2485"/>
      <c r="U106" s="2485"/>
      <c r="V106" s="2485"/>
      <c r="W106" s="2485"/>
      <c r="X106" s="2485"/>
      <c r="Y106" s="2485"/>
      <c r="Z106" s="2485"/>
      <c r="AA106" s="2485"/>
      <c r="AB106" s="2485"/>
      <c r="AC106" s="2485"/>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7"/>
      <c r="B108" s="467" t="s">
        <v>1740</v>
      </c>
      <c r="C108" s="483"/>
      <c r="D108" s="483"/>
      <c r="E108" s="483"/>
      <c r="F108" s="511"/>
      <c r="G108" s="511"/>
      <c r="H108" s="511"/>
      <c r="I108" s="511"/>
      <c r="J108" s="511"/>
      <c r="K108" s="512"/>
      <c r="L108" s="513"/>
      <c r="M108" s="514"/>
      <c r="N108" s="2519"/>
      <c r="O108" s="2519"/>
      <c r="P108" s="2528"/>
      <c r="Q108" s="2506"/>
      <c r="R108" s="2485"/>
      <c r="S108" s="2485"/>
      <c r="T108" s="2485"/>
      <c r="U108" s="2485"/>
      <c r="V108" s="2485"/>
      <c r="W108" s="2485"/>
      <c r="X108" s="2485"/>
      <c r="Y108" s="2485"/>
      <c r="Z108" s="2485"/>
      <c r="AA108" s="2485"/>
      <c r="AB108" s="2485"/>
      <c r="AC108" s="2485"/>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9"/>
      <c r="O110" s="2519"/>
      <c r="P110" s="2528"/>
      <c r="Q110" s="2506"/>
      <c r="R110" s="2485"/>
      <c r="S110" s="2485"/>
      <c r="T110" s="2485"/>
      <c r="U110" s="2485"/>
      <c r="V110" s="2485"/>
      <c r="W110" s="2485"/>
      <c r="X110" s="2485"/>
      <c r="Y110" s="2485"/>
      <c r="Z110" s="2485"/>
      <c r="AA110" s="2485"/>
      <c r="AB110" s="2485"/>
      <c r="AC110" s="2485"/>
    </row>
    <row r="111" spans="1:29">
      <c r="A111" s="407"/>
      <c r="B111" s="475"/>
      <c r="C111" s="528">
        <v>0.5</v>
      </c>
      <c r="D111" s="528">
        <v>0.6</v>
      </c>
      <c r="E111" s="528">
        <v>0.7</v>
      </c>
      <c r="F111" s="528">
        <v>0.8</v>
      </c>
      <c r="G111" s="528">
        <v>0.9</v>
      </c>
      <c r="H111" s="528">
        <v>1.0001</v>
      </c>
      <c r="I111" s="546"/>
      <c r="J111" s="546"/>
      <c r="K111" s="547"/>
      <c r="L111" s="548"/>
      <c r="M111" s="549"/>
      <c r="N111" s="2519"/>
      <c r="O111" s="2519"/>
      <c r="P111" s="2528"/>
      <c r="Q111" s="2506"/>
      <c r="R111" s="2485"/>
      <c r="S111" s="2485"/>
      <c r="T111" s="2485"/>
      <c r="U111" s="2485"/>
      <c r="V111" s="2485"/>
      <c r="W111" s="2485"/>
      <c r="X111" s="2485"/>
      <c r="Y111" s="2485"/>
      <c r="Z111" s="2485"/>
      <c r="AA111" s="2485"/>
      <c r="AB111" s="2485"/>
      <c r="AC111" s="2485"/>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20"/>
      <c r="O112" s="2520"/>
      <c r="P112" s="2528"/>
      <c r="Q112" s="2506"/>
      <c r="R112" s="2485"/>
      <c r="S112" s="2485"/>
      <c r="T112" s="2485"/>
      <c r="U112" s="2485"/>
      <c r="V112" s="2485"/>
      <c r="W112" s="2485"/>
      <c r="X112" s="2485"/>
      <c r="Y112" s="2485"/>
      <c r="Z112" s="2485"/>
      <c r="AA112" s="2485"/>
      <c r="AB112" s="2485"/>
      <c r="AC112" s="2485"/>
    </row>
    <row r="113" spans="1:29" s="406" customFormat="1" ht="15" thickTop="1">
      <c r="A113" s="404"/>
      <c r="B113" s="467" t="s">
        <v>1824</v>
      </c>
      <c r="C113" s="483"/>
      <c r="D113" s="483"/>
      <c r="E113" s="483"/>
      <c r="F113" s="483"/>
      <c r="G113" s="483"/>
      <c r="H113" s="511"/>
      <c r="I113" s="511"/>
      <c r="J113" s="511"/>
      <c r="K113" s="512"/>
      <c r="L113" s="513"/>
      <c r="M113" s="514"/>
      <c r="N113" s="2521"/>
      <c r="O113" s="2521"/>
      <c r="P113" s="2529"/>
      <c r="Q113" s="2513"/>
      <c r="R113" s="2491"/>
      <c r="S113" s="2491"/>
      <c r="T113" s="2491"/>
      <c r="U113" s="2491"/>
      <c r="V113" s="2491"/>
      <c r="W113" s="2491"/>
      <c r="X113" s="2491"/>
      <c r="Y113" s="2491"/>
      <c r="Z113" s="2491"/>
      <c r="AA113" s="2491"/>
      <c r="AB113" s="2491"/>
      <c r="AC113" s="2491"/>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7"/>
      <c r="B115" s="467" t="s">
        <v>1741</v>
      </c>
      <c r="C115" s="483"/>
      <c r="D115" s="483"/>
      <c r="E115" s="511"/>
      <c r="F115" s="511"/>
      <c r="G115" s="511"/>
      <c r="H115" s="511"/>
      <c r="I115" s="511"/>
      <c r="J115" s="511"/>
      <c r="K115" s="512"/>
      <c r="L115" s="513"/>
      <c r="M115" s="514"/>
      <c r="N115" s="2519"/>
      <c r="O115" s="2519"/>
      <c r="P115" s="2528"/>
      <c r="Q115" s="2506"/>
      <c r="R115" s="2485"/>
      <c r="S115" s="2485"/>
      <c r="T115" s="2485"/>
      <c r="U115" s="2485"/>
      <c r="V115" s="2485"/>
      <c r="W115" s="2485"/>
      <c r="X115" s="2485"/>
      <c r="Y115" s="2485"/>
      <c r="Z115" s="2485"/>
      <c r="AA115" s="2485"/>
      <c r="AB115" s="2485"/>
      <c r="AC115" s="2485"/>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7"/>
      <c r="B117" s="467" t="s">
        <v>1742</v>
      </c>
      <c r="C117" s="483"/>
      <c r="D117" s="483"/>
      <c r="E117" s="483"/>
      <c r="F117" s="483"/>
      <c r="G117" s="483"/>
      <c r="H117" s="511"/>
      <c r="I117" s="511"/>
      <c r="J117" s="511"/>
      <c r="K117" s="512"/>
      <c r="L117" s="513"/>
      <c r="M117" s="514"/>
      <c r="N117" s="2519"/>
      <c r="O117" s="2519"/>
      <c r="P117" s="2528"/>
      <c r="Q117" s="2506"/>
      <c r="R117" s="2485"/>
      <c r="S117" s="2485"/>
      <c r="T117" s="2485"/>
      <c r="U117" s="2485"/>
      <c r="V117" s="2485"/>
      <c r="W117" s="2485"/>
      <c r="X117" s="2485"/>
      <c r="Y117" s="2485"/>
      <c r="Z117" s="2485"/>
      <c r="AA117" s="2485"/>
      <c r="AB117" s="2485"/>
      <c r="AC117" s="2485"/>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20"/>
      <c r="O118" s="2520"/>
      <c r="P118" s="2528"/>
      <c r="Q118" s="2506"/>
      <c r="R118" s="2485"/>
      <c r="S118" s="2485"/>
      <c r="T118" s="2485"/>
      <c r="U118" s="2485"/>
      <c r="V118" s="2485"/>
      <c r="W118" s="2485"/>
      <c r="X118" s="2485"/>
      <c r="Y118" s="2485"/>
      <c r="Z118" s="2485"/>
      <c r="AA118" s="2485"/>
      <c r="AB118" s="2485"/>
      <c r="AC118" s="2485"/>
    </row>
    <row r="119" spans="1:29" ht="15" thickTop="1">
      <c r="A119" s="407"/>
      <c r="B119" s="558" t="s">
        <v>1825</v>
      </c>
      <c r="C119" s="511"/>
      <c r="D119" s="511"/>
      <c r="E119" s="511"/>
      <c r="F119" s="511"/>
      <c r="G119" s="511"/>
      <c r="H119" s="511"/>
      <c r="I119" s="511"/>
      <c r="J119" s="511"/>
      <c r="K119" s="511"/>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20"/>
      <c r="O120" s="2520"/>
      <c r="P120" s="2528"/>
      <c r="Q120" s="2506"/>
      <c r="R120" s="2485"/>
      <c r="S120" s="2485"/>
      <c r="T120" s="2485"/>
      <c r="U120" s="2485"/>
      <c r="V120" s="2485"/>
      <c r="W120" s="2485"/>
      <c r="X120" s="2485"/>
      <c r="Y120" s="2485"/>
      <c r="Z120" s="2485"/>
      <c r="AA120" s="2485"/>
      <c r="AB120" s="2485"/>
      <c r="AC120" s="2485"/>
    </row>
    <row r="121" spans="1:29" s="406" customFormat="1" ht="15" thickTop="1">
      <c r="A121" s="404"/>
      <c r="B121" s="467" t="s">
        <v>1808</v>
      </c>
      <c r="C121" s="483"/>
      <c r="D121" s="483"/>
      <c r="E121" s="483"/>
      <c r="F121" s="511"/>
      <c r="G121" s="484"/>
      <c r="H121" s="484"/>
      <c r="I121" s="484"/>
      <c r="J121" s="484"/>
      <c r="K121" s="484"/>
      <c r="L121" s="485"/>
      <c r="M121" s="486"/>
      <c r="N121" s="2521"/>
      <c r="O121" s="2521"/>
      <c r="P121" s="2529"/>
      <c r="Q121" s="2513"/>
      <c r="R121" s="2491"/>
      <c r="S121" s="2491"/>
      <c r="T121" s="2491"/>
      <c r="U121" s="2491"/>
      <c r="V121" s="2491"/>
      <c r="W121" s="2491"/>
      <c r="X121" s="2491"/>
      <c r="Y121" s="2491"/>
      <c r="Z121" s="2491"/>
      <c r="AA121" s="2491"/>
      <c r="AB121" s="2491"/>
      <c r="AC121" s="2491"/>
    </row>
    <row r="122" spans="1:29" s="406" customFormat="1" ht="14.4" thickBot="1">
      <c r="A122" s="482"/>
      <c r="B122" s="464"/>
      <c r="C122" s="489"/>
      <c r="D122" s="489"/>
      <c r="E122" s="489"/>
      <c r="F122" s="489"/>
      <c r="G122" s="489"/>
      <c r="H122" s="489"/>
      <c r="I122" s="489"/>
      <c r="J122" s="489"/>
      <c r="K122" s="489"/>
      <c r="L122" s="489"/>
      <c r="M122" s="489"/>
      <c r="N122" s="2521"/>
      <c r="O122" s="2521"/>
      <c r="P122" s="2529"/>
      <c r="Q122" s="2513"/>
      <c r="R122" s="2491"/>
      <c r="S122" s="2491"/>
      <c r="T122" s="2491"/>
      <c r="U122" s="2491"/>
      <c r="V122" s="2491"/>
      <c r="W122" s="2491"/>
      <c r="X122" s="2491"/>
      <c r="Y122" s="2491"/>
      <c r="Z122" s="2491"/>
      <c r="AA122" s="2491"/>
      <c r="AB122" s="2491"/>
      <c r="AC122" s="2491"/>
    </row>
    <row r="123" spans="1:29" ht="15" thickTop="1">
      <c r="A123" s="407"/>
      <c r="B123" s="467" t="s">
        <v>1744</v>
      </c>
      <c r="C123" s="483"/>
      <c r="D123" s="483"/>
      <c r="E123" s="483"/>
      <c r="F123" s="511"/>
      <c r="G123" s="511"/>
      <c r="H123" s="511"/>
      <c r="I123" s="511"/>
      <c r="J123" s="511"/>
      <c r="K123" s="512"/>
      <c r="L123" s="513"/>
      <c r="M123" s="514"/>
      <c r="N123" s="2519"/>
      <c r="O123" s="2519"/>
      <c r="P123" s="2528"/>
      <c r="Q123" s="2506"/>
      <c r="R123" s="2485"/>
      <c r="S123" s="2485"/>
      <c r="T123" s="2485"/>
      <c r="U123" s="2485"/>
      <c r="V123" s="2485"/>
      <c r="W123" s="2485"/>
      <c r="X123" s="2485"/>
      <c r="Y123" s="2485"/>
      <c r="Z123" s="2485"/>
      <c r="AA123" s="2485"/>
      <c r="AB123" s="2485"/>
      <c r="AC123" s="2485"/>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9"/>
      <c r="O125" s="2519"/>
      <c r="P125" s="2529"/>
      <c r="Q125" s="2506"/>
      <c r="R125" s="2485"/>
      <c r="S125" s="2485"/>
      <c r="T125" s="2485"/>
      <c r="U125" s="2485"/>
      <c r="V125" s="2485"/>
      <c r="W125" s="2485"/>
      <c r="X125" s="2485"/>
      <c r="Y125" s="2485"/>
      <c r="Z125" s="2485"/>
      <c r="AA125" s="2485"/>
      <c r="AB125" s="2485"/>
      <c r="AC125" s="2485"/>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20"/>
      <c r="O126" s="2520"/>
      <c r="P126" s="2528"/>
      <c r="Q126" s="2506"/>
      <c r="R126" s="2485"/>
      <c r="S126" s="2485"/>
      <c r="T126" s="2485"/>
      <c r="U126" s="2485"/>
      <c r="V126" s="2485"/>
      <c r="W126" s="2485"/>
      <c r="X126" s="2485"/>
      <c r="Y126" s="2485"/>
      <c r="Z126" s="2485"/>
      <c r="AA126" s="2485"/>
      <c r="AB126" s="2485"/>
      <c r="AC126" s="2485"/>
    </row>
    <row r="127" spans="1:29" s="406" customFormat="1" ht="14.4" thickTop="1">
      <c r="A127" s="404"/>
      <c r="B127" s="467">
        <f>B45</f>
        <v>111</v>
      </c>
      <c r="C127" s="483"/>
      <c r="D127" s="483"/>
      <c r="E127" s="483"/>
      <c r="F127" s="483"/>
      <c r="G127" s="483"/>
      <c r="H127" s="484"/>
      <c r="I127" s="484"/>
      <c r="J127" s="484"/>
      <c r="K127" s="484"/>
      <c r="L127" s="485"/>
      <c r="M127" s="486"/>
      <c r="N127" s="2521"/>
      <c r="O127" s="2521"/>
      <c r="P127" s="2529"/>
      <c r="Q127" s="2513"/>
      <c r="R127" s="2491"/>
      <c r="S127" s="2491"/>
      <c r="T127" s="2491"/>
      <c r="U127" s="2491"/>
      <c r="V127" s="2491"/>
      <c r="W127" s="2491"/>
      <c r="X127" s="2491"/>
      <c r="Y127" s="2491"/>
      <c r="Z127" s="2491"/>
      <c r="AA127" s="2491"/>
      <c r="AB127" s="2491"/>
      <c r="AC127" s="2491"/>
    </row>
    <row r="128" spans="1:29" s="406" customFormat="1" ht="14.4" thickBot="1">
      <c r="A128" s="482"/>
      <c r="B128" s="472"/>
      <c r="C128" s="489"/>
      <c r="D128" s="465"/>
      <c r="E128" s="465"/>
      <c r="F128" s="465"/>
      <c r="G128" s="489"/>
      <c r="H128" s="491"/>
      <c r="I128" s="491"/>
      <c r="J128" s="491"/>
      <c r="K128" s="491"/>
      <c r="L128" s="491"/>
      <c r="M128" s="492"/>
      <c r="N128" s="2521"/>
      <c r="O128" s="2521"/>
      <c r="P128" s="2529"/>
      <c r="Q128" s="2513"/>
      <c r="R128" s="2491"/>
      <c r="S128" s="2491"/>
      <c r="T128" s="2491"/>
      <c r="U128" s="2491"/>
      <c r="V128" s="2491"/>
      <c r="W128" s="2491"/>
      <c r="X128" s="2491"/>
      <c r="Y128" s="2491"/>
      <c r="Z128" s="2491"/>
      <c r="AA128" s="2491"/>
      <c r="AB128" s="2491"/>
      <c r="AC128" s="2491"/>
    </row>
    <row r="129" spans="1:29" ht="14.4" thickTop="1">
      <c r="A129" s="407"/>
      <c r="B129" s="467">
        <f>B46</f>
        <v>111</v>
      </c>
      <c r="C129" s="483"/>
      <c r="D129" s="483"/>
      <c r="E129" s="483"/>
      <c r="F129" s="483"/>
      <c r="G129" s="511"/>
      <c r="H129" s="511"/>
      <c r="I129" s="511"/>
      <c r="J129" s="511"/>
      <c r="K129" s="512"/>
      <c r="L129" s="513"/>
      <c r="M129" s="514"/>
      <c r="N129" s="2519"/>
      <c r="O129" s="2519"/>
      <c r="P129" s="2528"/>
      <c r="Q129" s="2506"/>
      <c r="R129" s="2485"/>
      <c r="S129" s="2485"/>
      <c r="T129" s="2485"/>
      <c r="U129" s="2485"/>
      <c r="V129" s="2485"/>
      <c r="W129" s="2485"/>
      <c r="X129" s="2485"/>
      <c r="Y129" s="2485"/>
      <c r="Z129" s="2485"/>
      <c r="AA129" s="2485"/>
      <c r="AB129" s="2485"/>
      <c r="AC129" s="2485"/>
    </row>
    <row r="130" spans="1:29" ht="14.4" thickBot="1">
      <c r="A130" s="365"/>
      <c r="B130" s="472"/>
      <c r="C130" s="489"/>
      <c r="D130" s="489"/>
      <c r="E130" s="489"/>
      <c r="F130" s="489"/>
      <c r="G130" s="465"/>
      <c r="H130" s="465"/>
      <c r="I130" s="465"/>
      <c r="J130" s="465"/>
      <c r="K130" s="465"/>
      <c r="L130" s="465"/>
      <c r="M130" s="466"/>
      <c r="N130" s="2520"/>
      <c r="O130" s="2520"/>
      <c r="P130" s="2528"/>
      <c r="Q130" s="2506"/>
      <c r="R130" s="2485"/>
      <c r="S130" s="2485"/>
      <c r="T130" s="2485"/>
      <c r="U130" s="2485"/>
      <c r="V130" s="2485"/>
      <c r="W130" s="2485"/>
      <c r="X130" s="2485"/>
      <c r="Y130" s="2485"/>
      <c r="Z130" s="2485"/>
      <c r="AA130" s="2485"/>
      <c r="AB130" s="2485"/>
      <c r="AC130" s="2485"/>
    </row>
    <row r="131" spans="1:29" ht="14.4" thickTop="1">
      <c r="A131" s="407"/>
      <c r="B131" s="475">
        <f>B47</f>
        <v>111</v>
      </c>
      <c r="C131" s="31"/>
      <c r="D131" s="31"/>
      <c r="E131" s="31"/>
      <c r="F131" s="31"/>
      <c r="G131" s="515"/>
      <c r="H131" s="515"/>
      <c r="I131" s="515"/>
      <c r="J131" s="515"/>
      <c r="K131" s="31"/>
      <c r="L131" s="455"/>
      <c r="M131" s="518"/>
      <c r="N131" s="2519"/>
      <c r="O131" s="2519"/>
      <c r="P131" s="2528"/>
      <c r="Q131" s="2506"/>
      <c r="R131" s="2485"/>
      <c r="S131" s="2485"/>
      <c r="T131" s="2485"/>
      <c r="U131" s="2485"/>
      <c r="V131" s="2485"/>
      <c r="W131" s="2485"/>
      <c r="X131" s="2485"/>
      <c r="Y131" s="2485"/>
      <c r="Z131" s="2485"/>
      <c r="AA131" s="2485"/>
      <c r="AB131" s="2485"/>
      <c r="AC131" s="2485"/>
    </row>
    <row r="132" spans="1:29" ht="14.4" thickBot="1">
      <c r="A132" s="373"/>
      <c r="B132" s="498"/>
      <c r="C132" s="499"/>
      <c r="D132" s="499"/>
      <c r="E132" s="499"/>
      <c r="F132" s="499"/>
      <c r="G132" s="519"/>
      <c r="H132" s="519"/>
      <c r="I132" s="519"/>
      <c r="J132" s="519"/>
      <c r="K132" s="519"/>
      <c r="L132" s="519"/>
      <c r="M132" s="520"/>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1232.79</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1769</v>
      </c>
      <c r="B4" s="344"/>
      <c r="C4" s="3448" t="s">
        <v>1770</v>
      </c>
      <c r="D4" s="3449"/>
      <c r="E4" s="3450" t="s">
        <v>1771</v>
      </c>
      <c r="F4" s="3451"/>
      <c r="G4" s="3448" t="s">
        <v>1772</v>
      </c>
      <c r="H4" s="3449"/>
      <c r="I4" s="3448" t="s">
        <v>1773</v>
      </c>
      <c r="J4" s="3449"/>
      <c r="K4" s="535" t="s">
        <v>1774</v>
      </c>
      <c r="L4" s="858"/>
      <c r="M4" s="859"/>
      <c r="N4" s="859"/>
      <c r="O4" s="859"/>
      <c r="P4" s="3452" t="s">
        <v>1775</v>
      </c>
      <c r="Q4" s="3453"/>
      <c r="R4" s="3435" t="s">
        <v>1771</v>
      </c>
      <c r="S4" s="3436"/>
      <c r="T4" s="3435" t="s">
        <v>1772</v>
      </c>
      <c r="U4" s="3436"/>
      <c r="V4" s="3460" t="s">
        <v>1773</v>
      </c>
      <c r="W4" s="3460"/>
      <c r="X4" s="1262"/>
      <c r="Y4" s="3435" t="s">
        <v>1775</v>
      </c>
      <c r="Z4" s="3436"/>
      <c r="AA4" s="3430" t="s">
        <v>1771</v>
      </c>
      <c r="AB4" s="3431" t="s">
        <v>1772</v>
      </c>
      <c r="AC4" s="3430" t="s">
        <v>1773</v>
      </c>
    </row>
    <row r="5" spans="1:29">
      <c r="A5" s="346"/>
      <c r="B5" s="347"/>
      <c r="C5" s="3441" t="s">
        <v>1673</v>
      </c>
      <c r="D5" s="3442"/>
      <c r="E5" s="3439" t="s">
        <v>1674</v>
      </c>
      <c r="F5" s="3440"/>
      <c r="G5" s="3441" t="s">
        <v>1675</v>
      </c>
      <c r="H5" s="3442"/>
      <c r="I5" s="3441" t="s">
        <v>1676</v>
      </c>
      <c r="J5" s="3442"/>
      <c r="K5" s="535"/>
      <c r="L5" s="858"/>
      <c r="M5" s="859"/>
      <c r="N5" s="859"/>
      <c r="O5" s="859"/>
      <c r="P5" s="3454"/>
      <c r="Q5" s="3455"/>
      <c r="R5" s="3437"/>
      <c r="S5" s="3438"/>
      <c r="T5" s="3437"/>
      <c r="U5" s="3438"/>
      <c r="V5" s="3460"/>
      <c r="W5" s="3460"/>
      <c r="X5" s="1262"/>
      <c r="Y5" s="3437"/>
      <c r="Z5" s="3438"/>
      <c r="AA5" s="3431"/>
      <c r="AB5" s="3431"/>
      <c r="AC5" s="3431"/>
    </row>
    <row r="6" spans="1:29" ht="15" thickBot="1">
      <c r="A6" s="348"/>
      <c r="B6" s="349"/>
      <c r="C6" s="3443" t="s">
        <v>1677</v>
      </c>
      <c r="D6" s="3444"/>
      <c r="E6" s="3445" t="s">
        <v>1677</v>
      </c>
      <c r="F6" s="3446"/>
      <c r="G6" s="3443" t="s">
        <v>1677</v>
      </c>
      <c r="H6" s="3444"/>
      <c r="I6" s="3443" t="s">
        <v>1677</v>
      </c>
      <c r="J6" s="3444"/>
      <c r="K6" s="535" t="s">
        <v>1678</v>
      </c>
      <c r="L6" s="858"/>
      <c r="M6" s="859"/>
      <c r="N6" s="859"/>
      <c r="O6" s="859"/>
      <c r="P6" s="3456"/>
      <c r="Q6" s="3457"/>
      <c r="R6" s="3437"/>
      <c r="S6" s="3438"/>
      <c r="T6" s="3458"/>
      <c r="U6" s="3459"/>
      <c r="V6" s="3460"/>
      <c r="W6" s="3460"/>
      <c r="X6" s="1262"/>
      <c r="Y6" s="3458"/>
      <c r="Z6" s="3459"/>
      <c r="AA6" s="3432"/>
      <c r="AB6" s="3432"/>
      <c r="AC6" s="3432"/>
    </row>
    <row r="7" spans="1:29" s="102" customFormat="1" ht="15" thickBot="1">
      <c r="A7" s="350" t="s">
        <v>1679</v>
      </c>
      <c r="B7" s="351"/>
      <c r="C7" s="352">
        <f>'数据-取费表'!B2</f>
        <v>45728</v>
      </c>
      <c r="D7" s="353">
        <v>100</v>
      </c>
      <c r="E7" s="354"/>
      <c r="F7" s="355">
        <f>SUMIF(52:52,YEAR(E7)&amp;"-"&amp;MONTH(E7),53:53)</f>
        <v>0</v>
      </c>
      <c r="G7" s="354"/>
      <c r="H7" s="353">
        <f>SUMIF(52:52,YEAR(G7)&amp;"-"&amp;MONTH(G7),53:53)</f>
        <v>0</v>
      </c>
      <c r="I7" s="354"/>
      <c r="J7" s="353">
        <f>SUMIF(52:52,YEAR(I7)&amp;"-"&amp;MONTH(I7),53:53)</f>
        <v>0</v>
      </c>
      <c r="K7" s="38"/>
      <c r="L7" s="860"/>
      <c r="M7" s="861"/>
      <c r="N7" s="861"/>
      <c r="O7" s="861"/>
      <c r="P7" s="3433" t="s">
        <v>1680</v>
      </c>
      <c r="Q7" s="3461"/>
      <c r="R7" s="662" t="s">
        <v>14</v>
      </c>
      <c r="S7" s="663">
        <f t="shared" ref="S7:S15" si="0">F7</f>
        <v>0</v>
      </c>
      <c r="T7" s="662" t="s">
        <v>14</v>
      </c>
      <c r="U7" s="663">
        <f t="shared" ref="U7:U15" si="1">H7</f>
        <v>0</v>
      </c>
      <c r="V7" s="662" t="s">
        <v>14</v>
      </c>
      <c r="W7" s="663">
        <f t="shared" ref="W7:W15" si="2">J7</f>
        <v>0</v>
      </c>
      <c r="X7" s="664"/>
      <c r="Y7" s="3433" t="s">
        <v>1680</v>
      </c>
      <c r="Z7" s="3434"/>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33" t="s">
        <v>1683</v>
      </c>
      <c r="Q8" s="3434"/>
      <c r="R8" s="662" t="s">
        <v>14</v>
      </c>
      <c r="S8" s="663">
        <f t="shared" si="0"/>
        <v>100</v>
      </c>
      <c r="T8" s="662" t="s">
        <v>14</v>
      </c>
      <c r="U8" s="663">
        <f t="shared" si="1"/>
        <v>100</v>
      </c>
      <c r="V8" s="662" t="s">
        <v>14</v>
      </c>
      <c r="W8" s="663">
        <f t="shared" si="2"/>
        <v>100</v>
      </c>
      <c r="X8" s="664"/>
      <c r="Y8" s="3433" t="s">
        <v>1683</v>
      </c>
      <c r="Z8" s="3434"/>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65" t="s">
        <v>1686</v>
      </c>
      <c r="Q9" s="528" t="str">
        <f t="shared" ref="Q9:Q15" si="6">B9</f>
        <v>用途</v>
      </c>
      <c r="R9" s="662" t="s">
        <v>14</v>
      </c>
      <c r="S9" s="663">
        <f t="shared" si="0"/>
        <v>100</v>
      </c>
      <c r="T9" s="662" t="s">
        <v>14</v>
      </c>
      <c r="U9" s="663">
        <f t="shared" si="1"/>
        <v>100</v>
      </c>
      <c r="V9" s="662" t="s">
        <v>14</v>
      </c>
      <c r="W9" s="663">
        <f t="shared" si="2"/>
        <v>100</v>
      </c>
      <c r="X9" s="664"/>
      <c r="Y9" s="3377" t="s">
        <v>1687</v>
      </c>
      <c r="Z9" s="50" t="str">
        <f t="shared" ref="Z9:Z15" si="7">Q9</f>
        <v>用途</v>
      </c>
      <c r="AA9" s="50">
        <f t="shared" si="3"/>
        <v>1</v>
      </c>
      <c r="AB9" s="50">
        <f t="shared" si="4"/>
        <v>1</v>
      </c>
      <c r="AC9" s="50">
        <f t="shared" si="5"/>
        <v>1</v>
      </c>
    </row>
    <row r="10" spans="1:29" s="364" customFormat="1" ht="28.8">
      <c r="A10" s="361"/>
      <c r="B10" s="362" t="s">
        <v>1688</v>
      </c>
      <c r="C10" s="3130"/>
      <c r="D10" s="117">
        <v>100</v>
      </c>
      <c r="E10" s="3130"/>
      <c r="F10" s="117">
        <f>SUMIF(59:59,E10,60:60)-SUMIF(59:59,C10,60:60)+100</f>
        <v>100</v>
      </c>
      <c r="G10" s="3131"/>
      <c r="H10" s="117">
        <f>SUMIF(59:59,G10,60:60)-SUMIF(59:59,C10,60:60)+100</f>
        <v>100</v>
      </c>
      <c r="I10" s="3130"/>
      <c r="J10" s="117">
        <f>SUMIF(59:59,I10,60:60)-SUMIF(59:59,C10,60:60)+100</f>
        <v>100</v>
      </c>
      <c r="K10" s="38"/>
      <c r="L10" s="863"/>
      <c r="M10" s="864"/>
      <c r="N10" s="864"/>
      <c r="O10" s="865"/>
      <c r="P10" s="3465"/>
      <c r="Q10" s="528" t="str">
        <f t="shared" si="6"/>
        <v>土地使用年限（年）</v>
      </c>
      <c r="R10" s="662" t="s">
        <v>14</v>
      </c>
      <c r="S10" s="663">
        <f t="shared" si="0"/>
        <v>100</v>
      </c>
      <c r="T10" s="662" t="s">
        <v>14</v>
      </c>
      <c r="U10" s="663">
        <f t="shared" si="1"/>
        <v>100</v>
      </c>
      <c r="V10" s="662" t="s">
        <v>14</v>
      </c>
      <c r="W10" s="663">
        <f t="shared" si="2"/>
        <v>100</v>
      </c>
      <c r="X10" s="664"/>
      <c r="Y10" s="3377"/>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65"/>
      <c r="Q11" s="528" t="str">
        <f t="shared" si="6"/>
        <v>容积率</v>
      </c>
      <c r="R11" s="662" t="s">
        <v>14</v>
      </c>
      <c r="S11" s="663">
        <f t="shared" si="0"/>
        <v>100</v>
      </c>
      <c r="T11" s="662" t="s">
        <v>14</v>
      </c>
      <c r="U11" s="663">
        <f t="shared" si="1"/>
        <v>100</v>
      </c>
      <c r="V11" s="662" t="s">
        <v>14</v>
      </c>
      <c r="W11" s="663">
        <f t="shared" si="2"/>
        <v>100</v>
      </c>
      <c r="X11" s="664"/>
      <c r="Y11" s="3377"/>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60"/>
      <c r="M12" s="861"/>
      <c r="N12" s="861"/>
      <c r="O12" s="862"/>
      <c r="P12" s="3465"/>
      <c r="Q12" s="528">
        <f t="shared" si="6"/>
        <v>111</v>
      </c>
      <c r="R12" s="662" t="s">
        <v>14</v>
      </c>
      <c r="S12" s="663">
        <f t="shared" si="0"/>
        <v>100</v>
      </c>
      <c r="T12" s="662" t="s">
        <v>14</v>
      </c>
      <c r="U12" s="663">
        <f t="shared" si="1"/>
        <v>100</v>
      </c>
      <c r="V12" s="662" t="s">
        <v>14</v>
      </c>
      <c r="W12" s="663">
        <f t="shared" si="2"/>
        <v>100</v>
      </c>
      <c r="X12" s="664"/>
      <c r="Y12" s="3377"/>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8"/>
      <c r="M13" s="859"/>
      <c r="N13" s="859"/>
      <c r="O13" s="867"/>
      <c r="P13" s="3465"/>
      <c r="Q13" s="528">
        <f t="shared" si="6"/>
        <v>111</v>
      </c>
      <c r="R13" s="662" t="s">
        <v>14</v>
      </c>
      <c r="S13" s="663">
        <f t="shared" si="0"/>
        <v>100</v>
      </c>
      <c r="T13" s="662" t="s">
        <v>14</v>
      </c>
      <c r="U13" s="663">
        <f t="shared" si="1"/>
        <v>100</v>
      </c>
      <c r="V13" s="662" t="s">
        <v>14</v>
      </c>
      <c r="W13" s="663">
        <f t="shared" si="2"/>
        <v>100</v>
      </c>
      <c r="X13" s="664"/>
      <c r="Y13" s="3377"/>
      <c r="Z13" s="50">
        <f t="shared" si="7"/>
        <v>111</v>
      </c>
      <c r="AA13" s="50">
        <f t="shared" si="3"/>
        <v>1</v>
      </c>
      <c r="AB13" s="50">
        <f t="shared" si="4"/>
        <v>1</v>
      </c>
      <c r="AC13" s="50">
        <f t="shared" si="5"/>
        <v>1</v>
      </c>
    </row>
    <row r="14" spans="1:29" ht="15.6"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8"/>
      <c r="M14" s="859"/>
      <c r="N14" s="859"/>
      <c r="O14" s="867"/>
      <c r="P14" s="3465"/>
      <c r="Q14" s="528">
        <f t="shared" si="6"/>
        <v>111</v>
      </c>
      <c r="R14" s="662" t="s">
        <v>14</v>
      </c>
      <c r="S14" s="663">
        <f t="shared" si="0"/>
        <v>100</v>
      </c>
      <c r="T14" s="662" t="s">
        <v>14</v>
      </c>
      <c r="U14" s="663">
        <f t="shared" si="1"/>
        <v>100</v>
      </c>
      <c r="V14" s="662" t="s">
        <v>14</v>
      </c>
      <c r="W14" s="663">
        <f t="shared" si="2"/>
        <v>100</v>
      </c>
      <c r="X14" s="664"/>
      <c r="Y14" s="3377"/>
      <c r="Z14" s="50">
        <f t="shared" si="7"/>
        <v>111</v>
      </c>
      <c r="AA14" s="50">
        <f t="shared" si="3"/>
        <v>1</v>
      </c>
      <c r="AB14" s="50">
        <f t="shared" si="4"/>
        <v>1</v>
      </c>
      <c r="AC14" s="50">
        <f t="shared" si="5"/>
        <v>1</v>
      </c>
    </row>
    <row r="15" spans="1:29" ht="15">
      <c r="A15" s="377" t="s">
        <v>1690</v>
      </c>
      <c r="B15" s="58" t="s">
        <v>1827</v>
      </c>
      <c r="C15" s="1816">
        <f>估价对象房地状况!G3</f>
        <v>0</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66" t="s">
        <v>1691</v>
      </c>
      <c r="Q15" s="1260" t="str">
        <f t="shared" si="6"/>
        <v>产业集聚程度</v>
      </c>
      <c r="R15" s="665" t="s">
        <v>14</v>
      </c>
      <c r="S15" s="666">
        <f t="shared" si="0"/>
        <v>100</v>
      </c>
      <c r="T15" s="665" t="s">
        <v>14</v>
      </c>
      <c r="U15" s="666">
        <f t="shared" si="1"/>
        <v>100</v>
      </c>
      <c r="V15" s="665" t="s">
        <v>14</v>
      </c>
      <c r="W15" s="666">
        <f t="shared" si="2"/>
        <v>100</v>
      </c>
      <c r="X15" s="1262"/>
      <c r="Y15" s="3466"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467"/>
      <c r="Q16" s="1260"/>
      <c r="R16" s="665"/>
      <c r="S16" s="666"/>
      <c r="T16" s="665"/>
      <c r="U16" s="666"/>
      <c r="V16" s="665"/>
      <c r="W16" s="666"/>
      <c r="X16" s="1262"/>
      <c r="Y16" s="3467"/>
      <c r="Z16" s="1261"/>
      <c r="AA16" s="1261">
        <v>1</v>
      </c>
      <c r="AB16" s="1261">
        <v>1</v>
      </c>
      <c r="AC16" s="1261">
        <v>1</v>
      </c>
    </row>
    <row r="17" spans="1:29" ht="15">
      <c r="A17" s="365"/>
      <c r="B17" s="388" t="s">
        <v>1259</v>
      </c>
      <c r="C17" s="1751">
        <f>估价对象房地状况!G4</f>
        <v>0</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67"/>
      <c r="Q17" s="1260" t="str">
        <f>B17</f>
        <v>交通便捷度</v>
      </c>
      <c r="R17" s="665" t="s">
        <v>14</v>
      </c>
      <c r="S17" s="666">
        <f>F17</f>
        <v>100</v>
      </c>
      <c r="T17" s="665" t="s">
        <v>14</v>
      </c>
      <c r="U17" s="666">
        <f>H17</f>
        <v>100</v>
      </c>
      <c r="V17" s="665" t="s">
        <v>14</v>
      </c>
      <c r="W17" s="666">
        <f>J17</f>
        <v>100</v>
      </c>
      <c r="X17" s="1262"/>
      <c r="Y17" s="3467"/>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8"/>
      <c r="M18" s="859"/>
      <c r="N18" s="859"/>
      <c r="O18" s="867"/>
      <c r="P18" s="3467"/>
      <c r="Q18" s="1260"/>
      <c r="R18" s="665"/>
      <c r="S18" s="666"/>
      <c r="T18" s="665"/>
      <c r="U18" s="666"/>
      <c r="V18" s="665"/>
      <c r="W18" s="666"/>
      <c r="X18" s="1262"/>
      <c r="Y18" s="3467"/>
      <c r="Z18" s="1261"/>
      <c r="AA18" s="1261">
        <v>1</v>
      </c>
      <c r="AB18" s="1261">
        <v>1</v>
      </c>
      <c r="AC18" s="1261">
        <v>1</v>
      </c>
    </row>
    <row r="19" spans="1:29" ht="15">
      <c r="A19" s="365"/>
      <c r="B19" s="388" t="s">
        <v>1812</v>
      </c>
      <c r="C19" s="1751">
        <f>估价对象房地状况!G5</f>
        <v>0</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67"/>
      <c r="Q19" s="1260" t="str">
        <f>B19</f>
        <v>公共配套设施</v>
      </c>
      <c r="R19" s="665" t="s">
        <v>14</v>
      </c>
      <c r="S19" s="666">
        <f>F19</f>
        <v>100</v>
      </c>
      <c r="T19" s="665" t="s">
        <v>14</v>
      </c>
      <c r="U19" s="666">
        <f>H19</f>
        <v>100</v>
      </c>
      <c r="V19" s="665" t="s">
        <v>14</v>
      </c>
      <c r="W19" s="666">
        <f>J19</f>
        <v>100</v>
      </c>
      <c r="X19" s="1262"/>
      <c r="Y19" s="3467"/>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8"/>
      <c r="M20" s="859"/>
      <c r="N20" s="859"/>
      <c r="O20" s="867"/>
      <c r="P20" s="3467"/>
      <c r="Q20" s="1260"/>
      <c r="R20" s="665"/>
      <c r="S20" s="666"/>
      <c r="T20" s="665"/>
      <c r="U20" s="666"/>
      <c r="V20" s="665"/>
      <c r="W20" s="666"/>
      <c r="X20" s="1262"/>
      <c r="Y20" s="3467"/>
      <c r="Z20" s="1261"/>
      <c r="AA20" s="1261">
        <v>1</v>
      </c>
      <c r="AB20" s="1261">
        <v>1</v>
      </c>
      <c r="AC20" s="1261">
        <v>1</v>
      </c>
    </row>
    <row r="21" spans="1:29" ht="15">
      <c r="A21" s="365"/>
      <c r="B21" s="584" t="s">
        <v>1813</v>
      </c>
      <c r="C21" s="1751">
        <f>估价对象房地状况!G6</f>
        <v>0</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67"/>
      <c r="Q21" s="1260" t="str">
        <f>B21</f>
        <v>基础设施水平</v>
      </c>
      <c r="R21" s="665" t="s">
        <v>14</v>
      </c>
      <c r="S21" s="666">
        <f>F21</f>
        <v>100</v>
      </c>
      <c r="T21" s="665" t="s">
        <v>14</v>
      </c>
      <c r="U21" s="666">
        <f>H21</f>
        <v>100</v>
      </c>
      <c r="V21" s="665" t="s">
        <v>14</v>
      </c>
      <c r="W21" s="666">
        <f>J21</f>
        <v>100</v>
      </c>
      <c r="X21" s="1262"/>
      <c r="Y21" s="3467"/>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868"/>
      <c r="M22" s="859"/>
      <c r="N22" s="859"/>
      <c r="O22" s="867"/>
      <c r="P22" s="3467"/>
      <c r="Q22" s="1260"/>
      <c r="R22" s="665"/>
      <c r="S22" s="666"/>
      <c r="T22" s="665"/>
      <c r="U22" s="666"/>
      <c r="V22" s="665"/>
      <c r="W22" s="666"/>
      <c r="X22" s="1262"/>
      <c r="Y22" s="3467"/>
      <c r="Z22" s="1261"/>
      <c r="AA22" s="1261">
        <v>1</v>
      </c>
      <c r="AB22" s="1261">
        <v>1</v>
      </c>
      <c r="AC22" s="1261">
        <v>1</v>
      </c>
    </row>
    <row r="23" spans="1:29" ht="15">
      <c r="A23" s="365"/>
      <c r="B23" s="388" t="s">
        <v>1814</v>
      </c>
      <c r="C23" s="1751">
        <f>估价对象房地状况!G7</f>
        <v>0</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67"/>
      <c r="Q23" s="1260" t="str">
        <f>B23</f>
        <v>环境质量</v>
      </c>
      <c r="R23" s="665" t="s">
        <v>14</v>
      </c>
      <c r="S23" s="666">
        <f>F23</f>
        <v>100</v>
      </c>
      <c r="T23" s="665" t="s">
        <v>14</v>
      </c>
      <c r="U23" s="666">
        <f>H23</f>
        <v>100</v>
      </c>
      <c r="V23" s="665" t="s">
        <v>14</v>
      </c>
      <c r="W23" s="666">
        <f>J23</f>
        <v>100</v>
      </c>
      <c r="X23" s="1262"/>
      <c r="Y23" s="3467"/>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8"/>
      <c r="M24" s="859"/>
      <c r="N24" s="859"/>
      <c r="O24" s="867"/>
      <c r="P24" s="3467"/>
      <c r="Q24" s="1260"/>
      <c r="R24" s="665"/>
      <c r="S24" s="666"/>
      <c r="T24" s="665"/>
      <c r="U24" s="666"/>
      <c r="V24" s="665"/>
      <c r="W24" s="666"/>
      <c r="X24" s="1262"/>
      <c r="Y24" s="3467"/>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67"/>
      <c r="Q25" s="1260">
        <f>B25</f>
        <v>111</v>
      </c>
      <c r="R25" s="665" t="s">
        <v>14</v>
      </c>
      <c r="S25" s="666">
        <f>F25</f>
        <v>100</v>
      </c>
      <c r="T25" s="665" t="s">
        <v>14</v>
      </c>
      <c r="U25" s="666">
        <f>H25</f>
        <v>100</v>
      </c>
      <c r="V25" s="665" t="s">
        <v>14</v>
      </c>
      <c r="W25" s="666">
        <f>J25</f>
        <v>100</v>
      </c>
      <c r="X25" s="1262"/>
      <c r="Y25" s="3467"/>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67"/>
      <c r="Q26" s="1260">
        <f t="shared" ref="Q26:Q40" si="11">B26</f>
        <v>111</v>
      </c>
      <c r="R26" s="665" t="s">
        <v>14</v>
      </c>
      <c r="S26" s="666">
        <f>F26</f>
        <v>100</v>
      </c>
      <c r="T26" s="665" t="s">
        <v>14</v>
      </c>
      <c r="U26" s="666">
        <f>H26</f>
        <v>100</v>
      </c>
      <c r="V26" s="665" t="s">
        <v>14</v>
      </c>
      <c r="W26" s="666">
        <f>J26</f>
        <v>100</v>
      </c>
      <c r="X26" s="1262"/>
      <c r="Y26" s="3467"/>
      <c r="Z26" s="1261">
        <f>Q26</f>
        <v>111</v>
      </c>
      <c r="AA26" s="1261">
        <f t="shared" si="3"/>
        <v>1</v>
      </c>
      <c r="AB26" s="1261">
        <f t="shared" si="4"/>
        <v>1</v>
      </c>
      <c r="AC26" s="1261">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67"/>
      <c r="Q27" s="528">
        <f t="shared" si="11"/>
        <v>111</v>
      </c>
      <c r="R27" s="662" t="s">
        <v>14</v>
      </c>
      <c r="S27" s="663">
        <f>F27</f>
        <v>100</v>
      </c>
      <c r="T27" s="662" t="s">
        <v>14</v>
      </c>
      <c r="U27" s="663">
        <f>H27</f>
        <v>100</v>
      </c>
      <c r="V27" s="662" t="s">
        <v>14</v>
      </c>
      <c r="W27" s="663">
        <f>J27</f>
        <v>100</v>
      </c>
      <c r="X27" s="664"/>
      <c r="Y27" s="3467"/>
      <c r="Z27" s="50">
        <f>Q27</f>
        <v>111</v>
      </c>
      <c r="AA27" s="1261">
        <f>D27/F27</f>
        <v>1</v>
      </c>
      <c r="AB27" s="1261">
        <f>D27/H27</f>
        <v>1</v>
      </c>
      <c r="AC27" s="1261">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67"/>
      <c r="Q28" s="1260">
        <f t="shared" si="11"/>
        <v>111</v>
      </c>
      <c r="R28" s="665" t="s">
        <v>14</v>
      </c>
      <c r="S28" s="666">
        <f t="shared" ref="S28:S40" si="12">F28</f>
        <v>100</v>
      </c>
      <c r="T28" s="665" t="s">
        <v>14</v>
      </c>
      <c r="U28" s="666">
        <f t="shared" ref="U28:U40" si="13">H28</f>
        <v>100</v>
      </c>
      <c r="V28" s="665" t="s">
        <v>14</v>
      </c>
      <c r="W28" s="666">
        <f t="shared" ref="W28:W40" si="14">J28</f>
        <v>100</v>
      </c>
      <c r="X28" s="1262"/>
      <c r="Y28" s="3467"/>
      <c r="Z28" s="1261">
        <f t="shared" ref="Z28:Z40" si="15">Q28</f>
        <v>111</v>
      </c>
      <c r="AA28" s="1261">
        <f t="shared" si="3"/>
        <v>1</v>
      </c>
      <c r="AB28" s="1261">
        <f t="shared" si="4"/>
        <v>1</v>
      </c>
      <c r="AC28" s="1261">
        <f t="shared" si="5"/>
        <v>1</v>
      </c>
    </row>
    <row r="29" spans="1:29" ht="30">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8"/>
      <c r="M29" s="859"/>
      <c r="N29" s="859"/>
      <c r="O29" s="867"/>
      <c r="P29" s="3490" t="s">
        <v>1696</v>
      </c>
      <c r="Q29" s="1260" t="str">
        <f t="shared" si="11"/>
        <v>建筑类型</v>
      </c>
      <c r="R29" s="665" t="s">
        <v>14</v>
      </c>
      <c r="S29" s="666">
        <f t="shared" si="12"/>
        <v>100</v>
      </c>
      <c r="T29" s="665" t="s">
        <v>14</v>
      </c>
      <c r="U29" s="666">
        <f t="shared" si="13"/>
        <v>100</v>
      </c>
      <c r="V29" s="665" t="s">
        <v>14</v>
      </c>
      <c r="W29" s="666">
        <f t="shared" si="14"/>
        <v>100</v>
      </c>
      <c r="X29" s="1262"/>
      <c r="Y29" s="3471"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71"/>
      <c r="Q30" s="529" t="str">
        <f t="shared" si="11"/>
        <v>项目建筑规模</v>
      </c>
      <c r="R30" s="667" t="s">
        <v>14</v>
      </c>
      <c r="S30" s="668" t="e">
        <f t="shared" si="12"/>
        <v>#N/A</v>
      </c>
      <c r="T30" s="667" t="s">
        <v>14</v>
      </c>
      <c r="U30" s="668" t="e">
        <f t="shared" si="13"/>
        <v>#N/A</v>
      </c>
      <c r="V30" s="667" t="s">
        <v>14</v>
      </c>
      <c r="W30" s="668" t="e">
        <f t="shared" si="14"/>
        <v>#N/A</v>
      </c>
      <c r="X30" s="669"/>
      <c r="Y30" s="3471"/>
      <c r="Z30" s="670"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71"/>
      <c r="Q31" s="1260" t="str">
        <f t="shared" si="11"/>
        <v>建筑结构</v>
      </c>
      <c r="R31" s="665" t="s">
        <v>14</v>
      </c>
      <c r="S31" s="666">
        <f t="shared" si="12"/>
        <v>100</v>
      </c>
      <c r="T31" s="665" t="s">
        <v>14</v>
      </c>
      <c r="U31" s="666">
        <f t="shared" si="13"/>
        <v>100</v>
      </c>
      <c r="V31" s="665" t="s">
        <v>14</v>
      </c>
      <c r="W31" s="666">
        <f t="shared" si="14"/>
        <v>100</v>
      </c>
      <c r="X31" s="1262"/>
      <c r="Y31" s="3471"/>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71"/>
      <c r="Q32" s="1260" t="str">
        <f t="shared" si="11"/>
        <v>公共部分装修</v>
      </c>
      <c r="R32" s="665" t="s">
        <v>14</v>
      </c>
      <c r="S32" s="666">
        <f t="shared" si="12"/>
        <v>100</v>
      </c>
      <c r="T32" s="665" t="s">
        <v>14</v>
      </c>
      <c r="U32" s="666">
        <f t="shared" si="13"/>
        <v>100</v>
      </c>
      <c r="V32" s="665" t="s">
        <v>14</v>
      </c>
      <c r="W32" s="666">
        <f t="shared" si="14"/>
        <v>100</v>
      </c>
      <c r="X32" s="1262"/>
      <c r="Y32" s="3471"/>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71"/>
      <c r="Q33" s="1260" t="str">
        <f t="shared" si="11"/>
        <v>成新度</v>
      </c>
      <c r="R33" s="665" t="s">
        <v>14</v>
      </c>
      <c r="S33" s="666" t="e">
        <f t="shared" si="12"/>
        <v>#N/A</v>
      </c>
      <c r="T33" s="665" t="s">
        <v>14</v>
      </c>
      <c r="U33" s="666" t="e">
        <f t="shared" si="13"/>
        <v>#N/A</v>
      </c>
      <c r="V33" s="665" t="s">
        <v>14</v>
      </c>
      <c r="W33" s="666" t="e">
        <f t="shared" si="14"/>
        <v>#N/A</v>
      </c>
      <c r="X33" s="1262"/>
      <c r="Y33" s="3471"/>
      <c r="Z33" s="1261" t="str">
        <f t="shared" si="15"/>
        <v>成新度</v>
      </c>
      <c r="AA33" s="1261" t="e">
        <f t="shared" si="3"/>
        <v>#N/A</v>
      </c>
      <c r="AB33" s="1261" t="e">
        <f t="shared" si="4"/>
        <v>#N/A</v>
      </c>
      <c r="AC33" s="1261"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71"/>
      <c r="Q34" s="528" t="str">
        <f t="shared" si="11"/>
        <v>物业管理</v>
      </c>
      <c r="R34" s="662" t="s">
        <v>14</v>
      </c>
      <c r="S34" s="663">
        <f t="shared" si="12"/>
        <v>100</v>
      </c>
      <c r="T34" s="662" t="s">
        <v>14</v>
      </c>
      <c r="U34" s="663">
        <f t="shared" si="13"/>
        <v>100</v>
      </c>
      <c r="V34" s="662" t="s">
        <v>14</v>
      </c>
      <c r="W34" s="663">
        <f t="shared" si="14"/>
        <v>100</v>
      </c>
      <c r="X34" s="664"/>
      <c r="Y34" s="3471"/>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71" t="s">
        <v>1696</v>
      </c>
      <c r="Q35" s="1260" t="str">
        <f t="shared" si="11"/>
        <v>市政基础设施</v>
      </c>
      <c r="R35" s="665" t="s">
        <v>14</v>
      </c>
      <c r="S35" s="666">
        <f t="shared" si="12"/>
        <v>100</v>
      </c>
      <c r="T35" s="665" t="s">
        <v>14</v>
      </c>
      <c r="U35" s="666">
        <f t="shared" si="13"/>
        <v>100</v>
      </c>
      <c r="V35" s="665" t="s">
        <v>14</v>
      </c>
      <c r="W35" s="666">
        <f t="shared" si="14"/>
        <v>100</v>
      </c>
      <c r="X35" s="1262"/>
      <c r="Y35" s="3471"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71"/>
      <c r="Q36" s="1260" t="str">
        <f t="shared" si="11"/>
        <v>内部装修</v>
      </c>
      <c r="R36" s="665" t="s">
        <v>14</v>
      </c>
      <c r="S36" s="666">
        <f t="shared" si="12"/>
        <v>100</v>
      </c>
      <c r="T36" s="665" t="s">
        <v>14</v>
      </c>
      <c r="U36" s="666">
        <f t="shared" si="13"/>
        <v>100</v>
      </c>
      <c r="V36" s="665" t="s">
        <v>14</v>
      </c>
      <c r="W36" s="666">
        <f t="shared" si="14"/>
        <v>100</v>
      </c>
      <c r="X36" s="1262"/>
      <c r="Y36" s="3471"/>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71"/>
      <c r="Q37" s="1260" t="str">
        <f t="shared" si="11"/>
        <v>内部装修状况</v>
      </c>
      <c r="R37" s="665" t="s">
        <v>14</v>
      </c>
      <c r="S37" s="666">
        <f t="shared" si="12"/>
        <v>100</v>
      </c>
      <c r="T37" s="665" t="s">
        <v>14</v>
      </c>
      <c r="U37" s="666">
        <f t="shared" si="13"/>
        <v>100</v>
      </c>
      <c r="V37" s="665" t="s">
        <v>14</v>
      </c>
      <c r="W37" s="666">
        <f t="shared" si="14"/>
        <v>100</v>
      </c>
      <c r="X37" s="1262"/>
      <c r="Y37" s="3471"/>
      <c r="Z37" s="1261" t="str">
        <f t="shared" si="15"/>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71"/>
      <c r="Q38" s="529">
        <f t="shared" si="11"/>
        <v>111</v>
      </c>
      <c r="R38" s="667" t="s">
        <v>14</v>
      </c>
      <c r="S38" s="668">
        <f t="shared" si="12"/>
        <v>100</v>
      </c>
      <c r="T38" s="667" t="s">
        <v>14</v>
      </c>
      <c r="U38" s="668">
        <f t="shared" si="13"/>
        <v>100</v>
      </c>
      <c r="V38" s="667" t="s">
        <v>14</v>
      </c>
      <c r="W38" s="668">
        <f t="shared" si="14"/>
        <v>100</v>
      </c>
      <c r="X38" s="669"/>
      <c r="Y38" s="3471"/>
      <c r="Z38" s="670">
        <f t="shared" si="15"/>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71"/>
      <c r="Q39" s="1260">
        <f t="shared" si="11"/>
        <v>111</v>
      </c>
      <c r="R39" s="665" t="s">
        <v>14</v>
      </c>
      <c r="S39" s="666">
        <f t="shared" si="12"/>
        <v>100</v>
      </c>
      <c r="T39" s="665" t="s">
        <v>14</v>
      </c>
      <c r="U39" s="666">
        <f t="shared" si="13"/>
        <v>100</v>
      </c>
      <c r="V39" s="665" t="s">
        <v>14</v>
      </c>
      <c r="W39" s="666">
        <f t="shared" si="14"/>
        <v>100</v>
      </c>
      <c r="X39" s="1262"/>
      <c r="Y39" s="3471"/>
      <c r="Z39" s="1261">
        <f t="shared" si="15"/>
        <v>111</v>
      </c>
      <c r="AA39" s="1261">
        <f t="shared" si="3"/>
        <v>1</v>
      </c>
      <c r="AB39" s="1261">
        <f t="shared" si="4"/>
        <v>1</v>
      </c>
      <c r="AC39" s="1261">
        <f t="shared" si="5"/>
        <v>1</v>
      </c>
    </row>
    <row r="40" spans="1:29" ht="15.6"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72"/>
      <c r="Q40" s="1260">
        <f t="shared" si="11"/>
        <v>111</v>
      </c>
      <c r="R40" s="665" t="s">
        <v>14</v>
      </c>
      <c r="S40" s="666">
        <f t="shared" si="12"/>
        <v>100</v>
      </c>
      <c r="T40" s="665" t="s">
        <v>14</v>
      </c>
      <c r="U40" s="666">
        <f t="shared" si="13"/>
        <v>100</v>
      </c>
      <c r="V40" s="665" t="s">
        <v>14</v>
      </c>
      <c r="W40" s="666">
        <f t="shared" si="14"/>
        <v>100</v>
      </c>
      <c r="X40" s="1262"/>
      <c r="Y40" s="3472"/>
      <c r="Z40" s="1261">
        <f t="shared" si="15"/>
        <v>111</v>
      </c>
      <c r="AA40" s="1261">
        <f t="shared" si="3"/>
        <v>1</v>
      </c>
      <c r="AB40" s="1261">
        <f t="shared" si="4"/>
        <v>1</v>
      </c>
      <c r="AC40" s="1261">
        <f t="shared" si="5"/>
        <v>1</v>
      </c>
    </row>
    <row r="41" spans="1:29" ht="14.4">
      <c r="A41" s="414" t="s">
        <v>1708</v>
      </c>
      <c r="B41" s="415"/>
      <c r="C41" s="1079" t="s">
        <v>0</v>
      </c>
      <c r="D41" s="416"/>
      <c r="E41" s="417"/>
      <c r="F41" s="418"/>
      <c r="G41" s="419"/>
      <c r="H41" s="420"/>
      <c r="I41" s="417"/>
      <c r="J41" s="420"/>
      <c r="K41" s="672"/>
      <c r="L41" s="871"/>
      <c r="M41" s="859"/>
      <c r="N41" s="859"/>
      <c r="O41" s="859"/>
      <c r="P41" s="3465" t="str">
        <f>A41</f>
        <v>成交单价（元/平方米）</v>
      </c>
      <c r="Q41" s="3465"/>
      <c r="R41" s="3460">
        <f>E41</f>
        <v>0</v>
      </c>
      <c r="S41" s="3460"/>
      <c r="T41" s="3460">
        <f>G41</f>
        <v>0</v>
      </c>
      <c r="U41" s="3460"/>
      <c r="V41" s="3460">
        <f>I41</f>
        <v>0</v>
      </c>
      <c r="W41" s="3460"/>
      <c r="X41" s="383"/>
      <c r="Y41" s="671"/>
      <c r="Z41" s="383"/>
      <c r="AA41" s="383"/>
      <c r="AB41" s="383"/>
      <c r="AC41" s="383"/>
    </row>
    <row r="42" spans="1:29" ht="15" thickBot="1">
      <c r="A42" s="421" t="s">
        <v>1793</v>
      </c>
      <c r="B42" s="422"/>
      <c r="C42" s="1080" t="e">
        <f>R43</f>
        <v>#DIV/0!</v>
      </c>
      <c r="D42" s="2138" t="s">
        <v>2135</v>
      </c>
      <c r="E42" s="1081" t="e">
        <f>R42</f>
        <v>#DIV/0!</v>
      </c>
      <c r="F42" s="2139"/>
      <c r="G42" s="1080" t="e">
        <f>T42</f>
        <v>#DIV/0!</v>
      </c>
      <c r="H42" s="2139"/>
      <c r="I42" s="1081" t="e">
        <f>V42</f>
        <v>#DIV/0!</v>
      </c>
      <c r="J42" s="2139"/>
      <c r="K42" s="2141">
        <f>F42+H42+J42</f>
        <v>0</v>
      </c>
      <c r="L42" s="871"/>
      <c r="M42" s="859"/>
      <c r="N42" s="859"/>
      <c r="O42" s="859"/>
      <c r="P42" s="3465" t="str">
        <f>A42</f>
        <v>比较价值（元/平方米）</v>
      </c>
      <c r="Q42" s="3465"/>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1"/>
      <c r="M43" s="859"/>
      <c r="N43" s="859"/>
      <c r="O43" s="859"/>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383"/>
      <c r="Y43" s="383"/>
      <c r="Z43" s="383"/>
      <c r="AA43" s="383"/>
      <c r="AB43" s="383"/>
      <c r="AC43" s="383"/>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834"/>
      <c r="M46" s="859"/>
      <c r="N46" s="859"/>
      <c r="O46" s="859"/>
    </row>
    <row r="47" spans="1:29" ht="13.5" customHeight="1">
      <c r="A47" s="2485"/>
      <c r="B47" s="2485"/>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834"/>
      <c r="M47" s="859"/>
      <c r="N47" s="859"/>
      <c r="O47" s="859"/>
    </row>
    <row r="48" spans="1:29" s="435" customFormat="1" ht="13.5" customHeight="1">
      <c r="A48" s="2495"/>
      <c r="B48" s="2495"/>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874"/>
      <c r="M48" s="872"/>
      <c r="N48" s="872"/>
      <c r="O48" s="872"/>
    </row>
    <row r="49" spans="1:17" s="435"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2.2" thickBot="1">
      <c r="A51" s="656" t="s">
        <v>1798</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2" customFormat="1">
      <c r="A53" s="441"/>
      <c r="B53" s="442"/>
      <c r="C53" s="1099">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36"/>
      <c r="O54" s="2537"/>
      <c r="P54" s="437"/>
      <c r="Q54" s="437"/>
    </row>
    <row r="55" spans="1:17" s="102" customFormat="1" ht="14.4">
      <c r="A55" s="453" t="s">
        <v>1681</v>
      </c>
      <c r="B55" s="442"/>
      <c r="C55" s="454" t="s">
        <v>1776</v>
      </c>
      <c r="D55" s="31"/>
      <c r="E55" s="31"/>
      <c r="F55" s="31"/>
      <c r="G55" s="31"/>
      <c r="H55" s="31"/>
      <c r="I55" s="31"/>
      <c r="J55" s="31"/>
      <c r="K55" s="31"/>
      <c r="L55" s="455"/>
      <c r="M55" s="456"/>
      <c r="N55" s="876"/>
      <c r="O55" s="876"/>
      <c r="P55" s="457"/>
      <c r="Q55" s="437"/>
    </row>
    <row r="56" spans="1:17" s="102"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1719</v>
      </c>
      <c r="B57" s="458" t="s">
        <v>1685</v>
      </c>
      <c r="C57" s="459">
        <f>C9</f>
        <v>0</v>
      </c>
      <c r="D57" s="460"/>
      <c r="E57" s="460"/>
      <c r="F57" s="460"/>
      <c r="G57" s="460"/>
      <c r="H57" s="460"/>
      <c r="I57" s="460"/>
      <c r="J57" s="460"/>
      <c r="K57" s="461"/>
      <c r="L57" s="462"/>
      <c r="M57" s="463"/>
      <c r="N57" s="877"/>
      <c r="O57" s="877"/>
      <c r="P57" s="40"/>
      <c r="Q57" s="437"/>
    </row>
    <row r="58" spans="1:17" ht="14.4" thickBot="1">
      <c r="A58" s="365"/>
      <c r="B58" s="464"/>
      <c r="C58" s="465">
        <v>100</v>
      </c>
      <c r="D58" s="465"/>
      <c r="E58" s="465"/>
      <c r="F58" s="465"/>
      <c r="G58" s="465"/>
      <c r="H58" s="465"/>
      <c r="I58" s="465"/>
      <c r="J58" s="465"/>
      <c r="K58" s="465"/>
      <c r="L58" s="465"/>
      <c r="M58" s="466"/>
      <c r="N58" s="878"/>
      <c r="O58" s="878"/>
      <c r="P58" s="40"/>
      <c r="Q58" s="437"/>
    </row>
    <row r="59" spans="1:17" ht="29.4" thickTop="1">
      <c r="A59" s="365"/>
      <c r="B59" s="467" t="s">
        <v>1688</v>
      </c>
      <c r="C59" s="511"/>
      <c r="D59" s="511"/>
      <c r="E59" s="511"/>
      <c r="F59" s="511"/>
      <c r="G59" s="511"/>
      <c r="H59" s="511"/>
      <c r="I59" s="511"/>
      <c r="J59" s="511"/>
      <c r="K59" s="512"/>
      <c r="L59" s="513"/>
      <c r="M59" s="514"/>
      <c r="N59" s="877"/>
      <c r="O59" s="877"/>
      <c r="P59" s="40"/>
      <c r="Q59" s="437"/>
    </row>
    <row r="60" spans="1:17" ht="14.4" thickBot="1">
      <c r="A60" s="365"/>
      <c r="B60" s="472"/>
      <c r="C60" s="465"/>
      <c r="D60" s="465"/>
      <c r="E60" s="465"/>
      <c r="F60" s="465"/>
      <c r="G60" s="465"/>
      <c r="H60" s="465"/>
      <c r="I60" s="465"/>
      <c r="J60" s="465"/>
      <c r="K60" s="465"/>
      <c r="L60" s="465"/>
      <c r="M60" s="466"/>
      <c r="N60" s="878"/>
      <c r="O60" s="878"/>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1"/>
      <c r="D68" s="31"/>
      <c r="E68" s="31"/>
      <c r="F68" s="31"/>
      <c r="G68" s="31"/>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4.4" thickTop="1">
      <c r="A80" s="368"/>
      <c r="B80" s="467">
        <f>B25</f>
        <v>111</v>
      </c>
      <c r="C80" s="483"/>
      <c r="D80" s="483"/>
      <c r="E80" s="483"/>
      <c r="F80" s="483"/>
      <c r="G80" s="483"/>
      <c r="H80" s="483"/>
      <c r="I80" s="483"/>
      <c r="J80" s="483"/>
      <c r="K80" s="483"/>
      <c r="L80" s="508"/>
      <c r="M80" s="509"/>
      <c r="N80" s="876"/>
      <c r="O80" s="876"/>
      <c r="P80" s="40"/>
      <c r="Q80" s="437"/>
    </row>
    <row r="81" spans="1:17" s="102" customFormat="1" ht="14.4" thickBot="1">
      <c r="A81" s="368"/>
      <c r="B81" s="472"/>
      <c r="C81" s="489"/>
      <c r="D81" s="465"/>
      <c r="E81" s="465"/>
      <c r="F81" s="465"/>
      <c r="G81" s="465"/>
      <c r="H81" s="465"/>
      <c r="I81" s="465"/>
      <c r="J81" s="465"/>
      <c r="K81" s="465"/>
      <c r="L81" s="465"/>
      <c r="M81" s="466"/>
      <c r="N81" s="878"/>
      <c r="O81" s="878"/>
      <c r="P81" s="40"/>
      <c r="Q81" s="437"/>
    </row>
    <row r="82" spans="1:17" s="102" customFormat="1" ht="14.4" thickTop="1">
      <c r="A82" s="368"/>
      <c r="B82" s="467">
        <f>B26</f>
        <v>111</v>
      </c>
      <c r="C82" s="483"/>
      <c r="D82" s="483"/>
      <c r="E82" s="483"/>
      <c r="F82" s="483"/>
      <c r="G82" s="483"/>
      <c r="H82" s="483"/>
      <c r="I82" s="483"/>
      <c r="J82" s="483"/>
      <c r="K82" s="483"/>
      <c r="L82" s="508"/>
      <c r="M82" s="509"/>
      <c r="N82" s="876"/>
      <c r="O82" s="876"/>
      <c r="P82" s="40"/>
      <c r="Q82" s="437"/>
    </row>
    <row r="83" spans="1:17" s="102" customFormat="1" ht="14.4" thickBot="1">
      <c r="A83" s="368"/>
      <c r="B83" s="472"/>
      <c r="C83" s="489"/>
      <c r="D83" s="465"/>
      <c r="E83" s="465"/>
      <c r="F83" s="465"/>
      <c r="G83" s="465"/>
      <c r="H83" s="465"/>
      <c r="I83" s="465"/>
      <c r="J83" s="465"/>
      <c r="K83" s="465"/>
      <c r="L83" s="465"/>
      <c r="M83" s="466"/>
      <c r="N83" s="878"/>
      <c r="O83" s="878"/>
      <c r="P83" s="40"/>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1"/>
      <c r="D86" s="31"/>
      <c r="E86" s="31"/>
      <c r="F86" s="31"/>
      <c r="G86" s="515"/>
      <c r="H86" s="515"/>
      <c r="I86" s="515"/>
      <c r="J86" s="515"/>
      <c r="K86" s="516"/>
      <c r="L86" s="517"/>
      <c r="M86" s="518"/>
      <c r="N86" s="877"/>
      <c r="O86" s="877"/>
      <c r="P86" s="40"/>
      <c r="Q86" s="437"/>
    </row>
    <row r="87" spans="1:17" ht="14.4" thickBot="1">
      <c r="A87" s="373"/>
      <c r="B87" s="498"/>
      <c r="C87" s="499"/>
      <c r="D87" s="499"/>
      <c r="E87" s="499"/>
      <c r="F87" s="499"/>
      <c r="G87" s="519"/>
      <c r="H87" s="519"/>
      <c r="I87" s="519"/>
      <c r="J87" s="519"/>
      <c r="K87" s="519"/>
      <c r="L87" s="519"/>
      <c r="M87" s="520"/>
      <c r="N87" s="878"/>
      <c r="O87" s="878"/>
      <c r="P87" s="40"/>
      <c r="Q87" s="437"/>
    </row>
    <row r="88" spans="1:17" ht="14.4">
      <c r="A88" s="377" t="s">
        <v>1694</v>
      </c>
      <c r="B88" s="458" t="s">
        <v>1736</v>
      </c>
      <c r="C88" s="460"/>
      <c r="D88" s="460"/>
      <c r="E88" s="460"/>
      <c r="F88" s="460"/>
      <c r="G88" s="460"/>
      <c r="H88" s="460"/>
      <c r="I88" s="460"/>
      <c r="J88" s="460"/>
      <c r="K88" s="461"/>
      <c r="L88" s="462"/>
      <c r="M88" s="463"/>
      <c r="N88" s="877"/>
      <c r="O88" s="877"/>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40"/>
      <c r="Q110" s="437"/>
    </row>
    <row r="111" spans="1:17" ht="14.4" thickBot="1">
      <c r="A111" s="365"/>
      <c r="B111" s="472"/>
      <c r="C111" s="489"/>
      <c r="D111" s="465"/>
      <c r="E111" s="465"/>
      <c r="F111" s="465"/>
      <c r="G111" s="489"/>
      <c r="H111" s="491"/>
      <c r="I111" s="491"/>
      <c r="J111" s="491"/>
      <c r="K111" s="491"/>
      <c r="L111" s="491"/>
      <c r="M111" s="492"/>
      <c r="N111" s="878"/>
      <c r="O111" s="878"/>
      <c r="P111" s="40"/>
      <c r="Q111" s="437"/>
    </row>
    <row r="112" spans="1:17" ht="14.4" thickTop="1">
      <c r="A112" s="407"/>
      <c r="B112" s="475">
        <f>B40</f>
        <v>111</v>
      </c>
      <c r="C112" s="31"/>
      <c r="D112" s="31"/>
      <c r="E112" s="31"/>
      <c r="F112" s="31"/>
      <c r="G112" s="515"/>
      <c r="H112" s="515"/>
      <c r="I112" s="515"/>
      <c r="J112" s="515"/>
      <c r="K112" s="31"/>
      <c r="L112" s="455"/>
      <c r="M112" s="518"/>
      <c r="N112" s="877"/>
      <c r="O112" s="877"/>
      <c r="P112" s="40"/>
      <c r="Q112" s="437"/>
    </row>
    <row r="113" spans="1:17" ht="14.4"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3320</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39"/>
      <c r="R3" s="339"/>
      <c r="S3" s="339"/>
      <c r="T3" s="339"/>
      <c r="U3" s="339"/>
      <c r="V3" s="339"/>
      <c r="W3" s="339"/>
      <c r="X3" s="339"/>
      <c r="Y3" s="339"/>
      <c r="Z3" s="339"/>
      <c r="AA3" s="339"/>
      <c r="AB3" s="674"/>
      <c r="AC3" s="661"/>
    </row>
    <row r="4" spans="1:29" ht="14.4">
      <c r="A4" s="343" t="s">
        <v>1769</v>
      </c>
      <c r="B4" s="344"/>
      <c r="C4" s="3448" t="s">
        <v>1770</v>
      </c>
      <c r="D4" s="3449"/>
      <c r="E4" s="3450" t="s">
        <v>1771</v>
      </c>
      <c r="F4" s="3451"/>
      <c r="G4" s="3448" t="s">
        <v>1772</v>
      </c>
      <c r="H4" s="3449"/>
      <c r="I4" s="3448" t="s">
        <v>1773</v>
      </c>
      <c r="J4" s="3449"/>
      <c r="K4" s="535" t="s">
        <v>1774</v>
      </c>
      <c r="L4" s="2484"/>
      <c r="M4" s="2485"/>
      <c r="N4" s="2485"/>
      <c r="O4" s="2485"/>
      <c r="P4" s="3452" t="s">
        <v>1775</v>
      </c>
      <c r="Q4" s="3453"/>
      <c r="R4" s="3435" t="s">
        <v>1771</v>
      </c>
      <c r="S4" s="3436"/>
      <c r="T4" s="3435" t="s">
        <v>1772</v>
      </c>
      <c r="U4" s="3436"/>
      <c r="V4" s="3460" t="s">
        <v>1773</v>
      </c>
      <c r="W4" s="3460"/>
      <c r="X4" s="1262"/>
      <c r="Y4" s="3435" t="s">
        <v>1775</v>
      </c>
      <c r="Z4" s="3436"/>
      <c r="AA4" s="3430" t="s">
        <v>1771</v>
      </c>
      <c r="AB4" s="3431" t="s">
        <v>1772</v>
      </c>
      <c r="AC4" s="3430" t="s">
        <v>1773</v>
      </c>
    </row>
    <row r="5" spans="1:29">
      <c r="A5" s="346"/>
      <c r="B5" s="347"/>
      <c r="C5" s="3441" t="s">
        <v>1673</v>
      </c>
      <c r="D5" s="3442"/>
      <c r="E5" s="3439" t="s">
        <v>1674</v>
      </c>
      <c r="F5" s="3440"/>
      <c r="G5" s="3441" t="s">
        <v>1675</v>
      </c>
      <c r="H5" s="3442"/>
      <c r="I5" s="3441" t="s">
        <v>1676</v>
      </c>
      <c r="J5" s="3442"/>
      <c r="K5" s="535"/>
      <c r="L5" s="2484"/>
      <c r="M5" s="2485"/>
      <c r="N5" s="2485"/>
      <c r="O5" s="2485"/>
      <c r="P5" s="3454"/>
      <c r="Q5" s="3455"/>
      <c r="R5" s="3437"/>
      <c r="S5" s="3438"/>
      <c r="T5" s="3437"/>
      <c r="U5" s="3438"/>
      <c r="V5" s="3460"/>
      <c r="W5" s="3460"/>
      <c r="X5" s="1262"/>
      <c r="Y5" s="3437"/>
      <c r="Z5" s="3438"/>
      <c r="AA5" s="3431"/>
      <c r="AB5" s="3431"/>
      <c r="AC5" s="3431"/>
    </row>
    <row r="6" spans="1:29" ht="15" thickBot="1">
      <c r="A6" s="348"/>
      <c r="B6" s="349"/>
      <c r="C6" s="3443" t="s">
        <v>1677</v>
      </c>
      <c r="D6" s="3444"/>
      <c r="E6" s="3445" t="s">
        <v>1677</v>
      </c>
      <c r="F6" s="3446"/>
      <c r="G6" s="3443" t="s">
        <v>1677</v>
      </c>
      <c r="H6" s="3444"/>
      <c r="I6" s="3443" t="s">
        <v>1677</v>
      </c>
      <c r="J6" s="3444"/>
      <c r="K6" s="535" t="s">
        <v>1678</v>
      </c>
      <c r="L6" s="2484"/>
      <c r="M6" s="2485"/>
      <c r="N6" s="2485"/>
      <c r="O6" s="2485"/>
      <c r="P6" s="3456"/>
      <c r="Q6" s="3457"/>
      <c r="R6" s="3437"/>
      <c r="S6" s="3438"/>
      <c r="T6" s="3458"/>
      <c r="U6" s="3459"/>
      <c r="V6" s="3460"/>
      <c r="W6" s="3460"/>
      <c r="X6" s="1262"/>
      <c r="Y6" s="3458"/>
      <c r="Z6" s="3459"/>
      <c r="AA6" s="3432"/>
      <c r="AB6" s="3432"/>
      <c r="AC6" s="3432"/>
    </row>
    <row r="7" spans="1:29" s="102" customFormat="1" ht="15" thickBot="1">
      <c r="A7" s="350" t="s">
        <v>1679</v>
      </c>
      <c r="B7" s="351"/>
      <c r="C7" s="352">
        <f>'数据-取费表'!B2</f>
        <v>45728</v>
      </c>
      <c r="D7" s="353">
        <v>100</v>
      </c>
      <c r="E7" s="354"/>
      <c r="F7" s="355">
        <f>SUMIF(48:48,YEAR(E7)&amp;"-"&amp;MONTH(E7),49:49)</f>
        <v>0</v>
      </c>
      <c r="G7" s="354"/>
      <c r="H7" s="353">
        <f>SUMIF(48:48,YEAR(G7)&amp;"-"&amp;MONTH(G7),49:49)</f>
        <v>0</v>
      </c>
      <c r="I7" s="354"/>
      <c r="J7" s="353">
        <f>SUMIF(48:48,YEAR(I7)&amp;"-"&amp;MONTH(I7),49:49)</f>
        <v>0</v>
      </c>
      <c r="K7" s="38"/>
      <c r="L7" s="2486"/>
      <c r="M7" s="2437"/>
      <c r="N7" s="2437"/>
      <c r="O7" s="2437"/>
      <c r="P7" s="3433" t="s">
        <v>1680</v>
      </c>
      <c r="Q7" s="3461"/>
      <c r="R7" s="662" t="s">
        <v>14</v>
      </c>
      <c r="S7" s="663">
        <f t="shared" ref="S7:S14" si="0">F7</f>
        <v>0</v>
      </c>
      <c r="T7" s="662" t="s">
        <v>14</v>
      </c>
      <c r="U7" s="663">
        <f t="shared" ref="U7:U14" si="1">H7</f>
        <v>0</v>
      </c>
      <c r="V7" s="662" t="s">
        <v>14</v>
      </c>
      <c r="W7" s="663">
        <f t="shared" ref="W7:W14" si="2">J7</f>
        <v>0</v>
      </c>
      <c r="X7" s="664"/>
      <c r="Y7" s="3433" t="s">
        <v>1680</v>
      </c>
      <c r="Z7" s="3434"/>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6"/>
      <c r="M8" s="2437"/>
      <c r="N8" s="2437"/>
      <c r="O8" s="2437"/>
      <c r="P8" s="3433" t="s">
        <v>1683</v>
      </c>
      <c r="Q8" s="3434"/>
      <c r="R8" s="662" t="s">
        <v>14</v>
      </c>
      <c r="S8" s="663">
        <f t="shared" si="0"/>
        <v>100</v>
      </c>
      <c r="T8" s="662" t="s">
        <v>14</v>
      </c>
      <c r="U8" s="663">
        <f t="shared" si="1"/>
        <v>100</v>
      </c>
      <c r="V8" s="662" t="s">
        <v>14</v>
      </c>
      <c r="W8" s="663">
        <f t="shared" si="2"/>
        <v>100</v>
      </c>
      <c r="X8" s="664"/>
      <c r="Y8" s="3433" t="s">
        <v>1683</v>
      </c>
      <c r="Z8" s="3434"/>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6"/>
      <c r="M9" s="2437"/>
      <c r="N9" s="2437"/>
      <c r="O9" s="2437"/>
      <c r="P9" s="3465" t="s">
        <v>1686</v>
      </c>
      <c r="Q9" s="528" t="str">
        <f t="shared" ref="Q9:Q14" si="6">B9</f>
        <v>用途</v>
      </c>
      <c r="R9" s="662" t="s">
        <v>14</v>
      </c>
      <c r="S9" s="663">
        <f t="shared" si="0"/>
        <v>100</v>
      </c>
      <c r="T9" s="662" t="s">
        <v>14</v>
      </c>
      <c r="U9" s="663">
        <f t="shared" si="1"/>
        <v>100</v>
      </c>
      <c r="V9" s="662" t="s">
        <v>14</v>
      </c>
      <c r="W9" s="663">
        <f t="shared" si="2"/>
        <v>100</v>
      </c>
      <c r="X9" s="664"/>
      <c r="Y9" s="3377" t="s">
        <v>1687</v>
      </c>
      <c r="Z9" s="50" t="str">
        <f t="shared" ref="Z9:Z14" si="7">Q9</f>
        <v>用途</v>
      </c>
      <c r="AA9" s="50">
        <f t="shared" si="3"/>
        <v>1</v>
      </c>
      <c r="AB9" s="50">
        <f t="shared" si="4"/>
        <v>1</v>
      </c>
      <c r="AC9" s="50">
        <f t="shared" si="5"/>
        <v>1</v>
      </c>
    </row>
    <row r="10" spans="1:29" s="364" customFormat="1" ht="28.8">
      <c r="A10" s="563"/>
      <c r="B10" s="564" t="s">
        <v>1688</v>
      </c>
      <c r="C10" s="3130"/>
      <c r="D10" s="117">
        <v>100</v>
      </c>
      <c r="E10" s="3130"/>
      <c r="F10" s="117">
        <f>SUMIF(55:55,E10,56:56)-SUMIF(55:55,C10,56:56)+100</f>
        <v>100</v>
      </c>
      <c r="G10" s="3131"/>
      <c r="H10" s="117">
        <f>SUMIF(55:55,G10,56:56)-SUMIF(55:55,C10,56:56)+100</f>
        <v>100</v>
      </c>
      <c r="I10" s="3130"/>
      <c r="J10" s="117">
        <f>SUMIF(55:55,I10,56:56)-SUMIF(55:55,C10,56:56)+100</f>
        <v>100</v>
      </c>
      <c r="K10" s="38"/>
      <c r="L10" s="2487"/>
      <c r="M10" s="2488"/>
      <c r="N10" s="2488"/>
      <c r="O10" s="2488"/>
      <c r="P10" s="3465"/>
      <c r="Q10" s="528" t="str">
        <f t="shared" si="6"/>
        <v>土地使用年限（年）</v>
      </c>
      <c r="R10" s="662" t="s">
        <v>14</v>
      </c>
      <c r="S10" s="663">
        <f t="shared" si="0"/>
        <v>100</v>
      </c>
      <c r="T10" s="662" t="s">
        <v>14</v>
      </c>
      <c r="U10" s="663">
        <f t="shared" si="1"/>
        <v>100</v>
      </c>
      <c r="V10" s="662" t="s">
        <v>14</v>
      </c>
      <c r="W10" s="663">
        <f t="shared" si="2"/>
        <v>100</v>
      </c>
      <c r="X10" s="664"/>
      <c r="Y10" s="3377"/>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9"/>
      <c r="M11" s="2485"/>
      <c r="N11" s="2485"/>
      <c r="O11" s="2485"/>
      <c r="P11" s="3465"/>
      <c r="Q11" s="528">
        <f t="shared" si="6"/>
        <v>111</v>
      </c>
      <c r="R11" s="662" t="s">
        <v>14</v>
      </c>
      <c r="S11" s="663">
        <f t="shared" si="0"/>
        <v>100</v>
      </c>
      <c r="T11" s="662" t="s">
        <v>14</v>
      </c>
      <c r="U11" s="663">
        <f t="shared" si="1"/>
        <v>100</v>
      </c>
      <c r="V11" s="662" t="s">
        <v>14</v>
      </c>
      <c r="W11" s="663">
        <f t="shared" si="2"/>
        <v>100</v>
      </c>
      <c r="X11" s="664"/>
      <c r="Y11" s="3377"/>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6"/>
      <c r="M12" s="2437"/>
      <c r="N12" s="2437"/>
      <c r="O12" s="2437"/>
      <c r="P12" s="3465"/>
      <c r="Q12" s="528">
        <f t="shared" si="6"/>
        <v>111</v>
      </c>
      <c r="R12" s="662" t="s">
        <v>14</v>
      </c>
      <c r="S12" s="663">
        <f t="shared" si="0"/>
        <v>100</v>
      </c>
      <c r="T12" s="662" t="s">
        <v>14</v>
      </c>
      <c r="U12" s="663">
        <f t="shared" si="1"/>
        <v>100</v>
      </c>
      <c r="V12" s="662" t="s">
        <v>14</v>
      </c>
      <c r="W12" s="663">
        <f t="shared" si="2"/>
        <v>100</v>
      </c>
      <c r="X12" s="664"/>
      <c r="Y12" s="3377"/>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90"/>
      <c r="M13" s="2485"/>
      <c r="N13" s="2485"/>
      <c r="O13" s="2485"/>
      <c r="P13" s="3465"/>
      <c r="Q13" s="528">
        <f t="shared" si="6"/>
        <v>111</v>
      </c>
      <c r="R13" s="662" t="s">
        <v>14</v>
      </c>
      <c r="S13" s="663">
        <f t="shared" si="0"/>
        <v>100</v>
      </c>
      <c r="T13" s="662" t="s">
        <v>14</v>
      </c>
      <c r="U13" s="663">
        <f t="shared" si="1"/>
        <v>100</v>
      </c>
      <c r="V13" s="662" t="s">
        <v>14</v>
      </c>
      <c r="W13" s="663">
        <f t="shared" si="2"/>
        <v>100</v>
      </c>
      <c r="X13" s="664"/>
      <c r="Y13" s="3377"/>
      <c r="Z13" s="50">
        <f t="shared" si="7"/>
        <v>111</v>
      </c>
      <c r="AA13" s="50">
        <f t="shared" si="3"/>
        <v>1</v>
      </c>
      <c r="AB13" s="50">
        <f t="shared" si="4"/>
        <v>1</v>
      </c>
      <c r="AC13" s="50">
        <f t="shared" si="5"/>
        <v>1</v>
      </c>
    </row>
    <row r="14" spans="1:29" ht="15">
      <c r="A14" s="343" t="s">
        <v>1690</v>
      </c>
      <c r="B14" s="552" t="s">
        <v>1833</v>
      </c>
      <c r="C14" s="1816">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90"/>
      <c r="M14" s="2485"/>
      <c r="N14" s="2485"/>
      <c r="O14" s="2485"/>
      <c r="P14" s="3466" t="s">
        <v>1691</v>
      </c>
      <c r="Q14" s="1260" t="str">
        <f t="shared" si="6"/>
        <v>交通便捷度</v>
      </c>
      <c r="R14" s="665" t="s">
        <v>14</v>
      </c>
      <c r="S14" s="666">
        <f t="shared" si="0"/>
        <v>100</v>
      </c>
      <c r="T14" s="665" t="s">
        <v>14</v>
      </c>
      <c r="U14" s="666">
        <f t="shared" si="1"/>
        <v>100</v>
      </c>
      <c r="V14" s="665" t="s">
        <v>14</v>
      </c>
      <c r="W14" s="666">
        <f t="shared" si="2"/>
        <v>100</v>
      </c>
      <c r="X14" s="1262"/>
      <c r="Y14" s="3466"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90"/>
      <c r="M15" s="2485"/>
      <c r="N15" s="2485"/>
      <c r="O15" s="2485"/>
      <c r="P15" s="3467"/>
      <c r="Q15" s="1260"/>
      <c r="R15" s="665"/>
      <c r="S15" s="666"/>
      <c r="T15" s="665"/>
      <c r="U15" s="666"/>
      <c r="V15" s="665"/>
      <c r="W15" s="666"/>
      <c r="X15" s="1262"/>
      <c r="Y15" s="3467"/>
      <c r="Z15" s="1261"/>
      <c r="AA15" s="1261">
        <v>1</v>
      </c>
      <c r="AB15" s="1261">
        <v>1</v>
      </c>
      <c r="AC15" s="1261">
        <v>1</v>
      </c>
    </row>
    <row r="16" spans="1:29" ht="15">
      <c r="A16" s="346"/>
      <c r="B16" s="554" t="s">
        <v>1812</v>
      </c>
      <c r="C16" s="1751">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90"/>
      <c r="M16" s="2485"/>
      <c r="N16" s="2485"/>
      <c r="O16" s="2485"/>
      <c r="P16" s="3467"/>
      <c r="Q16" s="1260" t="str">
        <f>B16</f>
        <v>公共配套设施</v>
      </c>
      <c r="R16" s="665" t="s">
        <v>14</v>
      </c>
      <c r="S16" s="666">
        <f>F16</f>
        <v>100</v>
      </c>
      <c r="T16" s="665" t="s">
        <v>14</v>
      </c>
      <c r="U16" s="666">
        <f>H16</f>
        <v>100</v>
      </c>
      <c r="V16" s="665" t="s">
        <v>14</v>
      </c>
      <c r="W16" s="666">
        <f>J16</f>
        <v>100</v>
      </c>
      <c r="X16" s="1262"/>
      <c r="Y16" s="3467"/>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90"/>
      <c r="M17" s="2485"/>
      <c r="N17" s="2485"/>
      <c r="O17" s="2485"/>
      <c r="P17" s="3467"/>
      <c r="Q17" s="1260"/>
      <c r="R17" s="665"/>
      <c r="S17" s="666"/>
      <c r="T17" s="665"/>
      <c r="U17" s="666"/>
      <c r="V17" s="665"/>
      <c r="W17" s="666"/>
      <c r="X17" s="1262"/>
      <c r="Y17" s="3467"/>
      <c r="Z17" s="1261"/>
      <c r="AA17" s="1261">
        <v>1</v>
      </c>
      <c r="AB17" s="1261">
        <v>1</v>
      </c>
      <c r="AC17" s="1261">
        <v>1</v>
      </c>
    </row>
    <row r="18" spans="1:29" ht="15">
      <c r="A18" s="346"/>
      <c r="B18" s="555" t="s">
        <v>1813</v>
      </c>
      <c r="C18" s="1751">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90"/>
      <c r="M18" s="2485"/>
      <c r="N18" s="2485"/>
      <c r="O18" s="2485"/>
      <c r="P18" s="3467"/>
      <c r="Q18" s="1260" t="str">
        <f>B18</f>
        <v>基础设施水平</v>
      </c>
      <c r="R18" s="665" t="s">
        <v>14</v>
      </c>
      <c r="S18" s="666">
        <f>F18</f>
        <v>100</v>
      </c>
      <c r="T18" s="665" t="s">
        <v>14</v>
      </c>
      <c r="U18" s="666">
        <f>H18</f>
        <v>100</v>
      </c>
      <c r="V18" s="665" t="s">
        <v>14</v>
      </c>
      <c r="W18" s="666">
        <f>J18</f>
        <v>100</v>
      </c>
      <c r="X18" s="1262"/>
      <c r="Y18" s="3467"/>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2"/>
      <c r="L19" s="2490"/>
      <c r="M19" s="2485"/>
      <c r="N19" s="2485"/>
      <c r="O19" s="2485"/>
      <c r="P19" s="3467"/>
      <c r="Q19" s="1260"/>
      <c r="R19" s="665"/>
      <c r="S19" s="666"/>
      <c r="T19" s="665"/>
      <c r="U19" s="666"/>
      <c r="V19" s="665"/>
      <c r="W19" s="666"/>
      <c r="X19" s="1262"/>
      <c r="Y19" s="3467"/>
      <c r="Z19" s="1261"/>
      <c r="AA19" s="1261">
        <v>1</v>
      </c>
      <c r="AB19" s="1261">
        <v>1</v>
      </c>
      <c r="AC19" s="1261">
        <v>1</v>
      </c>
    </row>
    <row r="20" spans="1:29" ht="15">
      <c r="A20" s="346"/>
      <c r="B20" s="554" t="s">
        <v>1834</v>
      </c>
      <c r="C20" s="1751">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90"/>
      <c r="M20" s="2485"/>
      <c r="N20" s="2485"/>
      <c r="O20" s="2485"/>
      <c r="P20" s="3467"/>
      <c r="Q20" s="1260" t="str">
        <f>B20</f>
        <v>自然及人文环境</v>
      </c>
      <c r="R20" s="665" t="s">
        <v>14</v>
      </c>
      <c r="S20" s="666">
        <f>F20</f>
        <v>100</v>
      </c>
      <c r="T20" s="665" t="s">
        <v>14</v>
      </c>
      <c r="U20" s="666">
        <f>H20</f>
        <v>100</v>
      </c>
      <c r="V20" s="665" t="s">
        <v>14</v>
      </c>
      <c r="W20" s="666">
        <f>J20</f>
        <v>100</v>
      </c>
      <c r="X20" s="1262"/>
      <c r="Y20" s="3467"/>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90"/>
      <c r="M21" s="2485"/>
      <c r="N21" s="2485"/>
      <c r="O21" s="2485"/>
      <c r="P21" s="3467"/>
      <c r="Q21" s="1260"/>
      <c r="R21" s="665"/>
      <c r="S21" s="666"/>
      <c r="T21" s="665"/>
      <c r="U21" s="666"/>
      <c r="V21" s="665"/>
      <c r="W21" s="666"/>
      <c r="X21" s="1262"/>
      <c r="Y21" s="3467"/>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90"/>
      <c r="M22" s="2485"/>
      <c r="N22" s="2485"/>
      <c r="O22" s="2485"/>
      <c r="P22" s="3467"/>
      <c r="Q22" s="1260" t="str">
        <f>B22</f>
        <v>楼层</v>
      </c>
      <c r="R22" s="665" t="s">
        <v>14</v>
      </c>
      <c r="S22" s="666">
        <f>F22</f>
        <v>100</v>
      </c>
      <c r="T22" s="665" t="s">
        <v>14</v>
      </c>
      <c r="U22" s="666">
        <f>H22</f>
        <v>100</v>
      </c>
      <c r="V22" s="665" t="s">
        <v>14</v>
      </c>
      <c r="W22" s="666">
        <f>J22</f>
        <v>100</v>
      </c>
      <c r="X22" s="1262"/>
      <c r="Y22" s="3467"/>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90"/>
      <c r="M23" s="2485"/>
      <c r="N23" s="2485"/>
      <c r="O23" s="2485"/>
      <c r="P23" s="3467"/>
      <c r="Q23" s="1260">
        <f>B23</f>
        <v>111</v>
      </c>
      <c r="R23" s="665" t="s">
        <v>14</v>
      </c>
      <c r="S23" s="666">
        <f>F23</f>
        <v>100</v>
      </c>
      <c r="T23" s="665" t="s">
        <v>14</v>
      </c>
      <c r="U23" s="666">
        <f>H23</f>
        <v>100</v>
      </c>
      <c r="V23" s="665" t="s">
        <v>14</v>
      </c>
      <c r="W23" s="666">
        <f>J23</f>
        <v>100</v>
      </c>
      <c r="X23" s="1262"/>
      <c r="Y23" s="3467"/>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90"/>
      <c r="M24" s="2485"/>
      <c r="N24" s="2485"/>
      <c r="O24" s="2485"/>
      <c r="P24" s="3467"/>
      <c r="Q24" s="1260">
        <f t="shared" ref="Q24:Q36" si="11">B24</f>
        <v>111</v>
      </c>
      <c r="R24" s="665" t="s">
        <v>14</v>
      </c>
      <c r="S24" s="666">
        <f>F24</f>
        <v>100</v>
      </c>
      <c r="T24" s="665" t="s">
        <v>14</v>
      </c>
      <c r="U24" s="666">
        <f>H24</f>
        <v>100</v>
      </c>
      <c r="V24" s="665" t="s">
        <v>14</v>
      </c>
      <c r="W24" s="666">
        <f>J24</f>
        <v>100</v>
      </c>
      <c r="X24" s="1262"/>
      <c r="Y24" s="3467"/>
      <c r="Z24" s="1261">
        <f>Q24</f>
        <v>111</v>
      </c>
      <c r="AA24" s="1261">
        <f t="shared" si="3"/>
        <v>1</v>
      </c>
      <c r="AB24" s="1261">
        <f t="shared" si="4"/>
        <v>1</v>
      </c>
      <c r="AC24" s="1261">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6"/>
      <c r="M25" s="2437"/>
      <c r="N25" s="2437"/>
      <c r="O25" s="2437"/>
      <c r="P25" s="3467"/>
      <c r="Q25" s="528">
        <f t="shared" si="11"/>
        <v>111</v>
      </c>
      <c r="R25" s="662" t="s">
        <v>14</v>
      </c>
      <c r="S25" s="663">
        <f>F25</f>
        <v>100</v>
      </c>
      <c r="T25" s="662" t="s">
        <v>14</v>
      </c>
      <c r="U25" s="663">
        <f>H25</f>
        <v>100</v>
      </c>
      <c r="V25" s="662" t="s">
        <v>14</v>
      </c>
      <c r="W25" s="663">
        <f>J25</f>
        <v>100</v>
      </c>
      <c r="X25" s="664"/>
      <c r="Y25" s="3467"/>
      <c r="Z25" s="50">
        <f>Q25</f>
        <v>111</v>
      </c>
      <c r="AA25" s="1261">
        <f>D25/F25</f>
        <v>1</v>
      </c>
      <c r="AB25" s="1261">
        <f>D25/H25</f>
        <v>1</v>
      </c>
      <c r="AC25" s="1261">
        <f>D25/J25</f>
        <v>1</v>
      </c>
    </row>
    <row r="26" spans="1:29" ht="30">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90"/>
      <c r="M26" s="2485"/>
      <c r="N26" s="2485"/>
      <c r="O26" s="2485"/>
      <c r="P26" s="3490"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71"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9"/>
      <c r="M27" s="2491"/>
      <c r="N27" s="2491"/>
      <c r="O27" s="2491"/>
      <c r="P27" s="3471"/>
      <c r="Q27" s="529" t="str">
        <f t="shared" si="11"/>
        <v>项目停车位配比</v>
      </c>
      <c r="R27" s="667" t="s">
        <v>14</v>
      </c>
      <c r="S27" s="668">
        <f t="shared" si="12"/>
        <v>100</v>
      </c>
      <c r="T27" s="667" t="s">
        <v>14</v>
      </c>
      <c r="U27" s="668">
        <f t="shared" si="13"/>
        <v>100</v>
      </c>
      <c r="V27" s="667" t="s">
        <v>14</v>
      </c>
      <c r="W27" s="668">
        <f t="shared" si="14"/>
        <v>100</v>
      </c>
      <c r="X27" s="669"/>
      <c r="Y27" s="3471"/>
      <c r="Z27" s="670"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90"/>
      <c r="M28" s="2485"/>
      <c r="N28" s="2485"/>
      <c r="O28" s="2485"/>
      <c r="P28" s="3471"/>
      <c r="Q28" s="1260" t="str">
        <f t="shared" si="11"/>
        <v>公共部分装修</v>
      </c>
      <c r="R28" s="665" t="s">
        <v>14</v>
      </c>
      <c r="S28" s="666">
        <f t="shared" si="12"/>
        <v>100</v>
      </c>
      <c r="T28" s="665" t="s">
        <v>14</v>
      </c>
      <c r="U28" s="666">
        <f t="shared" si="13"/>
        <v>100</v>
      </c>
      <c r="V28" s="665" t="s">
        <v>14</v>
      </c>
      <c r="W28" s="666">
        <f t="shared" si="14"/>
        <v>100</v>
      </c>
      <c r="X28" s="1262"/>
      <c r="Y28" s="3471"/>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90"/>
      <c r="M29" s="2485"/>
      <c r="N29" s="2485"/>
      <c r="O29" s="2485"/>
      <c r="P29" s="3471"/>
      <c r="Q29" s="1260" t="str">
        <f t="shared" si="11"/>
        <v>成新率</v>
      </c>
      <c r="R29" s="665" t="s">
        <v>14</v>
      </c>
      <c r="S29" s="666" t="e">
        <f t="shared" si="12"/>
        <v>#N/A</v>
      </c>
      <c r="T29" s="665" t="s">
        <v>14</v>
      </c>
      <c r="U29" s="666" t="e">
        <f t="shared" si="13"/>
        <v>#N/A</v>
      </c>
      <c r="V29" s="665" t="s">
        <v>14</v>
      </c>
      <c r="W29" s="666" t="e">
        <f t="shared" si="14"/>
        <v>#N/A</v>
      </c>
      <c r="X29" s="1262"/>
      <c r="Y29" s="3471"/>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90"/>
      <c r="M30" s="2485"/>
      <c r="N30" s="2485"/>
      <c r="O30" s="2485"/>
      <c r="P30" s="3471"/>
      <c r="Q30" s="1260" t="str">
        <f t="shared" si="11"/>
        <v>物业等级</v>
      </c>
      <c r="R30" s="665" t="s">
        <v>14</v>
      </c>
      <c r="S30" s="666">
        <f t="shared" si="12"/>
        <v>100</v>
      </c>
      <c r="T30" s="665" t="s">
        <v>14</v>
      </c>
      <c r="U30" s="666">
        <f t="shared" si="13"/>
        <v>100</v>
      </c>
      <c r="V30" s="665" t="s">
        <v>14</v>
      </c>
      <c r="W30" s="666">
        <f t="shared" si="14"/>
        <v>100</v>
      </c>
      <c r="X30" s="1262"/>
      <c r="Y30" s="3471"/>
      <c r="Z30" s="1261" t="str">
        <f t="shared" si="15"/>
        <v>物业等级</v>
      </c>
      <c r="AA30" s="1261">
        <f t="shared" si="3"/>
        <v>1</v>
      </c>
      <c r="AB30" s="1261">
        <f t="shared" si="4"/>
        <v>1</v>
      </c>
      <c r="AC30" s="1261">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6"/>
      <c r="M31" s="2437"/>
      <c r="N31" s="2437"/>
      <c r="O31" s="2437"/>
      <c r="P31" s="3471"/>
      <c r="Q31" s="528" t="str">
        <f t="shared" si="11"/>
        <v>停车位面积</v>
      </c>
      <c r="R31" s="662" t="s">
        <v>14</v>
      </c>
      <c r="S31" s="663" t="e">
        <f t="shared" si="12"/>
        <v>#N/A</v>
      </c>
      <c r="T31" s="662" t="s">
        <v>14</v>
      </c>
      <c r="U31" s="663" t="e">
        <f t="shared" si="13"/>
        <v>#N/A</v>
      </c>
      <c r="V31" s="662" t="s">
        <v>14</v>
      </c>
      <c r="W31" s="663" t="e">
        <f t="shared" si="14"/>
        <v>#N/A</v>
      </c>
      <c r="X31" s="664"/>
      <c r="Y31" s="3471"/>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90"/>
      <c r="M32" s="2485"/>
      <c r="N32" s="2485"/>
      <c r="O32" s="2485"/>
      <c r="P32" s="3471" t="s">
        <v>1696</v>
      </c>
      <c r="Q32" s="1260" t="str">
        <f t="shared" si="11"/>
        <v>车位类型</v>
      </c>
      <c r="R32" s="665" t="s">
        <v>14</v>
      </c>
      <c r="S32" s="666">
        <f t="shared" si="12"/>
        <v>100</v>
      </c>
      <c r="T32" s="665" t="s">
        <v>14</v>
      </c>
      <c r="U32" s="666">
        <f t="shared" si="13"/>
        <v>100</v>
      </c>
      <c r="V32" s="665" t="s">
        <v>14</v>
      </c>
      <c r="W32" s="666">
        <f t="shared" si="14"/>
        <v>100</v>
      </c>
      <c r="X32" s="1262"/>
      <c r="Y32" s="3471"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90"/>
      <c r="M33" s="2485"/>
      <c r="N33" s="2485"/>
      <c r="O33" s="2485"/>
      <c r="P33" s="3471"/>
      <c r="Q33" s="1260" t="str">
        <f t="shared" si="11"/>
        <v>是否直接入户</v>
      </c>
      <c r="R33" s="665" t="s">
        <v>14</v>
      </c>
      <c r="S33" s="666">
        <f t="shared" si="12"/>
        <v>100</v>
      </c>
      <c r="T33" s="665" t="s">
        <v>14</v>
      </c>
      <c r="U33" s="666">
        <f t="shared" si="13"/>
        <v>100</v>
      </c>
      <c r="V33" s="665" t="s">
        <v>14</v>
      </c>
      <c r="W33" s="666">
        <f t="shared" si="14"/>
        <v>100</v>
      </c>
      <c r="X33" s="1262"/>
      <c r="Y33" s="3471"/>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90"/>
      <c r="M34" s="2485"/>
      <c r="N34" s="2485"/>
      <c r="O34" s="2485"/>
      <c r="P34" s="3471"/>
      <c r="Q34" s="1260">
        <f t="shared" si="11"/>
        <v>111</v>
      </c>
      <c r="R34" s="665" t="s">
        <v>14</v>
      </c>
      <c r="S34" s="666">
        <f t="shared" si="12"/>
        <v>100</v>
      </c>
      <c r="T34" s="665" t="s">
        <v>14</v>
      </c>
      <c r="U34" s="666">
        <f t="shared" si="13"/>
        <v>100</v>
      </c>
      <c r="V34" s="665" t="s">
        <v>14</v>
      </c>
      <c r="W34" s="666">
        <f t="shared" si="14"/>
        <v>100</v>
      </c>
      <c r="X34" s="1262"/>
      <c r="Y34" s="3471"/>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9"/>
      <c r="M35" s="2491"/>
      <c r="N35" s="2491"/>
      <c r="O35" s="2491"/>
      <c r="P35" s="3471"/>
      <c r="Q35" s="529">
        <f t="shared" si="11"/>
        <v>111</v>
      </c>
      <c r="R35" s="667" t="s">
        <v>14</v>
      </c>
      <c r="S35" s="668">
        <f t="shared" si="12"/>
        <v>100</v>
      </c>
      <c r="T35" s="667" t="s">
        <v>14</v>
      </c>
      <c r="U35" s="668">
        <f t="shared" si="13"/>
        <v>100</v>
      </c>
      <c r="V35" s="667" t="s">
        <v>14</v>
      </c>
      <c r="W35" s="668">
        <f t="shared" si="14"/>
        <v>100</v>
      </c>
      <c r="X35" s="669"/>
      <c r="Y35" s="3471"/>
      <c r="Z35" s="670">
        <f t="shared" si="15"/>
        <v>111</v>
      </c>
      <c r="AA35" s="1261">
        <f t="shared" si="3"/>
        <v>1</v>
      </c>
      <c r="AB35" s="1261">
        <f t="shared" si="4"/>
        <v>1</v>
      </c>
      <c r="AC35" s="1261">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90"/>
      <c r="M36" s="2485"/>
      <c r="N36" s="2485"/>
      <c r="O36" s="2485"/>
      <c r="P36" s="3471"/>
      <c r="Q36" s="1260">
        <f t="shared" si="11"/>
        <v>111</v>
      </c>
      <c r="R36" s="665" t="s">
        <v>14</v>
      </c>
      <c r="S36" s="666">
        <f t="shared" si="12"/>
        <v>100</v>
      </c>
      <c r="T36" s="665" t="s">
        <v>14</v>
      </c>
      <c r="U36" s="666">
        <f t="shared" si="13"/>
        <v>100</v>
      </c>
      <c r="V36" s="665" t="s">
        <v>14</v>
      </c>
      <c r="W36" s="666">
        <f t="shared" si="14"/>
        <v>100</v>
      </c>
      <c r="X36" s="1262"/>
      <c r="Y36" s="3471"/>
      <c r="Z36" s="1261">
        <f t="shared" si="15"/>
        <v>111</v>
      </c>
      <c r="AA36" s="1261">
        <f t="shared" si="3"/>
        <v>1</v>
      </c>
      <c r="AB36" s="1261">
        <f t="shared" si="4"/>
        <v>1</v>
      </c>
      <c r="AC36" s="1261">
        <f t="shared" si="5"/>
        <v>1</v>
      </c>
    </row>
    <row r="37" spans="1:29" ht="14.4">
      <c r="A37" s="414" t="s">
        <v>1844</v>
      </c>
      <c r="B37" s="1818" t="s">
        <v>3341</v>
      </c>
      <c r="C37" s="1079" t="s">
        <v>0</v>
      </c>
      <c r="D37" s="416"/>
      <c r="E37" s="417"/>
      <c r="F37" s="418"/>
      <c r="G37" s="419"/>
      <c r="H37" s="420"/>
      <c r="I37" s="417"/>
      <c r="J37" s="420"/>
      <c r="K37" s="543"/>
      <c r="L37" s="2492"/>
      <c r="M37" s="2485"/>
      <c r="N37" s="2485"/>
      <c r="O37" s="2485"/>
      <c r="P37" s="3465" t="str">
        <f>A37</f>
        <v>成交单价</v>
      </c>
      <c r="Q37" s="3465"/>
      <c r="R37" s="3460">
        <f>E37</f>
        <v>0</v>
      </c>
      <c r="S37" s="3460"/>
      <c r="T37" s="3460">
        <f>G37</f>
        <v>0</v>
      </c>
      <c r="U37" s="3460"/>
      <c r="V37" s="3460">
        <f>I37</f>
        <v>0</v>
      </c>
      <c r="W37" s="3460"/>
      <c r="X37" s="383"/>
      <c r="Y37" s="671"/>
      <c r="Z37" s="383"/>
      <c r="AA37" s="383"/>
      <c r="AB37" s="383"/>
      <c r="AC37" s="383"/>
    </row>
    <row r="38" spans="1:29" ht="15" thickBot="1">
      <c r="A38" s="421" t="s">
        <v>1845</v>
      </c>
      <c r="B38" s="422" t="str">
        <f>B37</f>
        <v>元/平方米</v>
      </c>
      <c r="C38" s="1080" t="e">
        <f>R39</f>
        <v>#DIV/0!</v>
      </c>
      <c r="D38" s="2138" t="s">
        <v>2135</v>
      </c>
      <c r="E38" s="1081" t="e">
        <f>R38</f>
        <v>#DIV/0!</v>
      </c>
      <c r="F38" s="2139"/>
      <c r="G38" s="1080" t="e">
        <f>T38</f>
        <v>#DIV/0!</v>
      </c>
      <c r="H38" s="2139"/>
      <c r="I38" s="1081" t="e">
        <f>V38</f>
        <v>#DIV/0!</v>
      </c>
      <c r="J38" s="2139"/>
      <c r="K38" s="2141">
        <f>F38+H38+J38</f>
        <v>0</v>
      </c>
      <c r="L38" s="2492"/>
      <c r="M38" s="2485"/>
      <c r="N38" s="2485"/>
      <c r="O38" s="2485"/>
      <c r="P38" s="3465" t="str">
        <f>A38</f>
        <v>比较价值（元/平方米）</v>
      </c>
      <c r="Q38" s="3465"/>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92"/>
      <c r="M39" s="2485"/>
      <c r="N39" s="2485"/>
      <c r="O39" s="2485"/>
      <c r="P39" s="3462" t="str">
        <f>A39</f>
        <v>估价对象XX用房的比较价值（楼面单价，元/平方米）</v>
      </c>
      <c r="Q39" s="3463"/>
      <c r="R39" s="3491" t="e">
        <f>IF(F1="售价",ROUND(IF(D38="简单平均",AVERAGE(R38:W38),R38*F38+T38*H38+V38*J38),0),ROUND(IF(D38="简单平均",AVERAGE(R38:V38),R38*F38+T38*H38+V38*J38),1))</f>
        <v>#DIV/0!</v>
      </c>
      <c r="S39" s="3491"/>
      <c r="T39" s="3491"/>
      <c r="U39" s="3491"/>
      <c r="V39" s="3491"/>
      <c r="W39" s="3491"/>
      <c r="X39" s="383"/>
      <c r="Y39" s="383"/>
      <c r="Z39" s="383"/>
      <c r="AA39" s="383"/>
      <c r="AB39" s="383"/>
      <c r="AC39" s="383"/>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5" customFormat="1" ht="13.5" customHeight="1">
      <c r="A44" s="2495"/>
      <c r="B44" s="2495"/>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5"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5" t="s">
        <v>1850</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0" customFormat="1" ht="14.4">
      <c r="A48" s="438" t="s">
        <v>1851</v>
      </c>
      <c r="B48" s="439"/>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5"/>
      <c r="Q48" s="2508"/>
      <c r="R48" s="2508"/>
      <c r="S48" s="2508"/>
      <c r="T48" s="2508"/>
      <c r="U48" s="2508"/>
      <c r="V48" s="2508"/>
      <c r="W48" s="2508"/>
      <c r="X48" s="2508"/>
      <c r="Y48" s="2508"/>
      <c r="Z48" s="2508"/>
      <c r="AA48" s="2508"/>
      <c r="AB48" s="2508"/>
      <c r="AC48" s="2508"/>
    </row>
    <row r="49" spans="1:29" s="102" customFormat="1">
      <c r="A49" s="441"/>
      <c r="B49" s="442"/>
      <c r="C49" s="1095">
        <v>100</v>
      </c>
      <c r="D49" s="444"/>
      <c r="E49" s="444"/>
      <c r="F49" s="444"/>
      <c r="G49" s="444"/>
      <c r="H49" s="444"/>
      <c r="I49" s="444"/>
      <c r="J49" s="444"/>
      <c r="K49" s="444"/>
      <c r="L49" s="444"/>
      <c r="M49" s="445"/>
      <c r="N49" s="444"/>
      <c r="O49" s="445"/>
      <c r="P49" s="2526"/>
      <c r="Q49" s="2437"/>
      <c r="R49" s="2437"/>
      <c r="S49" s="2437"/>
      <c r="T49" s="2437"/>
      <c r="U49" s="2437"/>
      <c r="V49" s="2437"/>
      <c r="W49" s="2437"/>
      <c r="X49" s="2437"/>
      <c r="Y49" s="2437"/>
      <c r="Z49" s="2437"/>
      <c r="AA49" s="2437"/>
      <c r="AB49" s="2437"/>
      <c r="AC49" s="2437"/>
    </row>
    <row r="50" spans="1:29" s="102" customFormat="1" ht="15" thickBot="1">
      <c r="A50" s="447" t="s">
        <v>1716</v>
      </c>
      <c r="B50" s="448"/>
      <c r="C50" s="449"/>
      <c r="D50" s="450"/>
      <c r="E50" s="450"/>
      <c r="F50" s="450"/>
      <c r="G50" s="450"/>
      <c r="H50" s="450"/>
      <c r="I50" s="450"/>
      <c r="J50" s="450"/>
      <c r="K50" s="450"/>
      <c r="L50" s="450"/>
      <c r="M50" s="451"/>
      <c r="N50" s="450"/>
      <c r="O50" s="451"/>
      <c r="P50" s="2526"/>
      <c r="Q50" s="2506"/>
      <c r="R50" s="2437"/>
      <c r="S50" s="2437"/>
      <c r="T50" s="2437"/>
      <c r="U50" s="2437"/>
      <c r="V50" s="2437"/>
      <c r="W50" s="2437"/>
      <c r="X50" s="2437"/>
      <c r="Y50" s="2437"/>
      <c r="Z50" s="2437"/>
      <c r="AA50" s="2437"/>
      <c r="AB50" s="2437"/>
      <c r="AC50" s="2437"/>
    </row>
    <row r="51" spans="1:29" s="102" customFormat="1" ht="14.4">
      <c r="A51" s="453" t="s">
        <v>1681</v>
      </c>
      <c r="B51" s="442"/>
      <c r="C51" s="454" t="s">
        <v>1776</v>
      </c>
      <c r="D51" s="31"/>
      <c r="E51" s="31"/>
      <c r="F51" s="31"/>
      <c r="G51" s="31"/>
      <c r="H51" s="31"/>
      <c r="I51" s="31"/>
      <c r="J51" s="31"/>
      <c r="K51" s="31"/>
      <c r="L51" s="455"/>
      <c r="M51" s="456"/>
      <c r="N51" s="2518"/>
      <c r="O51" s="2518"/>
      <c r="P51" s="2527"/>
      <c r="Q51" s="2506"/>
      <c r="R51" s="2437"/>
      <c r="S51" s="2437"/>
      <c r="T51" s="2437"/>
      <c r="U51" s="2437"/>
      <c r="V51" s="2437"/>
      <c r="W51" s="2437"/>
      <c r="X51" s="2437"/>
      <c r="Y51" s="2437"/>
      <c r="Z51" s="2437"/>
      <c r="AA51" s="2437"/>
      <c r="AB51" s="2437"/>
      <c r="AC51" s="2437"/>
    </row>
    <row r="52" spans="1:29" s="102" customFormat="1" ht="14.4" thickBot="1">
      <c r="A52" s="453"/>
      <c r="B52" s="442"/>
      <c r="C52" s="561">
        <v>100</v>
      </c>
      <c r="D52" s="444"/>
      <c r="E52" s="444"/>
      <c r="F52" s="444"/>
      <c r="G52" s="444"/>
      <c r="H52" s="444"/>
      <c r="I52" s="444"/>
      <c r="J52" s="444"/>
      <c r="K52" s="444"/>
      <c r="L52" s="444"/>
      <c r="M52" s="446"/>
      <c r="N52" s="2518"/>
      <c r="O52" s="2518"/>
      <c r="P52" s="2526"/>
      <c r="Q52" s="2506"/>
      <c r="R52" s="2437"/>
      <c r="S52" s="2437"/>
      <c r="T52" s="2437"/>
      <c r="U52" s="2437"/>
      <c r="V52" s="2437"/>
      <c r="W52" s="2437"/>
      <c r="X52" s="2437"/>
      <c r="Y52" s="2437"/>
      <c r="Z52" s="2437"/>
      <c r="AA52" s="2437"/>
      <c r="AB52" s="2437"/>
      <c r="AC52" s="2437"/>
    </row>
    <row r="53" spans="1:29" ht="14.4">
      <c r="A53" s="377" t="s">
        <v>1719</v>
      </c>
      <c r="B53" s="458" t="s">
        <v>1685</v>
      </c>
      <c r="C53" s="459">
        <f>C9</f>
        <v>0</v>
      </c>
      <c r="D53" s="460"/>
      <c r="E53" s="460"/>
      <c r="F53" s="460"/>
      <c r="G53" s="460"/>
      <c r="H53" s="460"/>
      <c r="I53" s="460"/>
      <c r="J53" s="460"/>
      <c r="K53" s="461"/>
      <c r="L53" s="462"/>
      <c r="M53" s="463"/>
      <c r="N53" s="2519"/>
      <c r="O53" s="2519"/>
      <c r="P53" s="2528"/>
      <c r="Q53" s="2506"/>
      <c r="R53" s="2485"/>
      <c r="S53" s="2485"/>
      <c r="T53" s="2485"/>
      <c r="U53" s="2485"/>
      <c r="V53" s="2485"/>
      <c r="W53" s="2485"/>
      <c r="X53" s="2485"/>
      <c r="Y53" s="2485"/>
      <c r="Z53" s="2485"/>
      <c r="AA53" s="2485"/>
      <c r="AB53" s="2485"/>
      <c r="AC53" s="2485"/>
    </row>
    <row r="54" spans="1:29" ht="14.4" thickBot="1">
      <c r="A54" s="365"/>
      <c r="B54" s="464"/>
      <c r="C54" s="465">
        <v>100</v>
      </c>
      <c r="D54" s="465"/>
      <c r="E54" s="465"/>
      <c r="F54" s="465"/>
      <c r="G54" s="465"/>
      <c r="H54" s="465"/>
      <c r="I54" s="465"/>
      <c r="J54" s="465"/>
      <c r="K54" s="465"/>
      <c r="L54" s="465"/>
      <c r="M54" s="466"/>
      <c r="N54" s="2520"/>
      <c r="O54" s="2520"/>
      <c r="P54" s="2528"/>
      <c r="Q54" s="2506"/>
      <c r="R54" s="2485"/>
      <c r="S54" s="2485"/>
      <c r="T54" s="2485"/>
      <c r="U54" s="2485"/>
      <c r="V54" s="2485"/>
      <c r="W54" s="2485"/>
      <c r="X54" s="2485"/>
      <c r="Y54" s="2485"/>
      <c r="Z54" s="2485"/>
      <c r="AA54" s="2485"/>
      <c r="AB54" s="2485"/>
      <c r="AC54" s="2485"/>
    </row>
    <row r="55" spans="1:29" ht="29.4" thickTop="1">
      <c r="A55" s="365"/>
      <c r="B55" s="467" t="s">
        <v>1688</v>
      </c>
      <c r="C55" s="511"/>
      <c r="D55" s="511"/>
      <c r="E55" s="511"/>
      <c r="F55" s="511"/>
      <c r="G55" s="511"/>
      <c r="H55" s="511"/>
      <c r="I55" s="511"/>
      <c r="J55" s="511"/>
      <c r="K55" s="512"/>
      <c r="L55" s="513"/>
      <c r="M55" s="514"/>
      <c r="N55" s="2519"/>
      <c r="O55" s="2519"/>
      <c r="P55" s="2528"/>
      <c r="Q55" s="2506"/>
      <c r="R55" s="2485"/>
      <c r="S55" s="2485"/>
      <c r="T55" s="2485"/>
      <c r="U55" s="2485"/>
      <c r="V55" s="2485"/>
      <c r="W55" s="2485"/>
      <c r="X55" s="2485"/>
      <c r="Y55" s="2485"/>
      <c r="Z55" s="2485"/>
      <c r="AA55" s="2485"/>
      <c r="AB55" s="2485"/>
      <c r="AC55" s="2485"/>
    </row>
    <row r="56" spans="1:29" ht="14.4" thickBot="1">
      <c r="A56" s="365"/>
      <c r="B56" s="472"/>
      <c r="C56" s="465"/>
      <c r="D56" s="465"/>
      <c r="E56" s="465"/>
      <c r="F56" s="465"/>
      <c r="G56" s="465"/>
      <c r="H56" s="465"/>
      <c r="I56" s="465"/>
      <c r="J56" s="465"/>
      <c r="K56" s="465"/>
      <c r="L56" s="465"/>
      <c r="M56" s="466"/>
      <c r="N56" s="2520"/>
      <c r="O56" s="2520"/>
      <c r="P56" s="2528"/>
      <c r="Q56" s="2506"/>
      <c r="R56" s="2485"/>
      <c r="S56" s="2485"/>
      <c r="T56" s="2485"/>
      <c r="U56" s="2485"/>
      <c r="V56" s="2485"/>
      <c r="W56" s="2485"/>
      <c r="X56" s="2485"/>
      <c r="Y56" s="2485"/>
      <c r="Z56" s="2485"/>
      <c r="AA56" s="2485"/>
      <c r="AB56" s="2485"/>
      <c r="AC56" s="2485"/>
    </row>
    <row r="57" spans="1:29" ht="14.4" thickTop="1">
      <c r="A57" s="365"/>
      <c r="B57" s="579">
        <f>B11</f>
        <v>111</v>
      </c>
      <c r="C57" s="478"/>
      <c r="D57" s="478"/>
      <c r="E57" s="478"/>
      <c r="F57" s="478"/>
      <c r="G57" s="478"/>
      <c r="H57" s="478"/>
      <c r="I57" s="478"/>
      <c r="J57" s="478"/>
      <c r="K57" s="479"/>
      <c r="L57" s="480"/>
      <c r="M57" s="481"/>
      <c r="N57" s="2519"/>
      <c r="O57" s="2519"/>
      <c r="P57" s="2528"/>
      <c r="Q57" s="2506"/>
      <c r="R57" s="2485"/>
      <c r="S57" s="2485"/>
      <c r="T57" s="2485"/>
      <c r="U57" s="2485"/>
      <c r="V57" s="2485"/>
      <c r="W57" s="2485"/>
      <c r="X57" s="2485"/>
      <c r="Y57" s="2485"/>
      <c r="Z57" s="2485"/>
      <c r="AA57" s="2485"/>
      <c r="AB57" s="2485"/>
      <c r="AC57" s="2485"/>
    </row>
    <row r="58" spans="1:29" ht="14.4" thickBot="1">
      <c r="A58" s="365"/>
      <c r="B58" s="464"/>
      <c r="C58" s="489"/>
      <c r="D58" s="465"/>
      <c r="E58" s="465"/>
      <c r="F58" s="465"/>
      <c r="G58" s="465"/>
      <c r="H58" s="465"/>
      <c r="I58" s="465"/>
      <c r="J58" s="465"/>
      <c r="K58" s="465"/>
      <c r="L58" s="465"/>
      <c r="M58" s="466"/>
      <c r="N58" s="2520"/>
      <c r="O58" s="2520"/>
      <c r="P58" s="2528"/>
      <c r="Q58" s="2506"/>
      <c r="R58" s="2485"/>
      <c r="S58" s="2485"/>
      <c r="T58" s="2485"/>
      <c r="U58" s="2485"/>
      <c r="V58" s="2485"/>
      <c r="W58" s="2485"/>
      <c r="X58" s="2485"/>
      <c r="Y58" s="2485"/>
      <c r="Z58" s="2485"/>
      <c r="AA58" s="2485"/>
      <c r="AB58" s="2485"/>
      <c r="AC58" s="2485"/>
    </row>
    <row r="59" spans="1:29" s="406" customFormat="1" ht="14.4" thickTop="1">
      <c r="A59" s="482"/>
      <c r="B59" s="467">
        <f>B12</f>
        <v>111</v>
      </c>
      <c r="C59" s="478"/>
      <c r="D59" s="478"/>
      <c r="E59" s="478"/>
      <c r="F59" s="478"/>
      <c r="G59" s="483"/>
      <c r="H59" s="484"/>
      <c r="I59" s="484"/>
      <c r="J59" s="484"/>
      <c r="K59" s="484"/>
      <c r="L59" s="485"/>
      <c r="M59" s="486"/>
      <c r="N59" s="2521"/>
      <c r="O59" s="2521"/>
      <c r="P59" s="2529"/>
      <c r="Q59" s="2513"/>
      <c r="R59" s="2491"/>
      <c r="S59" s="2491"/>
      <c r="T59" s="2491"/>
      <c r="U59" s="2491"/>
      <c r="V59" s="2491"/>
      <c r="W59" s="2491"/>
      <c r="X59" s="2491"/>
      <c r="Y59" s="2491"/>
      <c r="Z59" s="2491"/>
      <c r="AA59" s="2491"/>
      <c r="AB59" s="2491"/>
      <c r="AC59" s="2491"/>
    </row>
    <row r="60" spans="1:29" s="406" customFormat="1" ht="14.4" thickBot="1">
      <c r="A60" s="482"/>
      <c r="B60" s="472"/>
      <c r="C60" s="489"/>
      <c r="D60" s="465"/>
      <c r="E60" s="465"/>
      <c r="F60" s="465"/>
      <c r="G60" s="465"/>
      <c r="H60" s="465"/>
      <c r="I60" s="465"/>
      <c r="J60" s="465"/>
      <c r="K60" s="465"/>
      <c r="L60" s="465"/>
      <c r="M60" s="466"/>
      <c r="N60" s="2520"/>
      <c r="O60" s="2520"/>
      <c r="P60" s="2529"/>
      <c r="Q60" s="2513"/>
      <c r="R60" s="2491"/>
      <c r="S60" s="2491"/>
      <c r="T60" s="2491"/>
      <c r="U60" s="2491"/>
      <c r="V60" s="2491"/>
      <c r="W60" s="2491"/>
      <c r="X60" s="2491"/>
      <c r="Y60" s="2491"/>
      <c r="Z60" s="2491"/>
      <c r="AA60" s="2491"/>
      <c r="AB60" s="2491"/>
      <c r="AC60" s="2491"/>
    </row>
    <row r="61" spans="1:29" s="406" customFormat="1" ht="14.4" thickTop="1">
      <c r="A61" s="482"/>
      <c r="B61" s="467">
        <f>B13</f>
        <v>111</v>
      </c>
      <c r="C61" s="483"/>
      <c r="D61" s="483"/>
      <c r="E61" s="483"/>
      <c r="F61" s="483"/>
      <c r="G61" s="483"/>
      <c r="H61" s="484"/>
      <c r="I61" s="484"/>
      <c r="J61" s="484"/>
      <c r="K61" s="484"/>
      <c r="L61" s="485"/>
      <c r="M61" s="486"/>
      <c r="N61" s="2521"/>
      <c r="O61" s="2521"/>
      <c r="P61" s="2530"/>
      <c r="Q61" s="2515"/>
      <c r="R61" s="2491"/>
      <c r="S61" s="2491"/>
      <c r="T61" s="2491"/>
      <c r="U61" s="2491"/>
      <c r="V61" s="2491"/>
      <c r="W61" s="2491"/>
      <c r="X61" s="2491"/>
      <c r="Y61" s="2491"/>
      <c r="Z61" s="2491"/>
      <c r="AA61" s="2491"/>
      <c r="AB61" s="2491"/>
      <c r="AC61" s="2491"/>
    </row>
    <row r="62" spans="1:29" s="406" customFormat="1" ht="14.4" thickBot="1">
      <c r="A62" s="482"/>
      <c r="B62" s="472"/>
      <c r="C62" s="489"/>
      <c r="D62" s="489"/>
      <c r="E62" s="489"/>
      <c r="F62" s="489"/>
      <c r="G62" s="489"/>
      <c r="H62" s="491"/>
      <c r="I62" s="491"/>
      <c r="J62" s="491"/>
      <c r="K62" s="491"/>
      <c r="L62" s="491"/>
      <c r="M62" s="492"/>
      <c r="N62" s="2521"/>
      <c r="O62" s="2521"/>
      <c r="P62" s="2529"/>
      <c r="Q62" s="2513"/>
      <c r="R62" s="2491"/>
      <c r="S62" s="2491"/>
      <c r="T62" s="2491"/>
      <c r="U62" s="2491"/>
      <c r="V62" s="2491"/>
      <c r="W62" s="2491"/>
      <c r="X62" s="2491"/>
      <c r="Y62" s="2491"/>
      <c r="Z62" s="2491"/>
      <c r="AA62" s="2491"/>
      <c r="AB62" s="2491"/>
      <c r="AC62" s="2491"/>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9"/>
      <c r="O63" s="2519"/>
      <c r="P63" s="2532"/>
      <c r="Q63" s="2506"/>
      <c r="R63" s="2485"/>
      <c r="S63" s="2485"/>
      <c r="T63" s="2485"/>
      <c r="U63" s="2485"/>
      <c r="V63" s="2485"/>
      <c r="W63" s="2485"/>
      <c r="X63" s="2485"/>
      <c r="Y63" s="2485"/>
      <c r="Z63" s="2485"/>
      <c r="AA63" s="2485"/>
      <c r="AB63" s="2485"/>
      <c r="AC63" s="2485"/>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20"/>
      <c r="O64" s="2520"/>
      <c r="P64" s="2528"/>
      <c r="Q64" s="2506"/>
      <c r="R64" s="2485"/>
      <c r="S64" s="2485"/>
      <c r="T64" s="2485"/>
      <c r="U64" s="2485"/>
      <c r="V64" s="2485"/>
      <c r="W64" s="2485"/>
      <c r="X64" s="2485"/>
      <c r="Y64" s="2485"/>
      <c r="Z64" s="2485"/>
      <c r="AA64" s="2485"/>
      <c r="AB64" s="2485"/>
      <c r="AC64" s="2485"/>
    </row>
    <row r="65" spans="1:29" ht="15" thickTop="1">
      <c r="A65" s="365"/>
      <c r="B65" s="467" t="s">
        <v>1727</v>
      </c>
      <c r="C65" s="507" t="s">
        <v>1721</v>
      </c>
      <c r="D65" s="507" t="s">
        <v>1722</v>
      </c>
      <c r="E65" s="507" t="s">
        <v>1723</v>
      </c>
      <c r="F65" s="507" t="s">
        <v>1724</v>
      </c>
      <c r="G65" s="507" t="s">
        <v>1725</v>
      </c>
      <c r="H65" s="468"/>
      <c r="I65" s="468"/>
      <c r="J65" s="468"/>
      <c r="K65" s="469"/>
      <c r="L65" s="470"/>
      <c r="M65" s="471"/>
      <c r="N65" s="2519"/>
      <c r="O65" s="2519"/>
      <c r="P65" s="2528"/>
      <c r="Q65" s="2506"/>
      <c r="R65" s="2485"/>
      <c r="S65" s="2485"/>
      <c r="T65" s="2485"/>
      <c r="U65" s="2485"/>
      <c r="V65" s="2485"/>
      <c r="W65" s="2485"/>
      <c r="X65" s="2485"/>
      <c r="Y65" s="2485"/>
      <c r="Z65" s="2485"/>
      <c r="AA65" s="2485"/>
      <c r="AB65" s="2485"/>
      <c r="AC65" s="2485"/>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20"/>
      <c r="O66" s="2520"/>
      <c r="P66" s="2528"/>
      <c r="Q66" s="2506"/>
      <c r="R66" s="2485"/>
      <c r="S66" s="2485"/>
      <c r="T66" s="2485"/>
      <c r="U66" s="2485"/>
      <c r="V66" s="2485"/>
      <c r="W66" s="2485"/>
      <c r="X66" s="2485"/>
      <c r="Y66" s="2485"/>
      <c r="Z66" s="2485"/>
      <c r="AA66" s="2485"/>
      <c r="AB66" s="2485"/>
      <c r="AC66" s="2485"/>
    </row>
    <row r="67" spans="1:29" ht="15" thickTop="1">
      <c r="A67" s="365"/>
      <c r="B67" s="475" t="s">
        <v>1813</v>
      </c>
      <c r="C67" s="579" t="s">
        <v>1799</v>
      </c>
      <c r="D67" s="579" t="s">
        <v>1800</v>
      </c>
      <c r="E67" s="579" t="s">
        <v>1801</v>
      </c>
      <c r="F67" s="579" t="s">
        <v>1802</v>
      </c>
      <c r="G67" s="579" t="s">
        <v>1803</v>
      </c>
      <c r="H67" s="468"/>
      <c r="I67" s="468"/>
      <c r="J67" s="468"/>
      <c r="K67" s="468"/>
      <c r="L67" s="468"/>
      <c r="M67" s="1061"/>
      <c r="N67" s="2520"/>
      <c r="O67" s="2520"/>
      <c r="P67" s="2528"/>
      <c r="Q67" s="2506"/>
      <c r="R67" s="2485"/>
      <c r="S67" s="2485"/>
      <c r="T67" s="2485"/>
      <c r="U67" s="2485"/>
      <c r="V67" s="2485"/>
      <c r="W67" s="2485"/>
      <c r="X67" s="2485"/>
      <c r="Y67" s="2485"/>
      <c r="Z67" s="2485"/>
      <c r="AA67" s="2485"/>
      <c r="AB67" s="2485"/>
      <c r="AC67" s="2485"/>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20"/>
      <c r="O68" s="2520"/>
      <c r="P68" s="2528"/>
      <c r="Q68" s="2506"/>
      <c r="R68" s="2485"/>
      <c r="S68" s="2485"/>
      <c r="T68" s="2485"/>
      <c r="U68" s="2485"/>
      <c r="V68" s="2485"/>
      <c r="W68" s="2485"/>
      <c r="X68" s="2485"/>
      <c r="Y68" s="2485"/>
      <c r="Z68" s="2485"/>
      <c r="AA68" s="2485"/>
      <c r="AB68" s="2485"/>
      <c r="AC68" s="2485"/>
    </row>
    <row r="69" spans="1:29" ht="15" thickTop="1">
      <c r="A69" s="365"/>
      <c r="B69" s="467" t="s">
        <v>1733</v>
      </c>
      <c r="C69" s="507" t="s">
        <v>1721</v>
      </c>
      <c r="D69" s="507" t="s">
        <v>1722</v>
      </c>
      <c r="E69" s="507" t="s">
        <v>1723</v>
      </c>
      <c r="F69" s="507" t="s">
        <v>1724</v>
      </c>
      <c r="G69" s="507" t="s">
        <v>1725</v>
      </c>
      <c r="H69" s="468"/>
      <c r="I69" s="468"/>
      <c r="J69" s="468"/>
      <c r="K69" s="469"/>
      <c r="L69" s="470"/>
      <c r="M69" s="471"/>
      <c r="N69" s="2519"/>
      <c r="O69" s="2519"/>
      <c r="P69" s="2528"/>
      <c r="Q69" s="2506"/>
      <c r="R69" s="2485"/>
      <c r="S69" s="2485"/>
      <c r="T69" s="2485"/>
      <c r="U69" s="2485"/>
      <c r="V69" s="2485"/>
      <c r="W69" s="2485"/>
      <c r="X69" s="2485"/>
      <c r="Y69" s="2485"/>
      <c r="Z69" s="2485"/>
      <c r="AA69" s="2485"/>
      <c r="AB69" s="2485"/>
      <c r="AC69" s="2485"/>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20"/>
      <c r="O70" s="2520"/>
      <c r="P70" s="2528"/>
      <c r="Q70" s="2506"/>
      <c r="R70" s="2485"/>
      <c r="S70" s="2485"/>
      <c r="T70" s="2485"/>
      <c r="U70" s="2485"/>
      <c r="V70" s="2485"/>
      <c r="W70" s="2485"/>
      <c r="X70" s="2485"/>
      <c r="Y70" s="2485"/>
      <c r="Z70" s="2485"/>
      <c r="AA70" s="2485"/>
      <c r="AB70" s="2485"/>
      <c r="AC70" s="2485"/>
    </row>
    <row r="71" spans="1:29" ht="15" thickTop="1">
      <c r="A71" s="365"/>
      <c r="B71" s="467" t="s">
        <v>1852</v>
      </c>
      <c r="C71" s="483"/>
      <c r="D71" s="483"/>
      <c r="E71" s="483"/>
      <c r="F71" s="483"/>
      <c r="G71" s="483"/>
      <c r="H71" s="511"/>
      <c r="I71" s="511"/>
      <c r="J71" s="511"/>
      <c r="K71" s="512"/>
      <c r="L71" s="513"/>
      <c r="M71" s="514"/>
      <c r="N71" s="2519"/>
      <c r="O71" s="2519"/>
      <c r="P71" s="2528"/>
      <c r="Q71" s="2506"/>
      <c r="R71" s="2485"/>
      <c r="S71" s="2485"/>
      <c r="T71" s="2485"/>
      <c r="U71" s="2485"/>
      <c r="V71" s="2485"/>
      <c r="W71" s="2485"/>
      <c r="X71" s="2485"/>
      <c r="Y71" s="2485"/>
      <c r="Z71" s="2485"/>
      <c r="AA71" s="2485"/>
      <c r="AB71" s="2485"/>
      <c r="AC71" s="2485"/>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20"/>
      <c r="O72" s="2520"/>
      <c r="P72" s="2528"/>
      <c r="Q72" s="2506"/>
      <c r="R72" s="2485"/>
      <c r="S72" s="2485"/>
      <c r="T72" s="2485"/>
      <c r="U72" s="2485"/>
      <c r="V72" s="2485"/>
      <c r="W72" s="2485"/>
      <c r="X72" s="2485"/>
      <c r="Y72" s="2485"/>
      <c r="Z72" s="2485"/>
      <c r="AA72" s="2485"/>
      <c r="AB72" s="2485"/>
      <c r="AC72" s="2485"/>
    </row>
    <row r="73" spans="1:29" s="102" customFormat="1" ht="14.4" thickTop="1">
      <c r="A73" s="368"/>
      <c r="B73" s="467">
        <f>B23</f>
        <v>111</v>
      </c>
      <c r="C73" s="478"/>
      <c r="D73" s="478"/>
      <c r="E73" s="478"/>
      <c r="F73" s="478"/>
      <c r="G73" s="483"/>
      <c r="H73" s="483"/>
      <c r="I73" s="483"/>
      <c r="J73" s="483"/>
      <c r="K73" s="483"/>
      <c r="L73" s="508"/>
      <c r="M73" s="509"/>
      <c r="N73" s="2518"/>
      <c r="O73" s="2518"/>
      <c r="P73" s="2528"/>
      <c r="Q73" s="2506"/>
      <c r="R73" s="2437"/>
      <c r="S73" s="2437"/>
      <c r="T73" s="2437"/>
      <c r="U73" s="2437"/>
      <c r="V73" s="2437"/>
      <c r="W73" s="2437"/>
      <c r="X73" s="2437"/>
      <c r="Y73" s="2437"/>
      <c r="Z73" s="2437"/>
      <c r="AA73" s="2437"/>
      <c r="AB73" s="2437"/>
      <c r="AC73" s="2437"/>
    </row>
    <row r="74" spans="1:29" s="102" customFormat="1" ht="14.4" thickBot="1">
      <c r="A74" s="368"/>
      <c r="B74" s="472"/>
      <c r="C74" s="489"/>
      <c r="D74" s="465"/>
      <c r="E74" s="465"/>
      <c r="F74" s="465"/>
      <c r="G74" s="465"/>
      <c r="H74" s="465"/>
      <c r="I74" s="465"/>
      <c r="J74" s="465"/>
      <c r="K74" s="465"/>
      <c r="L74" s="465"/>
      <c r="M74" s="466"/>
      <c r="N74" s="2520"/>
      <c r="O74" s="2520"/>
      <c r="P74" s="2528"/>
      <c r="Q74" s="2506"/>
      <c r="R74" s="2437"/>
      <c r="S74" s="2437"/>
      <c r="T74" s="2437"/>
      <c r="U74" s="2437"/>
      <c r="V74" s="2437"/>
      <c r="W74" s="2437"/>
      <c r="X74" s="2437"/>
      <c r="Y74" s="2437"/>
      <c r="Z74" s="2437"/>
      <c r="AA74" s="2437"/>
      <c r="AB74" s="2437"/>
      <c r="AC74" s="2437"/>
    </row>
    <row r="75" spans="1:29" s="102" customFormat="1" ht="14.4" thickTop="1">
      <c r="A75" s="368"/>
      <c r="B75" s="467">
        <f>B24</f>
        <v>111</v>
      </c>
      <c r="C75" s="478"/>
      <c r="D75" s="478"/>
      <c r="E75" s="478"/>
      <c r="F75" s="478"/>
      <c r="G75" s="483"/>
      <c r="H75" s="483"/>
      <c r="I75" s="483"/>
      <c r="J75" s="483"/>
      <c r="K75" s="483"/>
      <c r="L75" s="483"/>
      <c r="M75" s="509"/>
      <c r="N75" s="2518"/>
      <c r="O75" s="2518"/>
      <c r="P75" s="2528"/>
      <c r="Q75" s="2506"/>
      <c r="R75" s="2437"/>
      <c r="S75" s="2437"/>
      <c r="T75" s="2437"/>
      <c r="U75" s="2437"/>
      <c r="V75" s="2437"/>
      <c r="W75" s="2437"/>
      <c r="X75" s="2437"/>
      <c r="Y75" s="2437"/>
      <c r="Z75" s="2437"/>
      <c r="AA75" s="2437"/>
      <c r="AB75" s="2437"/>
      <c r="AC75" s="2437"/>
    </row>
    <row r="76" spans="1:29" s="102" customFormat="1" ht="14.4" thickBot="1">
      <c r="A76" s="368"/>
      <c r="B76" s="472"/>
      <c r="C76" s="489"/>
      <c r="D76" s="465"/>
      <c r="E76" s="465"/>
      <c r="F76" s="465"/>
      <c r="G76" s="465"/>
      <c r="H76" s="465"/>
      <c r="I76" s="465"/>
      <c r="J76" s="465"/>
      <c r="K76" s="465"/>
      <c r="L76" s="465"/>
      <c r="M76" s="466"/>
      <c r="N76" s="2520"/>
      <c r="O76" s="2520"/>
      <c r="P76" s="2528"/>
      <c r="Q76" s="2506"/>
      <c r="R76" s="2437"/>
      <c r="S76" s="2437"/>
      <c r="T76" s="2437"/>
      <c r="U76" s="2437"/>
      <c r="V76" s="2437"/>
      <c r="W76" s="2437"/>
      <c r="X76" s="2437"/>
      <c r="Y76" s="2437"/>
      <c r="Z76" s="2437"/>
      <c r="AA76" s="2437"/>
      <c r="AB76" s="2437"/>
      <c r="AC76" s="2437"/>
    </row>
    <row r="77" spans="1:29" s="406" customFormat="1" ht="14.4" thickTop="1">
      <c r="A77" s="482"/>
      <c r="B77" s="467">
        <f>B25</f>
        <v>111</v>
      </c>
      <c r="C77" s="483"/>
      <c r="D77" s="483"/>
      <c r="E77" s="483"/>
      <c r="F77" s="483"/>
      <c r="G77" s="483"/>
      <c r="H77" s="484"/>
      <c r="I77" s="484"/>
      <c r="J77" s="484"/>
      <c r="K77" s="484"/>
      <c r="L77" s="485"/>
      <c r="M77" s="486"/>
      <c r="N77" s="2521"/>
      <c r="O77" s="2521"/>
      <c r="P77" s="2529"/>
      <c r="Q77" s="2513"/>
      <c r="R77" s="2491"/>
      <c r="S77" s="2491"/>
      <c r="T77" s="2491"/>
      <c r="U77" s="2491"/>
      <c r="V77" s="2491"/>
      <c r="W77" s="2491"/>
      <c r="X77" s="2491"/>
      <c r="Y77" s="2491"/>
      <c r="Z77" s="2491"/>
      <c r="AA77" s="2491"/>
      <c r="AB77" s="2491"/>
      <c r="AC77" s="2491"/>
    </row>
    <row r="78" spans="1:29" s="406" customFormat="1" ht="14.4" thickBot="1">
      <c r="A78" s="482"/>
      <c r="B78" s="472"/>
      <c r="C78" s="489"/>
      <c r="D78" s="489"/>
      <c r="E78" s="489"/>
      <c r="F78" s="489"/>
      <c r="G78" s="465"/>
      <c r="H78" s="465"/>
      <c r="I78" s="465"/>
      <c r="J78" s="465"/>
      <c r="K78" s="465"/>
      <c r="L78" s="465"/>
      <c r="M78" s="466"/>
      <c r="N78" s="2521"/>
      <c r="O78" s="2521"/>
      <c r="P78" s="2529"/>
      <c r="Q78" s="2513"/>
      <c r="R78" s="2491"/>
      <c r="S78" s="2491"/>
      <c r="T78" s="2491"/>
      <c r="U78" s="2491"/>
      <c r="V78" s="2491"/>
      <c r="W78" s="2491"/>
      <c r="X78" s="2491"/>
      <c r="Y78" s="2491"/>
      <c r="Z78" s="2491"/>
      <c r="AA78" s="2491"/>
      <c r="AB78" s="2491"/>
      <c r="AC78" s="2491"/>
    </row>
    <row r="79" spans="1:29" ht="29.4" thickTop="1">
      <c r="A79" s="377" t="s">
        <v>1694</v>
      </c>
      <c r="B79" s="458" t="s">
        <v>1853</v>
      </c>
      <c r="C79" s="459" t="str">
        <f>C26</f>
        <v>车库</v>
      </c>
      <c r="D79" s="460"/>
      <c r="E79" s="460"/>
      <c r="F79" s="460"/>
      <c r="G79" s="460"/>
      <c r="H79" s="460"/>
      <c r="I79" s="460"/>
      <c r="J79" s="460"/>
      <c r="K79" s="461"/>
      <c r="L79" s="462"/>
      <c r="M79" s="463"/>
      <c r="N79" s="2519"/>
      <c r="O79" s="2519"/>
      <c r="P79" s="2528"/>
      <c r="Q79" s="2506"/>
      <c r="R79" s="2485"/>
      <c r="S79" s="2485"/>
      <c r="T79" s="2485"/>
      <c r="U79" s="2485"/>
      <c r="V79" s="2485"/>
      <c r="W79" s="2485"/>
      <c r="X79" s="2485"/>
      <c r="Y79" s="2485"/>
      <c r="Z79" s="2485"/>
      <c r="AA79" s="2485"/>
      <c r="AB79" s="2485"/>
      <c r="AC79" s="2485"/>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5"/>
      <c r="B81" s="467" t="s">
        <v>1854</v>
      </c>
      <c r="C81" s="580"/>
      <c r="D81" s="580"/>
      <c r="E81" s="580"/>
      <c r="F81" s="580"/>
      <c r="G81" s="580"/>
      <c r="H81" s="580"/>
      <c r="I81" s="580"/>
      <c r="J81" s="580"/>
      <c r="K81" s="581"/>
      <c r="L81" s="582"/>
      <c r="M81" s="583"/>
      <c r="N81" s="2518"/>
      <c r="O81" s="2518"/>
      <c r="P81" s="2528"/>
      <c r="Q81" s="2506"/>
      <c r="R81" s="2485"/>
      <c r="S81" s="2485"/>
      <c r="T81" s="2485"/>
      <c r="U81" s="2485"/>
      <c r="V81" s="2485"/>
      <c r="W81" s="2485"/>
      <c r="X81" s="2485"/>
      <c r="Y81" s="2485"/>
      <c r="Z81" s="2485"/>
      <c r="AA81" s="2485"/>
      <c r="AB81" s="2485"/>
      <c r="AC81" s="2485"/>
    </row>
    <row r="82" spans="1:29" s="406" customFormat="1" ht="14.4" thickBot="1">
      <c r="A82" s="482"/>
      <c r="B82" s="472"/>
      <c r="C82" s="489"/>
      <c r="D82" s="465"/>
      <c r="E82" s="465"/>
      <c r="F82" s="465"/>
      <c r="G82" s="465"/>
      <c r="H82" s="465"/>
      <c r="I82" s="465"/>
      <c r="J82" s="465"/>
      <c r="K82" s="465"/>
      <c r="L82" s="465"/>
      <c r="M82" s="466"/>
      <c r="N82" s="2520"/>
      <c r="O82" s="2520"/>
      <c r="P82" s="2529"/>
      <c r="Q82" s="2513"/>
      <c r="R82" s="2491"/>
      <c r="S82" s="2491"/>
      <c r="T82" s="2491"/>
      <c r="U82" s="2491"/>
      <c r="V82" s="2491"/>
      <c r="W82" s="2491"/>
      <c r="X82" s="2491"/>
      <c r="Y82" s="2491"/>
      <c r="Z82" s="2491"/>
      <c r="AA82" s="2491"/>
      <c r="AB82" s="2491"/>
      <c r="AC82" s="2491"/>
    </row>
    <row r="83" spans="1:29" ht="15" thickTop="1">
      <c r="A83" s="407"/>
      <c r="B83" s="467" t="s">
        <v>1740</v>
      </c>
      <c r="C83" s="483"/>
      <c r="D83" s="483"/>
      <c r="E83" s="511"/>
      <c r="F83" s="511"/>
      <c r="G83" s="511"/>
      <c r="H83" s="511"/>
      <c r="I83" s="511"/>
      <c r="J83" s="511"/>
      <c r="K83" s="512"/>
      <c r="L83" s="513"/>
      <c r="M83" s="514"/>
      <c r="N83" s="2519"/>
      <c r="O83" s="2519"/>
      <c r="P83" s="2528"/>
      <c r="Q83" s="2506"/>
      <c r="R83" s="2485"/>
      <c r="S83" s="2485"/>
      <c r="T83" s="2485"/>
      <c r="U83" s="2485"/>
      <c r="V83" s="2485"/>
      <c r="W83" s="2485"/>
      <c r="X83" s="2485"/>
      <c r="Y83" s="2485"/>
      <c r="Z83" s="2485"/>
      <c r="AA83" s="2485"/>
      <c r="AB83" s="2485"/>
      <c r="AC83" s="2485"/>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9"/>
      <c r="O85" s="2519"/>
      <c r="P85" s="2528"/>
      <c r="Q85" s="2506"/>
      <c r="R85" s="2485"/>
      <c r="S85" s="2485"/>
      <c r="T85" s="2485"/>
      <c r="U85" s="2485"/>
      <c r="V85" s="2485"/>
      <c r="W85" s="2485"/>
      <c r="X85" s="2485"/>
      <c r="Y85" s="2485"/>
      <c r="Z85" s="2485"/>
      <c r="AA85" s="2485"/>
      <c r="AB85" s="2485"/>
      <c r="AC85" s="2485"/>
    </row>
    <row r="86" spans="1:29">
      <c r="A86" s="407"/>
      <c r="B86" s="475"/>
      <c r="C86" s="528">
        <v>0.5</v>
      </c>
      <c r="D86" s="528">
        <v>0.6</v>
      </c>
      <c r="E86" s="528">
        <v>0.7</v>
      </c>
      <c r="F86" s="528">
        <v>0.8</v>
      </c>
      <c r="G86" s="528">
        <v>0.9</v>
      </c>
      <c r="H86" s="528">
        <v>1.0001</v>
      </c>
      <c r="I86" s="546"/>
      <c r="J86" s="546"/>
      <c r="K86" s="547"/>
      <c r="L86" s="548"/>
      <c r="M86" s="549"/>
      <c r="N86" s="2519"/>
      <c r="O86" s="2519"/>
      <c r="P86" s="2528"/>
      <c r="Q86" s="2506"/>
      <c r="R86" s="2485"/>
      <c r="S86" s="2485"/>
      <c r="T86" s="2485"/>
      <c r="U86" s="2485"/>
      <c r="V86" s="2485"/>
      <c r="W86" s="2485"/>
      <c r="X86" s="2485"/>
      <c r="Y86" s="2485"/>
      <c r="Z86" s="2485"/>
      <c r="AA86" s="2485"/>
      <c r="AB86" s="2485"/>
      <c r="AC86" s="2485"/>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7"/>
      <c r="B88" s="475" t="s">
        <v>1856</v>
      </c>
      <c r="C88" s="460"/>
      <c r="D88" s="460"/>
      <c r="E88" s="460"/>
      <c r="F88" s="460"/>
      <c r="G88" s="460"/>
      <c r="H88" s="460"/>
      <c r="I88" s="460"/>
      <c r="J88" s="460"/>
      <c r="K88" s="461"/>
      <c r="L88" s="462"/>
      <c r="M88" s="463"/>
      <c r="N88" s="2519"/>
      <c r="O88" s="2519"/>
      <c r="P88" s="2528"/>
      <c r="Q88" s="2506"/>
      <c r="R88" s="2485"/>
      <c r="S88" s="2485"/>
      <c r="T88" s="2485"/>
      <c r="U88" s="2485"/>
      <c r="V88" s="2485"/>
      <c r="W88" s="2485"/>
      <c r="X88" s="2485"/>
      <c r="Y88" s="2485"/>
      <c r="Z88" s="2485"/>
      <c r="AA88" s="2485"/>
      <c r="AB88" s="2485"/>
      <c r="AC88" s="2485"/>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20"/>
      <c r="O89" s="2520"/>
      <c r="P89" s="2528"/>
      <c r="Q89" s="2506"/>
      <c r="R89" s="2485"/>
      <c r="S89" s="2485"/>
      <c r="T89" s="2485"/>
      <c r="U89" s="2485"/>
      <c r="V89" s="2485"/>
      <c r="W89" s="2485"/>
      <c r="X89" s="2485"/>
      <c r="Y89" s="2485"/>
      <c r="Z89" s="2485"/>
      <c r="AA89" s="2485"/>
      <c r="AB89" s="2485"/>
      <c r="AC89" s="2485"/>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1"/>
      <c r="O90" s="2521"/>
      <c r="P90" s="2529"/>
      <c r="Q90" s="2513"/>
      <c r="R90" s="2491"/>
      <c r="S90" s="2491"/>
      <c r="T90" s="2491"/>
      <c r="U90" s="2491"/>
      <c r="V90" s="2491"/>
      <c r="W90" s="2491"/>
      <c r="X90" s="2491"/>
      <c r="Y90" s="2491"/>
      <c r="Z90" s="2491"/>
      <c r="AA90" s="2491"/>
      <c r="AB90" s="2491"/>
      <c r="AC90" s="2491"/>
    </row>
    <row r="91" spans="1:29" s="406" customFormat="1">
      <c r="A91" s="404"/>
      <c r="B91" s="475"/>
      <c r="C91" s="6"/>
      <c r="D91" s="6"/>
      <c r="E91" s="6"/>
      <c r="F91" s="6"/>
      <c r="G91" s="6"/>
      <c r="H91" s="6"/>
      <c r="I91" s="6"/>
      <c r="J91" s="522"/>
      <c r="K91" s="522"/>
      <c r="L91" s="523"/>
      <c r="M91" s="524"/>
      <c r="N91" s="2521"/>
      <c r="O91" s="2521"/>
      <c r="P91" s="2529"/>
      <c r="Q91" s="2513"/>
      <c r="R91" s="2491"/>
      <c r="S91" s="2491"/>
      <c r="T91" s="2491"/>
      <c r="U91" s="2491"/>
      <c r="V91" s="2491"/>
      <c r="W91" s="2491"/>
      <c r="X91" s="2491"/>
      <c r="Y91" s="2491"/>
      <c r="Z91" s="2491"/>
      <c r="AA91" s="2491"/>
      <c r="AB91" s="2491"/>
      <c r="AC91" s="2491"/>
    </row>
    <row r="92" spans="1:29" s="406" customFormat="1" ht="14.4" thickBot="1">
      <c r="A92" s="482"/>
      <c r="B92" s="472"/>
      <c r="C92" s="489"/>
      <c r="D92" s="465"/>
      <c r="E92" s="465"/>
      <c r="F92" s="465"/>
      <c r="G92" s="465"/>
      <c r="H92" s="465"/>
      <c r="I92" s="465"/>
      <c r="J92" s="465"/>
      <c r="K92" s="465"/>
      <c r="L92" s="465"/>
      <c r="M92" s="466"/>
      <c r="N92" s="2521"/>
      <c r="O92" s="2521"/>
      <c r="P92" s="2529"/>
      <c r="Q92" s="2513"/>
      <c r="R92" s="2491"/>
      <c r="S92" s="2491"/>
      <c r="T92" s="2491"/>
      <c r="U92" s="2491"/>
      <c r="V92" s="2491"/>
      <c r="W92" s="2491"/>
      <c r="X92" s="2491"/>
      <c r="Y92" s="2491"/>
      <c r="Z92" s="2491"/>
      <c r="AA92" s="2491"/>
      <c r="AB92" s="2491"/>
      <c r="AC92" s="2491"/>
    </row>
    <row r="93" spans="1:29" ht="15" thickTop="1">
      <c r="A93" s="407"/>
      <c r="B93" s="467" t="s">
        <v>1858</v>
      </c>
      <c r="C93" s="483"/>
      <c r="D93" s="483"/>
      <c r="E93" s="511"/>
      <c r="F93" s="511"/>
      <c r="G93" s="511"/>
      <c r="H93" s="511"/>
      <c r="I93" s="511"/>
      <c r="J93" s="511"/>
      <c r="K93" s="512"/>
      <c r="L93" s="513"/>
      <c r="M93" s="514"/>
      <c r="N93" s="2519"/>
      <c r="O93" s="2519"/>
      <c r="P93" s="2528"/>
      <c r="Q93" s="2506"/>
      <c r="R93" s="2485"/>
      <c r="S93" s="2485"/>
      <c r="T93" s="2485"/>
      <c r="U93" s="2485"/>
      <c r="V93" s="2485"/>
      <c r="W93" s="2485"/>
      <c r="X93" s="2485"/>
      <c r="Y93" s="2485"/>
      <c r="Z93" s="2485"/>
      <c r="AA93" s="2485"/>
      <c r="AB93" s="2485"/>
      <c r="AC93" s="2485"/>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7"/>
      <c r="B95" s="467" t="s">
        <v>1859</v>
      </c>
      <c r="C95" s="460"/>
      <c r="D95" s="460"/>
      <c r="E95" s="460"/>
      <c r="F95" s="460"/>
      <c r="G95" s="460"/>
      <c r="H95" s="460"/>
      <c r="I95" s="460"/>
      <c r="J95" s="460"/>
      <c r="K95" s="461"/>
      <c r="L95" s="462"/>
      <c r="M95" s="463"/>
      <c r="N95" s="2519"/>
      <c r="O95" s="2519"/>
      <c r="P95" s="2528"/>
      <c r="Q95" s="2506"/>
      <c r="R95" s="2485"/>
      <c r="S95" s="2485"/>
      <c r="T95" s="2485"/>
      <c r="U95" s="2485"/>
      <c r="V95" s="2485"/>
      <c r="W95" s="2485"/>
      <c r="X95" s="2485"/>
      <c r="Y95" s="2485"/>
      <c r="Z95" s="2485"/>
      <c r="AA95" s="2485"/>
      <c r="AB95" s="2485"/>
      <c r="AC95" s="2485"/>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20"/>
      <c r="O96" s="2520"/>
      <c r="P96" s="2528"/>
      <c r="Q96" s="2506"/>
      <c r="R96" s="2485"/>
      <c r="S96" s="2485"/>
      <c r="T96" s="2485"/>
      <c r="U96" s="2485"/>
      <c r="V96" s="2485"/>
      <c r="W96" s="2485"/>
      <c r="X96" s="2485"/>
      <c r="Y96" s="2485"/>
      <c r="Z96" s="2485"/>
      <c r="AA96" s="2485"/>
      <c r="AB96" s="2485"/>
      <c r="AC96" s="2485"/>
    </row>
    <row r="97" spans="1:29" ht="14.4" thickTop="1">
      <c r="A97" s="407"/>
      <c r="B97" s="558">
        <f>B34</f>
        <v>111</v>
      </c>
      <c r="C97" s="478"/>
      <c r="D97" s="478"/>
      <c r="E97" s="478"/>
      <c r="F97" s="478"/>
      <c r="G97" s="483"/>
      <c r="H97" s="484"/>
      <c r="I97" s="484"/>
      <c r="J97" s="484"/>
      <c r="K97" s="484"/>
      <c r="L97" s="485"/>
      <c r="M97" s="486"/>
      <c r="N97" s="2520"/>
      <c r="O97" s="2520"/>
      <c r="P97" s="2533"/>
      <c r="Q97" s="2534"/>
      <c r="R97" s="2485"/>
      <c r="S97" s="2485"/>
      <c r="T97" s="2485"/>
      <c r="U97" s="2485"/>
      <c r="V97" s="2485"/>
      <c r="W97" s="2485"/>
      <c r="X97" s="2485"/>
      <c r="Y97" s="2485"/>
      <c r="Z97" s="2485"/>
      <c r="AA97" s="2485"/>
      <c r="AB97" s="2485"/>
      <c r="AC97" s="2485"/>
    </row>
    <row r="98" spans="1:29" ht="14.4" thickBot="1">
      <c r="A98" s="365"/>
      <c r="B98" s="472"/>
      <c r="C98" s="489"/>
      <c r="D98" s="465"/>
      <c r="E98" s="465"/>
      <c r="F98" s="465"/>
      <c r="G98" s="489"/>
      <c r="H98" s="491"/>
      <c r="I98" s="491"/>
      <c r="J98" s="491"/>
      <c r="K98" s="491"/>
      <c r="L98" s="491"/>
      <c r="M98" s="492"/>
      <c r="N98" s="2520"/>
      <c r="O98" s="2520"/>
      <c r="P98" s="2528"/>
      <c r="Q98" s="2506"/>
      <c r="R98" s="2485"/>
      <c r="S98" s="2485"/>
      <c r="T98" s="2485"/>
      <c r="U98" s="2485"/>
      <c r="V98" s="2485"/>
      <c r="W98" s="2485"/>
      <c r="X98" s="2485"/>
      <c r="Y98" s="2485"/>
      <c r="Z98" s="2485"/>
      <c r="AA98" s="2485"/>
      <c r="AB98" s="2485"/>
      <c r="AC98" s="2485"/>
    </row>
    <row r="99" spans="1:29" s="406" customFormat="1" ht="14.4" thickTop="1">
      <c r="A99" s="404"/>
      <c r="B99" s="467">
        <f>B35</f>
        <v>111</v>
      </c>
      <c r="C99" s="478"/>
      <c r="D99" s="478"/>
      <c r="E99" s="478"/>
      <c r="F99" s="478"/>
      <c r="G99" s="483"/>
      <c r="H99" s="484"/>
      <c r="I99" s="484"/>
      <c r="J99" s="484"/>
      <c r="K99" s="484"/>
      <c r="L99" s="485"/>
      <c r="M99" s="486"/>
      <c r="N99" s="2521"/>
      <c r="O99" s="2521"/>
      <c r="P99" s="2529"/>
      <c r="Q99" s="2513"/>
      <c r="R99" s="2491"/>
      <c r="S99" s="2491"/>
      <c r="T99" s="2491"/>
      <c r="U99" s="2491"/>
      <c r="V99" s="2491"/>
      <c r="W99" s="2491"/>
      <c r="X99" s="2491"/>
      <c r="Y99" s="2491"/>
      <c r="Z99" s="2491"/>
      <c r="AA99" s="2491"/>
      <c r="AB99" s="2491"/>
      <c r="AC99" s="2491"/>
    </row>
    <row r="100" spans="1:29" s="406" customFormat="1" ht="14.4" thickBot="1">
      <c r="A100" s="482"/>
      <c r="B100" s="464"/>
      <c r="C100" s="489"/>
      <c r="D100" s="465"/>
      <c r="E100" s="465"/>
      <c r="F100" s="465"/>
      <c r="G100" s="489"/>
      <c r="H100" s="491"/>
      <c r="I100" s="491"/>
      <c r="J100" s="491"/>
      <c r="K100" s="491"/>
      <c r="L100" s="491"/>
      <c r="M100" s="492"/>
      <c r="N100" s="2521"/>
      <c r="O100" s="2521"/>
      <c r="P100" s="2529"/>
      <c r="Q100" s="2513"/>
      <c r="R100" s="2491"/>
      <c r="S100" s="2491"/>
      <c r="T100" s="2491"/>
      <c r="U100" s="2491"/>
      <c r="V100" s="2491"/>
      <c r="W100" s="2491"/>
      <c r="X100" s="2491"/>
      <c r="Y100" s="2491"/>
      <c r="Z100" s="2491"/>
      <c r="AA100" s="2491"/>
      <c r="AB100" s="2491"/>
      <c r="AC100" s="2491"/>
    </row>
    <row r="101" spans="1:29" ht="14.4" thickTop="1">
      <c r="A101" s="407"/>
      <c r="B101" s="467">
        <f>B36</f>
        <v>111</v>
      </c>
      <c r="C101" s="483"/>
      <c r="D101" s="483"/>
      <c r="E101" s="483"/>
      <c r="F101" s="483"/>
      <c r="G101" s="483"/>
      <c r="H101" s="484"/>
      <c r="I101" s="484"/>
      <c r="J101" s="484"/>
      <c r="K101" s="484"/>
      <c r="L101" s="485"/>
      <c r="M101" s="486"/>
      <c r="N101" s="2519"/>
      <c r="O101" s="2519"/>
      <c r="P101" s="2528"/>
      <c r="Q101" s="2506"/>
      <c r="R101" s="2485"/>
      <c r="S101" s="2485"/>
      <c r="T101" s="2485"/>
      <c r="U101" s="2485"/>
      <c r="V101" s="2485"/>
      <c r="W101" s="2485"/>
      <c r="X101" s="2485"/>
      <c r="Y101" s="2485"/>
      <c r="Z101" s="2485"/>
      <c r="AA101" s="2485"/>
      <c r="AB101" s="2485"/>
      <c r="AC101" s="2485"/>
    </row>
    <row r="102" spans="1:29" ht="14.4" thickBot="1">
      <c r="A102" s="365"/>
      <c r="B102" s="472"/>
      <c r="C102" s="489"/>
      <c r="D102" s="489"/>
      <c r="E102" s="489"/>
      <c r="F102" s="489"/>
      <c r="G102" s="489"/>
      <c r="H102" s="491"/>
      <c r="I102" s="491"/>
      <c r="J102" s="491"/>
      <c r="K102" s="491"/>
      <c r="L102" s="491"/>
      <c r="M102" s="492"/>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3321</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4.4">
      <c r="A4" s="343" t="s">
        <v>1769</v>
      </c>
      <c r="B4" s="344"/>
      <c r="C4" s="3448" t="s">
        <v>1770</v>
      </c>
      <c r="D4" s="3449"/>
      <c r="E4" s="3450" t="s">
        <v>1771</v>
      </c>
      <c r="F4" s="3451"/>
      <c r="G4" s="3448" t="s">
        <v>1772</v>
      </c>
      <c r="H4" s="3449"/>
      <c r="I4" s="3448" t="s">
        <v>1773</v>
      </c>
      <c r="J4" s="3449"/>
      <c r="K4" s="535" t="s">
        <v>1774</v>
      </c>
      <c r="L4" s="2484"/>
      <c r="M4" s="2485"/>
      <c r="N4" s="2485"/>
      <c r="O4" s="2485"/>
      <c r="P4" s="3452" t="s">
        <v>1775</v>
      </c>
      <c r="Q4" s="3453"/>
      <c r="R4" s="3435" t="s">
        <v>1771</v>
      </c>
      <c r="S4" s="3436"/>
      <c r="T4" s="3435" t="s">
        <v>1772</v>
      </c>
      <c r="U4" s="3436"/>
      <c r="V4" s="3460" t="s">
        <v>1773</v>
      </c>
      <c r="W4" s="3460"/>
      <c r="X4" s="1262"/>
      <c r="Y4" s="3435" t="s">
        <v>1775</v>
      </c>
      <c r="Z4" s="3436"/>
      <c r="AA4" s="3430" t="s">
        <v>1771</v>
      </c>
      <c r="AB4" s="3431" t="s">
        <v>1772</v>
      </c>
      <c r="AC4" s="3430" t="s">
        <v>1773</v>
      </c>
    </row>
    <row r="5" spans="1:29">
      <c r="A5" s="346"/>
      <c r="B5" s="347"/>
      <c r="C5" s="3441" t="s">
        <v>1673</v>
      </c>
      <c r="D5" s="3442"/>
      <c r="E5" s="3439" t="s">
        <v>1674</v>
      </c>
      <c r="F5" s="3440"/>
      <c r="G5" s="3441" t="s">
        <v>1675</v>
      </c>
      <c r="H5" s="3442"/>
      <c r="I5" s="3441" t="s">
        <v>1676</v>
      </c>
      <c r="J5" s="3442"/>
      <c r="K5" s="535"/>
      <c r="L5" s="2484"/>
      <c r="M5" s="2485"/>
      <c r="N5" s="2485"/>
      <c r="O5" s="2485"/>
      <c r="P5" s="3454"/>
      <c r="Q5" s="3455"/>
      <c r="R5" s="3437"/>
      <c r="S5" s="3438"/>
      <c r="T5" s="3437"/>
      <c r="U5" s="3438"/>
      <c r="V5" s="3460"/>
      <c r="W5" s="3460"/>
      <c r="X5" s="1262"/>
      <c r="Y5" s="3437"/>
      <c r="Z5" s="3438"/>
      <c r="AA5" s="3431"/>
      <c r="AB5" s="3431"/>
      <c r="AC5" s="3431"/>
    </row>
    <row r="6" spans="1:29" ht="15" thickBot="1">
      <c r="A6" s="348"/>
      <c r="B6" s="349"/>
      <c r="C6" s="3443" t="s">
        <v>1677</v>
      </c>
      <c r="D6" s="3444"/>
      <c r="E6" s="3445" t="s">
        <v>1677</v>
      </c>
      <c r="F6" s="3446"/>
      <c r="G6" s="3443" t="s">
        <v>1677</v>
      </c>
      <c r="H6" s="3444"/>
      <c r="I6" s="3443" t="s">
        <v>1677</v>
      </c>
      <c r="J6" s="3444"/>
      <c r="K6" s="535" t="s">
        <v>1678</v>
      </c>
      <c r="L6" s="2484"/>
      <c r="M6" s="2485"/>
      <c r="N6" s="2485"/>
      <c r="O6" s="2485"/>
      <c r="P6" s="3456"/>
      <c r="Q6" s="3457"/>
      <c r="R6" s="3437"/>
      <c r="S6" s="3438"/>
      <c r="T6" s="3458"/>
      <c r="U6" s="3459"/>
      <c r="V6" s="3460"/>
      <c r="W6" s="3460"/>
      <c r="X6" s="1262"/>
      <c r="Y6" s="3458"/>
      <c r="Z6" s="3459"/>
      <c r="AA6" s="3432"/>
      <c r="AB6" s="3432"/>
      <c r="AC6" s="3432"/>
    </row>
    <row r="7" spans="1:29" s="102" customFormat="1" ht="15" thickBot="1">
      <c r="A7" s="350" t="s">
        <v>1679</v>
      </c>
      <c r="B7" s="351"/>
      <c r="C7" s="352">
        <f>'数据-取费表'!B2</f>
        <v>45728</v>
      </c>
      <c r="D7" s="353">
        <v>100</v>
      </c>
      <c r="E7" s="354"/>
      <c r="F7" s="355">
        <f>SUMIF(46:46,YEAR(E7)&amp;"-"&amp;MONTH(E7),47:47)</f>
        <v>0</v>
      </c>
      <c r="G7" s="1819"/>
      <c r="H7" s="353">
        <f>SUMIF(46:46,YEAR(G7)&amp;"-"&amp;MONTH(G7),47:47)</f>
        <v>0</v>
      </c>
      <c r="I7" s="354"/>
      <c r="J7" s="353">
        <f>SUMIF(46:46,YEAR(I7)&amp;"-"&amp;MONTH(I7),47:47)</f>
        <v>0</v>
      </c>
      <c r="K7" s="38"/>
      <c r="L7" s="2486"/>
      <c r="M7" s="2437"/>
      <c r="N7" s="2437"/>
      <c r="O7" s="2437"/>
      <c r="P7" s="3433" t="s">
        <v>1680</v>
      </c>
      <c r="Q7" s="3461"/>
      <c r="R7" s="662" t="s">
        <v>14</v>
      </c>
      <c r="S7" s="663">
        <f t="shared" ref="S7:S14" si="0">F7</f>
        <v>0</v>
      </c>
      <c r="T7" s="662" t="s">
        <v>14</v>
      </c>
      <c r="U7" s="663">
        <f t="shared" ref="U7:U14" si="1">H7</f>
        <v>0</v>
      </c>
      <c r="V7" s="662" t="s">
        <v>14</v>
      </c>
      <c r="W7" s="663">
        <f t="shared" ref="W7:W14" si="2">J7</f>
        <v>0</v>
      </c>
      <c r="X7" s="664"/>
      <c r="Y7" s="3433" t="s">
        <v>1680</v>
      </c>
      <c r="Z7" s="3434"/>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6"/>
      <c r="M8" s="2437"/>
      <c r="N8" s="2437"/>
      <c r="O8" s="2437"/>
      <c r="P8" s="3433" t="s">
        <v>1683</v>
      </c>
      <c r="Q8" s="3434"/>
      <c r="R8" s="662" t="s">
        <v>14</v>
      </c>
      <c r="S8" s="663">
        <f t="shared" si="0"/>
        <v>100</v>
      </c>
      <c r="T8" s="662" t="s">
        <v>14</v>
      </c>
      <c r="U8" s="663">
        <f t="shared" si="1"/>
        <v>100</v>
      </c>
      <c r="V8" s="662" t="s">
        <v>14</v>
      </c>
      <c r="W8" s="663">
        <f t="shared" si="2"/>
        <v>100</v>
      </c>
      <c r="X8" s="664"/>
      <c r="Y8" s="3433" t="s">
        <v>1683</v>
      </c>
      <c r="Z8" s="3434"/>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6"/>
      <c r="M9" s="2437"/>
      <c r="N9" s="2437"/>
      <c r="O9" s="2538"/>
      <c r="P9" s="3465" t="s">
        <v>1686</v>
      </c>
      <c r="Q9" s="528" t="str">
        <f t="shared" ref="Q9:Q14" si="6">B9</f>
        <v>用途</v>
      </c>
      <c r="R9" s="662" t="s">
        <v>14</v>
      </c>
      <c r="S9" s="663">
        <f t="shared" si="0"/>
        <v>100</v>
      </c>
      <c r="T9" s="662" t="s">
        <v>14</v>
      </c>
      <c r="U9" s="663">
        <f t="shared" si="1"/>
        <v>100</v>
      </c>
      <c r="V9" s="662" t="s">
        <v>14</v>
      </c>
      <c r="W9" s="663">
        <f t="shared" si="2"/>
        <v>100</v>
      </c>
      <c r="X9" s="664"/>
      <c r="Y9" s="3377" t="s">
        <v>1687</v>
      </c>
      <c r="Z9" s="50" t="str">
        <f t="shared" ref="Z9:Z14" si="7">Q9</f>
        <v>用途</v>
      </c>
      <c r="AA9" s="50">
        <f t="shared" si="3"/>
        <v>1</v>
      </c>
      <c r="AB9" s="50">
        <f t="shared" si="4"/>
        <v>1</v>
      </c>
      <c r="AC9" s="50">
        <f t="shared" si="5"/>
        <v>1</v>
      </c>
    </row>
    <row r="10" spans="1:29" s="364" customFormat="1" ht="28.8">
      <c r="A10" s="361"/>
      <c r="B10" s="362" t="s">
        <v>1688</v>
      </c>
      <c r="C10" s="3130"/>
      <c r="D10" s="117">
        <v>100</v>
      </c>
      <c r="E10" s="3130"/>
      <c r="F10" s="362">
        <f>SUMIF(53:53,E10,54:54)-SUMIF(53:53,C10,54:54)+100</f>
        <v>100</v>
      </c>
      <c r="G10" s="3130"/>
      <c r="H10" s="117">
        <f>SUMIF(53:53,G10,54:54)-SUMIF(53:53,C10,54:54)+100</f>
        <v>100</v>
      </c>
      <c r="I10" s="3130"/>
      <c r="J10" s="117">
        <f>SUMIF(53:53,I10,54:54)-SUMIF(53:53,C10,54:54)+100</f>
        <v>100</v>
      </c>
      <c r="K10" s="38"/>
      <c r="L10" s="2487"/>
      <c r="M10" s="2488"/>
      <c r="N10" s="2488"/>
      <c r="O10" s="2539"/>
      <c r="P10" s="3465"/>
      <c r="Q10" s="528" t="str">
        <f t="shared" si="6"/>
        <v>土地使用年限（年）</v>
      </c>
      <c r="R10" s="662" t="s">
        <v>14</v>
      </c>
      <c r="S10" s="663">
        <f t="shared" si="0"/>
        <v>100</v>
      </c>
      <c r="T10" s="662" t="s">
        <v>14</v>
      </c>
      <c r="U10" s="663">
        <f t="shared" si="1"/>
        <v>100</v>
      </c>
      <c r="V10" s="662" t="s">
        <v>14</v>
      </c>
      <c r="W10" s="663">
        <f t="shared" si="2"/>
        <v>100</v>
      </c>
      <c r="X10" s="664"/>
      <c r="Y10" s="3377"/>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9"/>
      <c r="M11" s="2485"/>
      <c r="N11" s="2485"/>
      <c r="O11" s="2540"/>
      <c r="P11" s="3465"/>
      <c r="Q11" s="528">
        <f t="shared" si="6"/>
        <v>111</v>
      </c>
      <c r="R11" s="662" t="s">
        <v>14</v>
      </c>
      <c r="S11" s="663">
        <f t="shared" si="0"/>
        <v>100</v>
      </c>
      <c r="T11" s="662" t="s">
        <v>14</v>
      </c>
      <c r="U11" s="663">
        <f t="shared" si="1"/>
        <v>100</v>
      </c>
      <c r="V11" s="662" t="s">
        <v>14</v>
      </c>
      <c r="W11" s="663">
        <f t="shared" si="2"/>
        <v>100</v>
      </c>
      <c r="X11" s="664"/>
      <c r="Y11" s="3377"/>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6"/>
      <c r="M12" s="2437"/>
      <c r="N12" s="2437"/>
      <c r="O12" s="2538"/>
      <c r="P12" s="3465"/>
      <c r="Q12" s="528">
        <f t="shared" si="6"/>
        <v>111</v>
      </c>
      <c r="R12" s="662" t="s">
        <v>14</v>
      </c>
      <c r="S12" s="663">
        <f t="shared" si="0"/>
        <v>100</v>
      </c>
      <c r="T12" s="662" t="s">
        <v>14</v>
      </c>
      <c r="U12" s="663">
        <f t="shared" si="1"/>
        <v>100</v>
      </c>
      <c r="V12" s="662" t="s">
        <v>14</v>
      </c>
      <c r="W12" s="663">
        <f t="shared" si="2"/>
        <v>100</v>
      </c>
      <c r="X12" s="664"/>
      <c r="Y12" s="3377"/>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90"/>
      <c r="M13" s="2485"/>
      <c r="N13" s="2485"/>
      <c r="O13" s="2540"/>
      <c r="P13" s="3465"/>
      <c r="Q13" s="528">
        <f t="shared" si="6"/>
        <v>111</v>
      </c>
      <c r="R13" s="662" t="s">
        <v>14</v>
      </c>
      <c r="S13" s="663">
        <f t="shared" si="0"/>
        <v>100</v>
      </c>
      <c r="T13" s="662" t="s">
        <v>14</v>
      </c>
      <c r="U13" s="663">
        <f t="shared" si="1"/>
        <v>100</v>
      </c>
      <c r="V13" s="662" t="s">
        <v>14</v>
      </c>
      <c r="W13" s="663">
        <f t="shared" si="2"/>
        <v>100</v>
      </c>
      <c r="X13" s="664"/>
      <c r="Y13" s="3377"/>
      <c r="Z13" s="50">
        <f t="shared" si="7"/>
        <v>111</v>
      </c>
      <c r="AA13" s="50">
        <f t="shared" si="3"/>
        <v>1</v>
      </c>
      <c r="AB13" s="50">
        <f t="shared" si="4"/>
        <v>1</v>
      </c>
      <c r="AC13" s="50">
        <f t="shared" si="5"/>
        <v>1</v>
      </c>
    </row>
    <row r="14" spans="1:29" ht="15">
      <c r="A14" s="377" t="s">
        <v>1690</v>
      </c>
      <c r="B14" s="58" t="s">
        <v>1833</v>
      </c>
      <c r="C14" s="1816">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90"/>
      <c r="M14" s="2485"/>
      <c r="N14" s="2485"/>
      <c r="O14" s="2540"/>
      <c r="P14" s="3466" t="s">
        <v>1691</v>
      </c>
      <c r="Q14" s="1260" t="str">
        <f t="shared" si="6"/>
        <v>交通便捷度</v>
      </c>
      <c r="R14" s="665" t="s">
        <v>14</v>
      </c>
      <c r="S14" s="666">
        <f t="shared" si="0"/>
        <v>100</v>
      </c>
      <c r="T14" s="665" t="s">
        <v>14</v>
      </c>
      <c r="U14" s="666">
        <f t="shared" si="1"/>
        <v>100</v>
      </c>
      <c r="V14" s="665" t="s">
        <v>14</v>
      </c>
      <c r="W14" s="666">
        <f t="shared" si="2"/>
        <v>100</v>
      </c>
      <c r="X14" s="1262"/>
      <c r="Y14" s="3466"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90"/>
      <c r="M15" s="2485"/>
      <c r="N15" s="2485"/>
      <c r="O15" s="2540"/>
      <c r="P15" s="3467"/>
      <c r="Q15" s="1260"/>
      <c r="R15" s="665"/>
      <c r="S15" s="666"/>
      <c r="T15" s="665"/>
      <c r="U15" s="666"/>
      <c r="V15" s="665"/>
      <c r="W15" s="666"/>
      <c r="X15" s="1262"/>
      <c r="Y15" s="3467"/>
      <c r="Z15" s="1261"/>
      <c r="AA15" s="1261">
        <v>1</v>
      </c>
      <c r="AB15" s="1261">
        <v>1</v>
      </c>
      <c r="AC15" s="1261">
        <v>1</v>
      </c>
    </row>
    <row r="16" spans="1:29" ht="15">
      <c r="A16" s="365"/>
      <c r="B16" s="388" t="s">
        <v>1812</v>
      </c>
      <c r="C16" s="1751">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90"/>
      <c r="M16" s="2485"/>
      <c r="N16" s="2485"/>
      <c r="O16" s="2540"/>
      <c r="P16" s="3467"/>
      <c r="Q16" s="1260" t="str">
        <f>B16</f>
        <v>公共配套设施</v>
      </c>
      <c r="R16" s="665" t="s">
        <v>14</v>
      </c>
      <c r="S16" s="666">
        <f>F16</f>
        <v>100</v>
      </c>
      <c r="T16" s="665" t="s">
        <v>14</v>
      </c>
      <c r="U16" s="666">
        <f>H16</f>
        <v>100</v>
      </c>
      <c r="V16" s="665" t="s">
        <v>14</v>
      </c>
      <c r="W16" s="666">
        <f>J16</f>
        <v>100</v>
      </c>
      <c r="X16" s="1262"/>
      <c r="Y16" s="3467"/>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90"/>
      <c r="M17" s="2485"/>
      <c r="N17" s="2485"/>
      <c r="O17" s="2540"/>
      <c r="P17" s="3467"/>
      <c r="Q17" s="1260"/>
      <c r="R17" s="665"/>
      <c r="S17" s="666"/>
      <c r="T17" s="665"/>
      <c r="U17" s="666"/>
      <c r="V17" s="665"/>
      <c r="W17" s="666"/>
      <c r="X17" s="1262"/>
      <c r="Y17" s="3467"/>
      <c r="Z17" s="1261"/>
      <c r="AA17" s="1261">
        <v>1</v>
      </c>
      <c r="AB17" s="1261">
        <v>1</v>
      </c>
      <c r="AC17" s="1261">
        <v>1</v>
      </c>
    </row>
    <row r="18" spans="1:29" ht="15">
      <c r="A18" s="365"/>
      <c r="B18" s="584" t="s">
        <v>1813</v>
      </c>
      <c r="C18" s="1751">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90"/>
      <c r="M18" s="2485"/>
      <c r="N18" s="2485"/>
      <c r="O18" s="2540"/>
      <c r="P18" s="3467"/>
      <c r="Q18" s="1260" t="str">
        <f>B18</f>
        <v>基础设施水平</v>
      </c>
      <c r="R18" s="665" t="s">
        <v>14</v>
      </c>
      <c r="S18" s="666">
        <f>F18</f>
        <v>100</v>
      </c>
      <c r="T18" s="665" t="s">
        <v>14</v>
      </c>
      <c r="U18" s="666">
        <f>H18</f>
        <v>100</v>
      </c>
      <c r="V18" s="665" t="s">
        <v>14</v>
      </c>
      <c r="W18" s="666">
        <f>J18</f>
        <v>100</v>
      </c>
      <c r="X18" s="1262"/>
      <c r="Y18" s="3467"/>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2"/>
      <c r="L19" s="2490"/>
      <c r="M19" s="2485"/>
      <c r="N19" s="2485"/>
      <c r="O19" s="2540"/>
      <c r="P19" s="3467"/>
      <c r="Q19" s="1260"/>
      <c r="R19" s="665"/>
      <c r="S19" s="666"/>
      <c r="T19" s="665"/>
      <c r="U19" s="666"/>
      <c r="V19" s="665"/>
      <c r="W19" s="666"/>
      <c r="X19" s="1262"/>
      <c r="Y19" s="3467"/>
      <c r="Z19" s="1261"/>
      <c r="AA19" s="1261">
        <v>1</v>
      </c>
      <c r="AB19" s="1261">
        <v>1</v>
      </c>
      <c r="AC19" s="1261">
        <v>1</v>
      </c>
    </row>
    <row r="20" spans="1:29" ht="15">
      <c r="A20" s="365"/>
      <c r="B20" s="388" t="s">
        <v>1834</v>
      </c>
      <c r="C20" s="1751">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90"/>
      <c r="M20" s="2485"/>
      <c r="N20" s="2485"/>
      <c r="O20" s="2540"/>
      <c r="P20" s="3467"/>
      <c r="Q20" s="1260" t="str">
        <f>B20</f>
        <v>自然及人文环境</v>
      </c>
      <c r="R20" s="665" t="s">
        <v>14</v>
      </c>
      <c r="S20" s="666">
        <f>F20</f>
        <v>100</v>
      </c>
      <c r="T20" s="665" t="s">
        <v>14</v>
      </c>
      <c r="U20" s="666">
        <f>H20</f>
        <v>100</v>
      </c>
      <c r="V20" s="665" t="s">
        <v>14</v>
      </c>
      <c r="W20" s="666">
        <f>J20</f>
        <v>100</v>
      </c>
      <c r="X20" s="1262"/>
      <c r="Y20" s="3467"/>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90"/>
      <c r="M21" s="2485"/>
      <c r="N21" s="2485"/>
      <c r="O21" s="2540"/>
      <c r="P21" s="3467"/>
      <c r="Q21" s="1260"/>
      <c r="R21" s="665"/>
      <c r="S21" s="666"/>
      <c r="T21" s="665"/>
      <c r="U21" s="666"/>
      <c r="V21" s="665"/>
      <c r="W21" s="666"/>
      <c r="X21" s="1262"/>
      <c r="Y21" s="3467"/>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90"/>
      <c r="M22" s="2485"/>
      <c r="N22" s="2485"/>
      <c r="O22" s="2540"/>
      <c r="P22" s="3467"/>
      <c r="Q22" s="1260" t="str">
        <f>B22</f>
        <v>楼层</v>
      </c>
      <c r="R22" s="665" t="s">
        <v>14</v>
      </c>
      <c r="S22" s="666">
        <f>F22</f>
        <v>100</v>
      </c>
      <c r="T22" s="665" t="s">
        <v>14</v>
      </c>
      <c r="U22" s="666">
        <f>H22</f>
        <v>100</v>
      </c>
      <c r="V22" s="665" t="s">
        <v>14</v>
      </c>
      <c r="W22" s="666">
        <f>J22</f>
        <v>100</v>
      </c>
      <c r="X22" s="1262"/>
      <c r="Y22" s="3467"/>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90"/>
      <c r="M23" s="2485"/>
      <c r="N23" s="2485"/>
      <c r="O23" s="2540"/>
      <c r="P23" s="3467"/>
      <c r="Q23" s="1260">
        <f>B23</f>
        <v>111</v>
      </c>
      <c r="R23" s="665" t="s">
        <v>14</v>
      </c>
      <c r="S23" s="666">
        <f>F23</f>
        <v>100</v>
      </c>
      <c r="T23" s="665" t="s">
        <v>14</v>
      </c>
      <c r="U23" s="666">
        <f>H23</f>
        <v>100</v>
      </c>
      <c r="V23" s="665" t="s">
        <v>14</v>
      </c>
      <c r="W23" s="666">
        <f>J23</f>
        <v>100</v>
      </c>
      <c r="X23" s="1262"/>
      <c r="Y23" s="3467"/>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90"/>
      <c r="M24" s="2485"/>
      <c r="N24" s="2485"/>
      <c r="O24" s="2540"/>
      <c r="P24" s="3467"/>
      <c r="Q24" s="1260">
        <f t="shared" ref="Q24:Q34" si="11">B24</f>
        <v>111</v>
      </c>
      <c r="R24" s="665" t="s">
        <v>14</v>
      </c>
      <c r="S24" s="666">
        <f>F24</f>
        <v>100</v>
      </c>
      <c r="T24" s="665" t="s">
        <v>14</v>
      </c>
      <c r="U24" s="666">
        <f>H24</f>
        <v>100</v>
      </c>
      <c r="V24" s="665" t="s">
        <v>14</v>
      </c>
      <c r="W24" s="666">
        <f>J24</f>
        <v>100</v>
      </c>
      <c r="X24" s="1262"/>
      <c r="Y24" s="3467"/>
      <c r="Z24" s="1261">
        <f>Q24</f>
        <v>111</v>
      </c>
      <c r="AA24" s="1261">
        <f t="shared" si="3"/>
        <v>1</v>
      </c>
      <c r="AB24" s="1261">
        <f t="shared" si="4"/>
        <v>1</v>
      </c>
      <c r="AC24" s="1261">
        <f t="shared" si="5"/>
        <v>1</v>
      </c>
    </row>
    <row r="25" spans="1:29" s="102" customFormat="1" ht="15.6"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6"/>
      <c r="M25" s="2437"/>
      <c r="N25" s="2437"/>
      <c r="O25" s="2538"/>
      <c r="P25" s="3467"/>
      <c r="Q25" s="528">
        <f t="shared" si="11"/>
        <v>111</v>
      </c>
      <c r="R25" s="662" t="s">
        <v>14</v>
      </c>
      <c r="S25" s="663">
        <f>F25</f>
        <v>100</v>
      </c>
      <c r="T25" s="662" t="s">
        <v>14</v>
      </c>
      <c r="U25" s="663">
        <f>H25</f>
        <v>100</v>
      </c>
      <c r="V25" s="662" t="s">
        <v>14</v>
      </c>
      <c r="W25" s="663">
        <f>J25</f>
        <v>100</v>
      </c>
      <c r="X25" s="664"/>
      <c r="Y25" s="3467"/>
      <c r="Z25" s="50">
        <f>Q25</f>
        <v>111</v>
      </c>
      <c r="AA25" s="1261">
        <f>D25/F25</f>
        <v>1</v>
      </c>
      <c r="AB25" s="1261">
        <f>D25/H25</f>
        <v>1</v>
      </c>
      <c r="AC25" s="1261">
        <f>D25/J25</f>
        <v>1</v>
      </c>
    </row>
    <row r="26" spans="1:29" ht="30">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90"/>
      <c r="M26" s="2485"/>
      <c r="N26" s="2485"/>
      <c r="O26" s="2540"/>
      <c r="P26" s="3490"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71"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9"/>
      <c r="M27" s="2491"/>
      <c r="N27" s="2491"/>
      <c r="O27" s="2541"/>
      <c r="P27" s="3471"/>
      <c r="Q27" s="529" t="str">
        <f t="shared" si="11"/>
        <v>成新率</v>
      </c>
      <c r="R27" s="667" t="s">
        <v>14</v>
      </c>
      <c r="S27" s="668" t="e">
        <f t="shared" si="12"/>
        <v>#N/A</v>
      </c>
      <c r="T27" s="667" t="s">
        <v>14</v>
      </c>
      <c r="U27" s="668" t="e">
        <f t="shared" si="13"/>
        <v>#N/A</v>
      </c>
      <c r="V27" s="667" t="s">
        <v>14</v>
      </c>
      <c r="W27" s="668" t="e">
        <f t="shared" si="14"/>
        <v>#N/A</v>
      </c>
      <c r="X27" s="669"/>
      <c r="Y27" s="3471"/>
      <c r="Z27" s="670"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90"/>
      <c r="M28" s="2485"/>
      <c r="N28" s="2485"/>
      <c r="O28" s="2540"/>
      <c r="P28" s="3471"/>
      <c r="Q28" s="1260" t="str">
        <f t="shared" si="11"/>
        <v>物业等级</v>
      </c>
      <c r="R28" s="665" t="s">
        <v>14</v>
      </c>
      <c r="S28" s="666">
        <f t="shared" si="12"/>
        <v>100</v>
      </c>
      <c r="T28" s="665" t="s">
        <v>14</v>
      </c>
      <c r="U28" s="666">
        <f t="shared" si="13"/>
        <v>100</v>
      </c>
      <c r="V28" s="665" t="s">
        <v>14</v>
      </c>
      <c r="W28" s="666">
        <f t="shared" si="14"/>
        <v>100</v>
      </c>
      <c r="X28" s="1262"/>
      <c r="Y28" s="3471"/>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90"/>
      <c r="M29" s="2485"/>
      <c r="N29" s="2485"/>
      <c r="O29" s="2540"/>
      <c r="P29" s="3471"/>
      <c r="Q29" s="1260" t="str">
        <f t="shared" si="11"/>
        <v>有无电梯</v>
      </c>
      <c r="R29" s="665" t="s">
        <v>14</v>
      </c>
      <c r="S29" s="666">
        <f t="shared" si="12"/>
        <v>100</v>
      </c>
      <c r="T29" s="665" t="s">
        <v>14</v>
      </c>
      <c r="U29" s="666">
        <f t="shared" si="13"/>
        <v>100</v>
      </c>
      <c r="V29" s="665" t="s">
        <v>14</v>
      </c>
      <c r="W29" s="666">
        <f t="shared" si="14"/>
        <v>100</v>
      </c>
      <c r="X29" s="1262"/>
      <c r="Y29" s="3471"/>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90"/>
      <c r="M30" s="2485"/>
      <c r="N30" s="2485"/>
      <c r="O30" s="2540"/>
      <c r="P30" s="3471"/>
      <c r="Q30" s="1260" t="str">
        <f t="shared" si="11"/>
        <v>建筑面积</v>
      </c>
      <c r="R30" s="665" t="s">
        <v>14</v>
      </c>
      <c r="S30" s="666" t="e">
        <f t="shared" si="12"/>
        <v>#N/A</v>
      </c>
      <c r="T30" s="665" t="s">
        <v>14</v>
      </c>
      <c r="U30" s="666" t="e">
        <f t="shared" si="13"/>
        <v>#N/A</v>
      </c>
      <c r="V30" s="665" t="s">
        <v>14</v>
      </c>
      <c r="W30" s="666" t="e">
        <f t="shared" si="14"/>
        <v>#N/A</v>
      </c>
      <c r="X30" s="1262"/>
      <c r="Y30" s="3471"/>
      <c r="Z30" s="1261" t="str">
        <f t="shared" si="15"/>
        <v>建筑面积</v>
      </c>
      <c r="AA30" s="1261" t="e">
        <f t="shared" si="3"/>
        <v>#N/A</v>
      </c>
      <c r="AB30" s="1261" t="e">
        <f t="shared" si="4"/>
        <v>#N/A</v>
      </c>
      <c r="AC30" s="1261"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6"/>
      <c r="M31" s="2437"/>
      <c r="N31" s="2437"/>
      <c r="O31" s="2538"/>
      <c r="P31" s="3471"/>
      <c r="Q31" s="528" t="str">
        <f t="shared" si="11"/>
        <v>是否封闭</v>
      </c>
      <c r="R31" s="662" t="s">
        <v>14</v>
      </c>
      <c r="S31" s="663">
        <f t="shared" si="12"/>
        <v>100</v>
      </c>
      <c r="T31" s="662" t="s">
        <v>14</v>
      </c>
      <c r="U31" s="663">
        <f t="shared" si="13"/>
        <v>100</v>
      </c>
      <c r="V31" s="662" t="s">
        <v>14</v>
      </c>
      <c r="W31" s="663">
        <f t="shared" si="14"/>
        <v>100</v>
      </c>
      <c r="X31" s="664"/>
      <c r="Y31" s="3471"/>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90"/>
      <c r="M32" s="2485"/>
      <c r="N32" s="2485"/>
      <c r="O32" s="2540"/>
      <c r="P32" s="3471" t="s">
        <v>1696</v>
      </c>
      <c r="Q32" s="1260">
        <f t="shared" si="11"/>
        <v>111</v>
      </c>
      <c r="R32" s="665" t="s">
        <v>14</v>
      </c>
      <c r="S32" s="666">
        <f t="shared" si="12"/>
        <v>100</v>
      </c>
      <c r="T32" s="665" t="s">
        <v>14</v>
      </c>
      <c r="U32" s="666">
        <f t="shared" si="13"/>
        <v>100</v>
      </c>
      <c r="V32" s="665" t="s">
        <v>14</v>
      </c>
      <c r="W32" s="666">
        <f t="shared" si="14"/>
        <v>100</v>
      </c>
      <c r="X32" s="1262"/>
      <c r="Y32" s="3471"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90"/>
      <c r="M33" s="2485"/>
      <c r="N33" s="2485"/>
      <c r="O33" s="2540"/>
      <c r="P33" s="3471"/>
      <c r="Q33" s="1260">
        <f t="shared" si="11"/>
        <v>111</v>
      </c>
      <c r="R33" s="665" t="s">
        <v>14</v>
      </c>
      <c r="S33" s="666">
        <f t="shared" si="12"/>
        <v>100</v>
      </c>
      <c r="T33" s="665" t="s">
        <v>14</v>
      </c>
      <c r="U33" s="666">
        <f t="shared" si="13"/>
        <v>100</v>
      </c>
      <c r="V33" s="665" t="s">
        <v>14</v>
      </c>
      <c r="W33" s="666">
        <f t="shared" si="14"/>
        <v>100</v>
      </c>
      <c r="X33" s="1262"/>
      <c r="Y33" s="3471"/>
      <c r="Z33" s="1261">
        <f t="shared" si="15"/>
        <v>111</v>
      </c>
      <c r="AA33" s="1261">
        <f t="shared" si="3"/>
        <v>1</v>
      </c>
      <c r="AB33" s="1261">
        <f t="shared" si="4"/>
        <v>1</v>
      </c>
      <c r="AC33" s="1261">
        <f t="shared" si="5"/>
        <v>1</v>
      </c>
    </row>
    <row r="34" spans="1:30" ht="15.6"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90"/>
      <c r="M34" s="2485"/>
      <c r="N34" s="2485"/>
      <c r="O34" s="2540"/>
      <c r="P34" s="3471"/>
      <c r="Q34" s="1260">
        <f t="shared" si="11"/>
        <v>111</v>
      </c>
      <c r="R34" s="665" t="s">
        <v>14</v>
      </c>
      <c r="S34" s="666">
        <f t="shared" si="12"/>
        <v>100</v>
      </c>
      <c r="T34" s="665" t="s">
        <v>14</v>
      </c>
      <c r="U34" s="666">
        <f t="shared" si="13"/>
        <v>100</v>
      </c>
      <c r="V34" s="665" t="s">
        <v>14</v>
      </c>
      <c r="W34" s="666">
        <f t="shared" si="14"/>
        <v>100</v>
      </c>
      <c r="X34" s="1262"/>
      <c r="Y34" s="3471"/>
      <c r="Z34" s="1261">
        <f t="shared" si="15"/>
        <v>111</v>
      </c>
      <c r="AA34" s="1261">
        <f t="shared" si="3"/>
        <v>1</v>
      </c>
      <c r="AB34" s="1261">
        <f t="shared" si="4"/>
        <v>1</v>
      </c>
      <c r="AC34" s="1261">
        <f t="shared" si="5"/>
        <v>1</v>
      </c>
    </row>
    <row r="35" spans="1:30" ht="14.4">
      <c r="A35" s="414" t="s">
        <v>1708</v>
      </c>
      <c r="B35" s="415"/>
      <c r="C35" s="1079" t="s">
        <v>0</v>
      </c>
      <c r="D35" s="416"/>
      <c r="E35" s="417"/>
      <c r="F35" s="418"/>
      <c r="G35" s="419"/>
      <c r="H35" s="420"/>
      <c r="I35" s="417"/>
      <c r="J35" s="420"/>
      <c r="K35" s="672"/>
      <c r="L35" s="2492"/>
      <c r="M35" s="2485"/>
      <c r="N35" s="2485"/>
      <c r="O35" s="2485"/>
      <c r="P35" s="3465" t="str">
        <f>A35</f>
        <v>成交单价（元/平方米）</v>
      </c>
      <c r="Q35" s="3465"/>
      <c r="R35" s="3460">
        <f>E35</f>
        <v>0</v>
      </c>
      <c r="S35" s="3460"/>
      <c r="T35" s="3460">
        <f>G35</f>
        <v>0</v>
      </c>
      <c r="U35" s="3460"/>
      <c r="V35" s="3460">
        <f>I35</f>
        <v>0</v>
      </c>
      <c r="W35" s="3460"/>
      <c r="X35" s="383"/>
      <c r="Y35" s="671"/>
      <c r="Z35" s="383"/>
      <c r="AA35" s="383"/>
      <c r="AB35" s="383"/>
      <c r="AC35" s="383"/>
    </row>
    <row r="36" spans="1:30" ht="15" thickBot="1">
      <c r="A36" s="421" t="s">
        <v>1793</v>
      </c>
      <c r="B36" s="422"/>
      <c r="C36" s="1080" t="e">
        <f>R37</f>
        <v>#DIV/0!</v>
      </c>
      <c r="D36" s="2138" t="s">
        <v>2135</v>
      </c>
      <c r="E36" s="1081" t="e">
        <f>R36</f>
        <v>#DIV/0!</v>
      </c>
      <c r="F36" s="2139"/>
      <c r="G36" s="1080" t="e">
        <f>T36</f>
        <v>#DIV/0!</v>
      </c>
      <c r="H36" s="2139"/>
      <c r="I36" s="1081" t="e">
        <f>V36</f>
        <v>#DIV/0!</v>
      </c>
      <c r="J36" s="2139"/>
      <c r="K36" s="2141">
        <f>F36+H36+J36</f>
        <v>0</v>
      </c>
      <c r="L36" s="2492"/>
      <c r="M36" s="2485"/>
      <c r="N36" s="2485"/>
      <c r="O36" s="2485"/>
      <c r="P36" s="3465" t="str">
        <f>A36</f>
        <v>比较价值（元/平方米）</v>
      </c>
      <c r="Q36" s="3465"/>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92"/>
      <c r="M37" s="2485"/>
      <c r="N37" s="2485"/>
      <c r="O37" s="2485"/>
      <c r="P37" s="3462" t="str">
        <f>A37</f>
        <v>估价对象XX用房的比较价值（楼面单价，元/平方米）</v>
      </c>
      <c r="Q37" s="3463"/>
      <c r="R37" s="3491" t="e">
        <f>IF(F1="售价",ROUND(IF(D36="简单平均",AVERAGE(R36:W36),R36*F36+T36*H36+V36*J36),0),ROUND(IF(D36="简单平均",AVERAGE(R36:V36),R36*F36+T36*H36+V36*J36),1))</f>
        <v>#DIV/0!</v>
      </c>
      <c r="S37" s="3491"/>
      <c r="T37" s="3491"/>
      <c r="U37" s="3491"/>
      <c r="V37" s="3491"/>
      <c r="W37" s="3491"/>
      <c r="X37" s="383"/>
      <c r="Y37" s="383"/>
      <c r="Z37" s="383"/>
      <c r="AA37" s="383"/>
      <c r="AB37" s="383"/>
      <c r="AC37" s="383"/>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5" customFormat="1" ht="13.5" customHeight="1">
      <c r="A42" s="2495"/>
      <c r="B42" s="2495"/>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5"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6" t="s">
        <v>1798</v>
      </c>
      <c r="B45" s="383"/>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0" customFormat="1" ht="14.4">
      <c r="A46" s="438" t="s">
        <v>1679</v>
      </c>
      <c r="B46" s="439"/>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8"/>
      <c r="Q46" s="2508"/>
      <c r="R46" s="2508"/>
      <c r="S46" s="2508"/>
      <c r="T46" s="2508"/>
      <c r="U46" s="2508"/>
      <c r="V46" s="2508"/>
      <c r="W46" s="2508"/>
      <c r="X46" s="2508"/>
      <c r="Y46" s="2508"/>
      <c r="Z46" s="2508"/>
      <c r="AA46" s="2508"/>
      <c r="AB46" s="2508"/>
      <c r="AC46" s="2508"/>
      <c r="AD46" s="2508"/>
    </row>
    <row r="47" spans="1:30" s="102" customFormat="1">
      <c r="A47" s="441"/>
      <c r="B47" s="442"/>
      <c r="C47" s="1099">
        <v>100</v>
      </c>
      <c r="D47" s="444"/>
      <c r="E47" s="444"/>
      <c r="F47" s="444"/>
      <c r="G47" s="444"/>
      <c r="H47" s="444"/>
      <c r="I47" s="444"/>
      <c r="J47" s="444"/>
      <c r="K47" s="444"/>
      <c r="L47" s="444"/>
      <c r="M47" s="445"/>
      <c r="N47" s="444"/>
      <c r="O47" s="446"/>
      <c r="P47" s="2506"/>
      <c r="Q47" s="2437"/>
      <c r="R47" s="2437"/>
      <c r="S47" s="2437"/>
      <c r="T47" s="2437"/>
      <c r="U47" s="2437"/>
      <c r="V47" s="2437"/>
      <c r="W47" s="2437"/>
      <c r="X47" s="2437"/>
      <c r="Y47" s="2437"/>
      <c r="Z47" s="2437"/>
      <c r="AA47" s="2437"/>
      <c r="AB47" s="2437"/>
      <c r="AC47" s="2437"/>
      <c r="AD47" s="2437"/>
    </row>
    <row r="48" spans="1:30" s="102" customFormat="1" ht="15" thickBot="1">
      <c r="A48" s="447" t="s">
        <v>1716</v>
      </c>
      <c r="B48" s="448"/>
      <c r="C48" s="449"/>
      <c r="D48" s="450"/>
      <c r="E48" s="450"/>
      <c r="F48" s="450"/>
      <c r="G48" s="450"/>
      <c r="H48" s="450"/>
      <c r="I48" s="450"/>
      <c r="J48" s="450"/>
      <c r="K48" s="450"/>
      <c r="L48" s="450"/>
      <c r="M48" s="451"/>
      <c r="N48" s="450"/>
      <c r="O48" s="452"/>
      <c r="P48" s="2506"/>
      <c r="Q48" s="2506"/>
      <c r="R48" s="2437"/>
      <c r="S48" s="2437"/>
      <c r="T48" s="2437"/>
      <c r="U48" s="2437"/>
      <c r="V48" s="2437"/>
      <c r="W48" s="2437"/>
      <c r="X48" s="2437"/>
      <c r="Y48" s="2437"/>
      <c r="Z48" s="2437"/>
      <c r="AA48" s="2437"/>
      <c r="AB48" s="2437"/>
      <c r="AC48" s="2437"/>
      <c r="AD48" s="2437"/>
    </row>
    <row r="49" spans="1:30" s="102" customFormat="1" ht="14.4">
      <c r="A49" s="453" t="s">
        <v>1681</v>
      </c>
      <c r="B49" s="442"/>
      <c r="C49" s="454" t="s">
        <v>1776</v>
      </c>
      <c r="D49" s="31"/>
      <c r="E49" s="31"/>
      <c r="F49" s="31"/>
      <c r="G49" s="31"/>
      <c r="H49" s="31"/>
      <c r="I49" s="31"/>
      <c r="J49" s="31"/>
      <c r="K49" s="31"/>
      <c r="L49" s="455"/>
      <c r="M49" s="456"/>
      <c r="N49" s="2518"/>
      <c r="O49" s="2518"/>
      <c r="P49" s="2542"/>
      <c r="Q49" s="2506"/>
      <c r="R49" s="2437"/>
      <c r="S49" s="2437"/>
      <c r="T49" s="2437"/>
      <c r="U49" s="2437"/>
      <c r="V49" s="2437"/>
      <c r="W49" s="2437"/>
      <c r="X49" s="2437"/>
      <c r="Y49" s="2437"/>
      <c r="Z49" s="2437"/>
      <c r="AA49" s="2437"/>
      <c r="AB49" s="2437"/>
      <c r="AC49" s="2437"/>
      <c r="AD49" s="2437"/>
    </row>
    <row r="50" spans="1:30" s="102" customFormat="1" ht="14.4" thickBot="1">
      <c r="A50" s="453"/>
      <c r="B50" s="442"/>
      <c r="C50" s="561">
        <v>100</v>
      </c>
      <c r="D50" s="444"/>
      <c r="E50" s="444"/>
      <c r="F50" s="444"/>
      <c r="G50" s="444"/>
      <c r="H50" s="444"/>
      <c r="I50" s="444"/>
      <c r="J50" s="444"/>
      <c r="K50" s="444"/>
      <c r="L50" s="444"/>
      <c r="M50" s="446"/>
      <c r="N50" s="2518"/>
      <c r="O50" s="2518"/>
      <c r="P50" s="2506"/>
      <c r="Q50" s="2506"/>
      <c r="R50" s="2437"/>
      <c r="S50" s="2437"/>
      <c r="T50" s="2437"/>
      <c r="U50" s="2437"/>
      <c r="V50" s="2437"/>
      <c r="W50" s="2437"/>
      <c r="X50" s="2437"/>
      <c r="Y50" s="2437"/>
      <c r="Z50" s="2437"/>
      <c r="AA50" s="2437"/>
      <c r="AB50" s="2437"/>
      <c r="AC50" s="2437"/>
      <c r="AD50" s="2437"/>
    </row>
    <row r="51" spans="1:30" ht="14.4">
      <c r="A51" s="377" t="s">
        <v>1719</v>
      </c>
      <c r="B51" s="458" t="s">
        <v>1685</v>
      </c>
      <c r="C51" s="459">
        <f>C9</f>
        <v>0</v>
      </c>
      <c r="D51" s="460"/>
      <c r="E51" s="460"/>
      <c r="F51" s="460"/>
      <c r="G51" s="460"/>
      <c r="H51" s="460"/>
      <c r="I51" s="460"/>
      <c r="J51" s="460"/>
      <c r="K51" s="461"/>
      <c r="L51" s="462"/>
      <c r="M51" s="463"/>
      <c r="N51" s="2519"/>
      <c r="O51" s="2519"/>
      <c r="P51" s="2518"/>
      <c r="Q51" s="2506"/>
      <c r="R51" s="2485"/>
      <c r="S51" s="2485"/>
      <c r="T51" s="2485"/>
      <c r="U51" s="2485"/>
      <c r="V51" s="2485"/>
      <c r="W51" s="2485"/>
      <c r="X51" s="2485"/>
      <c r="Y51" s="2485"/>
      <c r="Z51" s="2485"/>
      <c r="AA51" s="2485"/>
      <c r="AB51" s="2485"/>
      <c r="AC51" s="2485"/>
      <c r="AD51" s="2485"/>
    </row>
    <row r="52" spans="1:30" ht="14.4" thickBot="1">
      <c r="A52" s="365"/>
      <c r="B52" s="464"/>
      <c r="C52" s="465">
        <v>100</v>
      </c>
      <c r="D52" s="465"/>
      <c r="E52" s="465"/>
      <c r="F52" s="465"/>
      <c r="G52" s="465"/>
      <c r="H52" s="465"/>
      <c r="I52" s="465"/>
      <c r="J52" s="465"/>
      <c r="K52" s="465"/>
      <c r="L52" s="465"/>
      <c r="M52" s="466"/>
      <c r="N52" s="2520"/>
      <c r="O52" s="2520"/>
      <c r="P52" s="2518"/>
      <c r="Q52" s="2506"/>
      <c r="R52" s="2485"/>
      <c r="S52" s="2485"/>
      <c r="T52" s="2485"/>
      <c r="U52" s="2485"/>
      <c r="V52" s="2485"/>
      <c r="W52" s="2485"/>
      <c r="X52" s="2485"/>
      <c r="Y52" s="2485"/>
      <c r="Z52" s="2485"/>
      <c r="AA52" s="2485"/>
      <c r="AB52" s="2485"/>
      <c r="AC52" s="2485"/>
      <c r="AD52" s="2485"/>
    </row>
    <row r="53" spans="1:30" ht="29.4" thickTop="1">
      <c r="A53" s="365"/>
      <c r="B53" s="467" t="s">
        <v>1688</v>
      </c>
      <c r="C53" s="511"/>
      <c r="D53" s="511"/>
      <c r="E53" s="511"/>
      <c r="F53" s="511"/>
      <c r="G53" s="511"/>
      <c r="H53" s="511"/>
      <c r="I53" s="511"/>
      <c r="J53" s="511"/>
      <c r="K53" s="512"/>
      <c r="L53" s="513"/>
      <c r="M53" s="514"/>
      <c r="N53" s="2519"/>
      <c r="O53" s="2519"/>
      <c r="P53" s="2518"/>
      <c r="Q53" s="2506"/>
      <c r="R53" s="2485"/>
      <c r="S53" s="2485"/>
      <c r="T53" s="2485"/>
      <c r="U53" s="2485"/>
      <c r="V53" s="2485"/>
      <c r="W53" s="2485"/>
      <c r="X53" s="2485"/>
      <c r="Y53" s="2485"/>
      <c r="Z53" s="2485"/>
      <c r="AA53" s="2485"/>
      <c r="AB53" s="2485"/>
      <c r="AC53" s="2485"/>
      <c r="AD53" s="2485"/>
    </row>
    <row r="54" spans="1:30" ht="14.4" thickBot="1">
      <c r="A54" s="365"/>
      <c r="B54" s="472"/>
      <c r="C54" s="465"/>
      <c r="D54" s="465"/>
      <c r="E54" s="465"/>
      <c r="F54" s="465"/>
      <c r="G54" s="465"/>
      <c r="H54" s="465"/>
      <c r="I54" s="465"/>
      <c r="J54" s="465"/>
      <c r="K54" s="465"/>
      <c r="L54" s="465"/>
      <c r="M54" s="466"/>
      <c r="N54" s="2520"/>
      <c r="O54" s="2520"/>
      <c r="P54" s="2518"/>
      <c r="Q54" s="2506"/>
      <c r="R54" s="2485"/>
      <c r="S54" s="2485"/>
      <c r="T54" s="2485"/>
      <c r="U54" s="2485"/>
      <c r="V54" s="2485"/>
      <c r="W54" s="2485"/>
      <c r="X54" s="2485"/>
      <c r="Y54" s="2485"/>
      <c r="Z54" s="2485"/>
      <c r="AA54" s="2485"/>
      <c r="AB54" s="2485"/>
      <c r="AC54" s="2485"/>
      <c r="AD54" s="2485"/>
    </row>
    <row r="55" spans="1:30" ht="14.4" thickTop="1">
      <c r="A55" s="365"/>
      <c r="B55" s="579">
        <f>B11</f>
        <v>111</v>
      </c>
      <c r="C55" s="478"/>
      <c r="D55" s="478"/>
      <c r="E55" s="478"/>
      <c r="F55" s="478"/>
      <c r="G55" s="478"/>
      <c r="H55" s="478"/>
      <c r="I55" s="478"/>
      <c r="J55" s="478"/>
      <c r="K55" s="479"/>
      <c r="L55" s="480"/>
      <c r="M55" s="481"/>
      <c r="N55" s="2519"/>
      <c r="O55" s="2519"/>
      <c r="P55" s="2518"/>
      <c r="Q55" s="2506"/>
      <c r="R55" s="2485"/>
      <c r="S55" s="2485"/>
      <c r="T55" s="2485"/>
      <c r="U55" s="2485"/>
      <c r="V55" s="2485"/>
      <c r="W55" s="2485"/>
      <c r="X55" s="2485"/>
      <c r="Y55" s="2485"/>
      <c r="Z55" s="2485"/>
      <c r="AA55" s="2485"/>
      <c r="AB55" s="2485"/>
      <c r="AC55" s="2485"/>
      <c r="AD55" s="2485"/>
    </row>
    <row r="56" spans="1:30" ht="14.4" thickBot="1">
      <c r="A56" s="365"/>
      <c r="B56" s="464"/>
      <c r="C56" s="489"/>
      <c r="D56" s="465"/>
      <c r="E56" s="465"/>
      <c r="F56" s="465"/>
      <c r="G56" s="465"/>
      <c r="H56" s="465"/>
      <c r="I56" s="465"/>
      <c r="J56" s="465"/>
      <c r="K56" s="465"/>
      <c r="L56" s="465"/>
      <c r="M56" s="466"/>
      <c r="N56" s="2520"/>
      <c r="O56" s="2520"/>
      <c r="P56" s="2518"/>
      <c r="Q56" s="2506"/>
      <c r="R56" s="2485"/>
      <c r="S56" s="2485"/>
      <c r="T56" s="2485"/>
      <c r="U56" s="2485"/>
      <c r="V56" s="2485"/>
      <c r="W56" s="2485"/>
      <c r="X56" s="2485"/>
      <c r="Y56" s="2485"/>
      <c r="Z56" s="2485"/>
      <c r="AA56" s="2485"/>
      <c r="AB56" s="2485"/>
      <c r="AC56" s="2485"/>
      <c r="AD56" s="2485"/>
    </row>
    <row r="57" spans="1:30" s="406" customFormat="1" ht="14.4" thickTop="1">
      <c r="A57" s="482"/>
      <c r="B57" s="467">
        <f>B12</f>
        <v>111</v>
      </c>
      <c r="C57" s="478"/>
      <c r="D57" s="478"/>
      <c r="E57" s="478"/>
      <c r="F57" s="478"/>
      <c r="G57" s="483"/>
      <c r="H57" s="484"/>
      <c r="I57" s="484"/>
      <c r="J57" s="484"/>
      <c r="K57" s="484"/>
      <c r="L57" s="485"/>
      <c r="M57" s="486"/>
      <c r="N57" s="2521"/>
      <c r="O57" s="2521"/>
      <c r="P57" s="2521"/>
      <c r="Q57" s="2513"/>
      <c r="R57" s="2491"/>
      <c r="S57" s="2491"/>
      <c r="T57" s="2491"/>
      <c r="U57" s="2491"/>
      <c r="V57" s="2491"/>
      <c r="W57" s="2491"/>
      <c r="X57" s="2491"/>
      <c r="Y57" s="2491"/>
      <c r="Z57" s="2491"/>
      <c r="AA57" s="2491"/>
      <c r="AB57" s="2491"/>
      <c r="AC57" s="2491"/>
      <c r="AD57" s="2491"/>
    </row>
    <row r="58" spans="1:30" s="406" customFormat="1" ht="14.4" thickBot="1">
      <c r="A58" s="482"/>
      <c r="B58" s="472"/>
      <c r="C58" s="489"/>
      <c r="D58" s="465"/>
      <c r="E58" s="465"/>
      <c r="F58" s="465"/>
      <c r="G58" s="465"/>
      <c r="H58" s="465"/>
      <c r="I58" s="465"/>
      <c r="J58" s="465"/>
      <c r="K58" s="465"/>
      <c r="L58" s="465"/>
      <c r="M58" s="466"/>
      <c r="N58" s="2520"/>
      <c r="O58" s="2520"/>
      <c r="P58" s="2521"/>
      <c r="Q58" s="2513"/>
      <c r="R58" s="2491"/>
      <c r="S58" s="2491"/>
      <c r="T58" s="2491"/>
      <c r="U58" s="2491"/>
      <c r="V58" s="2491"/>
      <c r="W58" s="2491"/>
      <c r="X58" s="2491"/>
      <c r="Y58" s="2491"/>
      <c r="Z58" s="2491"/>
      <c r="AA58" s="2491"/>
      <c r="AB58" s="2491"/>
      <c r="AC58" s="2491"/>
      <c r="AD58" s="2491"/>
    </row>
    <row r="59" spans="1:30" s="406" customFormat="1" ht="14.4" thickTop="1">
      <c r="A59" s="482"/>
      <c r="B59" s="467">
        <f>B13</f>
        <v>111</v>
      </c>
      <c r="C59" s="478"/>
      <c r="D59" s="478"/>
      <c r="E59" s="478"/>
      <c r="F59" s="478"/>
      <c r="G59" s="483"/>
      <c r="H59" s="484"/>
      <c r="I59" s="484"/>
      <c r="J59" s="484"/>
      <c r="K59" s="484"/>
      <c r="L59" s="485"/>
      <c r="M59" s="486"/>
      <c r="N59" s="2521"/>
      <c r="O59" s="2521"/>
      <c r="P59" s="2491"/>
      <c r="Q59" s="2515"/>
      <c r="R59" s="2491"/>
      <c r="S59" s="2491"/>
      <c r="T59" s="2491"/>
      <c r="U59" s="2491"/>
      <c r="V59" s="2491"/>
      <c r="W59" s="2491"/>
      <c r="X59" s="2491"/>
      <c r="Y59" s="2491"/>
      <c r="Z59" s="2491"/>
      <c r="AA59" s="2491"/>
      <c r="AB59" s="2491"/>
      <c r="AC59" s="2491"/>
      <c r="AD59" s="2491"/>
    </row>
    <row r="60" spans="1:30" s="406" customFormat="1" ht="14.4" thickBot="1">
      <c r="A60" s="482"/>
      <c r="B60" s="472"/>
      <c r="C60" s="489"/>
      <c r="D60" s="489"/>
      <c r="E60" s="489"/>
      <c r="F60" s="489"/>
      <c r="G60" s="489"/>
      <c r="H60" s="491"/>
      <c r="I60" s="491"/>
      <c r="J60" s="491"/>
      <c r="K60" s="491"/>
      <c r="L60" s="491"/>
      <c r="M60" s="492"/>
      <c r="N60" s="2521"/>
      <c r="O60" s="2521"/>
      <c r="P60" s="2521"/>
      <c r="Q60" s="2513"/>
      <c r="R60" s="2491"/>
      <c r="S60" s="2491"/>
      <c r="T60" s="2491"/>
      <c r="U60" s="2491"/>
      <c r="V60" s="2491"/>
      <c r="W60" s="2491"/>
      <c r="X60" s="2491"/>
      <c r="Y60" s="2491"/>
      <c r="Z60" s="2491"/>
      <c r="AA60" s="2491"/>
      <c r="AB60" s="2491"/>
      <c r="AC60" s="2491"/>
      <c r="AD60" s="2491"/>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9"/>
      <c r="O61" s="2519"/>
      <c r="P61" s="2543"/>
      <c r="Q61" s="2506"/>
      <c r="R61" s="2485"/>
      <c r="S61" s="2485"/>
      <c r="T61" s="2485"/>
      <c r="U61" s="2485"/>
      <c r="V61" s="2485"/>
      <c r="W61" s="2485"/>
      <c r="X61" s="2485"/>
      <c r="Y61" s="2485"/>
      <c r="Z61" s="2485"/>
      <c r="AA61" s="2485"/>
      <c r="AB61" s="2485"/>
      <c r="AC61" s="2485"/>
      <c r="AD61" s="2485"/>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20"/>
      <c r="O62" s="2520"/>
      <c r="P62" s="2518"/>
      <c r="Q62" s="2506"/>
      <c r="R62" s="2485"/>
      <c r="S62" s="2485"/>
      <c r="T62" s="2485"/>
      <c r="U62" s="2485"/>
      <c r="V62" s="2485"/>
      <c r="W62" s="2485"/>
      <c r="X62" s="2485"/>
      <c r="Y62" s="2485"/>
      <c r="Z62" s="2485"/>
      <c r="AA62" s="2485"/>
      <c r="AB62" s="2485"/>
      <c r="AC62" s="2485"/>
      <c r="AD62" s="2485"/>
    </row>
    <row r="63" spans="1:30" ht="29.4" thickTop="1">
      <c r="A63" s="365"/>
      <c r="B63" s="467" t="s">
        <v>1863</v>
      </c>
      <c r="C63" s="507" t="s">
        <v>1721</v>
      </c>
      <c r="D63" s="507" t="s">
        <v>1722</v>
      </c>
      <c r="E63" s="507" t="s">
        <v>1723</v>
      </c>
      <c r="F63" s="507" t="s">
        <v>1724</v>
      </c>
      <c r="G63" s="507" t="s">
        <v>1725</v>
      </c>
      <c r="H63" s="468"/>
      <c r="I63" s="468"/>
      <c r="J63" s="468"/>
      <c r="K63" s="469"/>
      <c r="L63" s="470"/>
      <c r="M63" s="471"/>
      <c r="N63" s="2519"/>
      <c r="O63" s="2519"/>
      <c r="P63" s="2518"/>
      <c r="Q63" s="2506"/>
      <c r="R63" s="2485"/>
      <c r="S63" s="2485"/>
      <c r="T63" s="2485"/>
      <c r="U63" s="2485"/>
      <c r="V63" s="2485"/>
      <c r="W63" s="2485"/>
      <c r="X63" s="2485"/>
      <c r="Y63" s="2485"/>
      <c r="Z63" s="2485"/>
      <c r="AA63" s="2485"/>
      <c r="AB63" s="2485"/>
      <c r="AC63" s="2485"/>
      <c r="AD63" s="2485"/>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20"/>
      <c r="O64" s="2520"/>
      <c r="P64" s="2518"/>
      <c r="Q64" s="2506"/>
      <c r="R64" s="2485"/>
      <c r="S64" s="2485"/>
      <c r="T64" s="2485"/>
      <c r="U64" s="2485"/>
      <c r="V64" s="2485"/>
      <c r="W64" s="2485"/>
      <c r="X64" s="2485"/>
      <c r="Y64" s="2485"/>
      <c r="Z64" s="2485"/>
      <c r="AA64" s="2485"/>
      <c r="AB64" s="2485"/>
      <c r="AC64" s="2485"/>
      <c r="AD64" s="2485"/>
    </row>
    <row r="65" spans="1:30" ht="15" thickTop="1">
      <c r="A65" s="365"/>
      <c r="B65" s="475" t="s">
        <v>1813</v>
      </c>
      <c r="C65" s="579" t="s">
        <v>1799</v>
      </c>
      <c r="D65" s="579" t="s">
        <v>1800</v>
      </c>
      <c r="E65" s="579" t="s">
        <v>1801</v>
      </c>
      <c r="F65" s="579" t="s">
        <v>1802</v>
      </c>
      <c r="G65" s="579" t="s">
        <v>1803</v>
      </c>
      <c r="H65" s="468"/>
      <c r="I65" s="468"/>
      <c r="J65" s="468"/>
      <c r="K65" s="468"/>
      <c r="L65" s="468"/>
      <c r="M65" s="1061"/>
      <c r="N65" s="2520"/>
      <c r="O65" s="2520"/>
      <c r="P65" s="2518"/>
      <c r="Q65" s="2506"/>
      <c r="R65" s="2485"/>
      <c r="S65" s="2485"/>
      <c r="T65" s="2485"/>
      <c r="U65" s="2485"/>
      <c r="V65" s="2485"/>
      <c r="W65" s="2485"/>
      <c r="X65" s="2485"/>
      <c r="Y65" s="2485"/>
      <c r="Z65" s="2485"/>
      <c r="AA65" s="2485"/>
      <c r="AB65" s="2485"/>
      <c r="AC65" s="2485"/>
      <c r="AD65" s="2485"/>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20"/>
      <c r="O66" s="2520"/>
      <c r="P66" s="2518"/>
      <c r="Q66" s="2506"/>
      <c r="R66" s="2485"/>
      <c r="S66" s="2485"/>
      <c r="T66" s="2485"/>
      <c r="U66" s="2485"/>
      <c r="V66" s="2485"/>
      <c r="W66" s="2485"/>
      <c r="X66" s="2485"/>
      <c r="Y66" s="2485"/>
      <c r="Z66" s="2485"/>
      <c r="AA66" s="2485"/>
      <c r="AB66" s="2485"/>
      <c r="AC66" s="2485"/>
      <c r="AD66" s="2485"/>
    </row>
    <row r="67" spans="1:30" ht="15" thickTop="1">
      <c r="A67" s="365"/>
      <c r="B67" s="467" t="s">
        <v>1733</v>
      </c>
      <c r="C67" s="507" t="s">
        <v>1721</v>
      </c>
      <c r="D67" s="507" t="s">
        <v>1722</v>
      </c>
      <c r="E67" s="507" t="s">
        <v>1723</v>
      </c>
      <c r="F67" s="507" t="s">
        <v>1724</v>
      </c>
      <c r="G67" s="507" t="s">
        <v>1725</v>
      </c>
      <c r="H67" s="468"/>
      <c r="I67" s="468"/>
      <c r="J67" s="468"/>
      <c r="K67" s="469"/>
      <c r="L67" s="470"/>
      <c r="M67" s="471"/>
      <c r="N67" s="2519"/>
      <c r="O67" s="2519"/>
      <c r="P67" s="2518"/>
      <c r="Q67" s="2506"/>
      <c r="R67" s="2485"/>
      <c r="S67" s="2485"/>
      <c r="T67" s="2485"/>
      <c r="U67" s="2485"/>
      <c r="V67" s="2485"/>
      <c r="W67" s="2485"/>
      <c r="X67" s="2485"/>
      <c r="Y67" s="2485"/>
      <c r="Z67" s="2485"/>
      <c r="AA67" s="2485"/>
      <c r="AB67" s="2485"/>
      <c r="AC67" s="2485"/>
      <c r="AD67" s="2485"/>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20"/>
      <c r="O68" s="2520"/>
      <c r="P68" s="2518"/>
      <c r="Q68" s="2506"/>
      <c r="R68" s="2485"/>
      <c r="S68" s="2485"/>
      <c r="T68" s="2485"/>
      <c r="U68" s="2485"/>
      <c r="V68" s="2485"/>
      <c r="W68" s="2485"/>
      <c r="X68" s="2485"/>
      <c r="Y68" s="2485"/>
      <c r="Z68" s="2485"/>
      <c r="AA68" s="2485"/>
      <c r="AB68" s="2485"/>
      <c r="AC68" s="2485"/>
      <c r="AD68" s="2485"/>
    </row>
    <row r="69" spans="1:30" ht="15" thickTop="1">
      <c r="A69" s="365"/>
      <c r="B69" s="467" t="s">
        <v>1852</v>
      </c>
      <c r="C69" s="483"/>
      <c r="D69" s="483"/>
      <c r="E69" s="483"/>
      <c r="F69" s="483"/>
      <c r="G69" s="483"/>
      <c r="H69" s="511"/>
      <c r="I69" s="511"/>
      <c r="J69" s="511"/>
      <c r="K69" s="512"/>
      <c r="L69" s="513"/>
      <c r="M69" s="514"/>
      <c r="N69" s="2519"/>
      <c r="O69" s="2519"/>
      <c r="P69" s="2518"/>
      <c r="Q69" s="2506"/>
      <c r="R69" s="2485"/>
      <c r="S69" s="2485"/>
      <c r="T69" s="2485"/>
      <c r="U69" s="2485"/>
      <c r="V69" s="2485"/>
      <c r="W69" s="2485"/>
      <c r="X69" s="2485"/>
      <c r="Y69" s="2485"/>
      <c r="Z69" s="2485"/>
      <c r="AA69" s="2485"/>
      <c r="AB69" s="2485"/>
      <c r="AC69" s="2485"/>
      <c r="AD69" s="2485"/>
    </row>
    <row r="70" spans="1:30" ht="14.4" thickBot="1">
      <c r="A70" s="365"/>
      <c r="B70" s="472"/>
      <c r="C70" s="473">
        <v>100</v>
      </c>
      <c r="D70" s="473">
        <f>C70-$K22</f>
        <v>100</v>
      </c>
      <c r="E70" s="473"/>
      <c r="F70" s="473"/>
      <c r="G70" s="473"/>
      <c r="H70" s="473"/>
      <c r="I70" s="473"/>
      <c r="J70" s="473"/>
      <c r="K70" s="473"/>
      <c r="L70" s="473"/>
      <c r="M70" s="474"/>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68"/>
      <c r="B71" s="467">
        <f>B23</f>
        <v>111</v>
      </c>
      <c r="C71" s="478"/>
      <c r="D71" s="478"/>
      <c r="E71" s="478"/>
      <c r="F71" s="478"/>
      <c r="G71" s="483"/>
      <c r="H71" s="483"/>
      <c r="I71" s="483"/>
      <c r="J71" s="483"/>
      <c r="K71" s="483"/>
      <c r="L71" s="508"/>
      <c r="M71" s="509"/>
      <c r="N71" s="2518"/>
      <c r="O71" s="2518"/>
      <c r="P71" s="2518"/>
      <c r="Q71" s="2506"/>
      <c r="R71" s="2437"/>
      <c r="S71" s="2437"/>
      <c r="T71" s="2437"/>
      <c r="U71" s="2437"/>
      <c r="V71" s="2437"/>
      <c r="W71" s="2437"/>
      <c r="X71" s="2437"/>
      <c r="Y71" s="2437"/>
      <c r="Z71" s="2437"/>
      <c r="AA71" s="2437"/>
      <c r="AB71" s="2437"/>
      <c r="AC71" s="2437"/>
      <c r="AD71" s="2437"/>
    </row>
    <row r="72" spans="1:30" s="102" customFormat="1" ht="14.4" thickBot="1">
      <c r="A72" s="368"/>
      <c r="B72" s="472"/>
      <c r="C72" s="489"/>
      <c r="D72" s="465"/>
      <c r="E72" s="465"/>
      <c r="F72" s="465"/>
      <c r="G72" s="465"/>
      <c r="H72" s="465"/>
      <c r="I72" s="465"/>
      <c r="J72" s="465"/>
      <c r="K72" s="465"/>
      <c r="L72" s="465"/>
      <c r="M72" s="466"/>
      <c r="N72" s="2520"/>
      <c r="O72" s="2520"/>
      <c r="P72" s="2518"/>
      <c r="Q72" s="2506"/>
      <c r="R72" s="2437"/>
      <c r="S72" s="2437"/>
      <c r="T72" s="2437"/>
      <c r="U72" s="2437"/>
      <c r="V72" s="2437"/>
      <c r="W72" s="2437"/>
      <c r="X72" s="2437"/>
      <c r="Y72" s="2437"/>
      <c r="Z72" s="2437"/>
      <c r="AA72" s="2437"/>
      <c r="AB72" s="2437"/>
      <c r="AC72" s="2437"/>
      <c r="AD72" s="2437"/>
    </row>
    <row r="73" spans="1:30" s="102" customFormat="1" ht="14.4" thickTop="1">
      <c r="A73" s="368"/>
      <c r="B73" s="467">
        <f>B24</f>
        <v>111</v>
      </c>
      <c r="C73" s="478"/>
      <c r="D73" s="478"/>
      <c r="E73" s="478"/>
      <c r="F73" s="478"/>
      <c r="G73" s="483"/>
      <c r="H73" s="483"/>
      <c r="I73" s="483"/>
      <c r="J73" s="483"/>
      <c r="K73" s="483"/>
      <c r="L73" s="483"/>
      <c r="M73" s="509"/>
      <c r="N73" s="2518"/>
      <c r="O73" s="2518"/>
      <c r="P73" s="2518"/>
      <c r="Q73" s="2506"/>
      <c r="R73" s="2437"/>
      <c r="S73" s="2437"/>
      <c r="T73" s="2437"/>
      <c r="U73" s="2437"/>
      <c r="V73" s="2437"/>
      <c r="W73" s="2437"/>
      <c r="X73" s="2437"/>
      <c r="Y73" s="2437"/>
      <c r="Z73" s="2437"/>
      <c r="AA73" s="2437"/>
      <c r="AB73" s="2437"/>
      <c r="AC73" s="2437"/>
      <c r="AD73" s="2437"/>
    </row>
    <row r="74" spans="1:30" s="102" customFormat="1" ht="14.4" thickBot="1">
      <c r="A74" s="368"/>
      <c r="B74" s="472"/>
      <c r="C74" s="489"/>
      <c r="D74" s="465"/>
      <c r="E74" s="465"/>
      <c r="F74" s="465"/>
      <c r="G74" s="465"/>
      <c r="H74" s="465"/>
      <c r="I74" s="465"/>
      <c r="J74" s="465"/>
      <c r="K74" s="465"/>
      <c r="L74" s="465"/>
      <c r="M74" s="466"/>
      <c r="N74" s="2520"/>
      <c r="O74" s="2520"/>
      <c r="P74" s="2518"/>
      <c r="Q74" s="2506"/>
      <c r="R74" s="2437"/>
      <c r="S74" s="2437"/>
      <c r="T74" s="2437"/>
      <c r="U74" s="2437"/>
      <c r="V74" s="2437"/>
      <c r="W74" s="2437"/>
      <c r="X74" s="2437"/>
      <c r="Y74" s="2437"/>
      <c r="Z74" s="2437"/>
      <c r="AA74" s="2437"/>
      <c r="AB74" s="2437"/>
      <c r="AC74" s="2437"/>
      <c r="AD74" s="2437"/>
    </row>
    <row r="75" spans="1:30" s="406" customFormat="1" ht="14.4" thickTop="1">
      <c r="A75" s="482"/>
      <c r="B75" s="467">
        <f>B25</f>
        <v>111</v>
      </c>
      <c r="C75" s="478"/>
      <c r="D75" s="478"/>
      <c r="E75" s="478"/>
      <c r="F75" s="478"/>
      <c r="G75" s="483"/>
      <c r="H75" s="484"/>
      <c r="I75" s="484"/>
      <c r="J75" s="484"/>
      <c r="K75" s="484"/>
      <c r="L75" s="485"/>
      <c r="M75" s="486"/>
      <c r="N75" s="2521"/>
      <c r="O75" s="2521"/>
      <c r="P75" s="2521"/>
      <c r="Q75" s="2513"/>
      <c r="R75" s="2491"/>
      <c r="S75" s="2491"/>
      <c r="T75" s="2491"/>
      <c r="U75" s="2491"/>
      <c r="V75" s="2491"/>
      <c r="W75" s="2491"/>
      <c r="X75" s="2491"/>
      <c r="Y75" s="2491"/>
      <c r="Z75" s="2491"/>
      <c r="AA75" s="2491"/>
      <c r="AB75" s="2491"/>
      <c r="AC75" s="2491"/>
      <c r="AD75" s="2491"/>
    </row>
    <row r="76" spans="1:30" s="406" customFormat="1" ht="14.4" thickBot="1">
      <c r="A76" s="482"/>
      <c r="B76" s="472"/>
      <c r="C76" s="489"/>
      <c r="D76" s="489"/>
      <c r="E76" s="489"/>
      <c r="F76" s="489"/>
      <c r="G76" s="465"/>
      <c r="H76" s="465"/>
      <c r="I76" s="465"/>
      <c r="J76" s="465"/>
      <c r="K76" s="465"/>
      <c r="L76" s="465"/>
      <c r="M76" s="466"/>
      <c r="N76" s="2521"/>
      <c r="O76" s="2521"/>
      <c r="P76" s="2521"/>
      <c r="Q76" s="2513"/>
      <c r="R76" s="2491"/>
      <c r="S76" s="2491"/>
      <c r="T76" s="2491"/>
      <c r="U76" s="2491"/>
      <c r="V76" s="2491"/>
      <c r="W76" s="2491"/>
      <c r="X76" s="2491"/>
      <c r="Y76" s="2491"/>
      <c r="Z76" s="2491"/>
      <c r="AA76" s="2491"/>
      <c r="AB76" s="2491"/>
      <c r="AC76" s="2491"/>
      <c r="AD76" s="2491"/>
    </row>
    <row r="77" spans="1:30" ht="15" thickTop="1">
      <c r="A77" s="377" t="s">
        <v>1694</v>
      </c>
      <c r="B77" s="458" t="s">
        <v>1740</v>
      </c>
      <c r="C77" s="483"/>
      <c r="D77" s="483"/>
      <c r="E77" s="460"/>
      <c r="F77" s="460"/>
      <c r="G77" s="460"/>
      <c r="H77" s="460"/>
      <c r="I77" s="460"/>
      <c r="J77" s="460"/>
      <c r="K77" s="461"/>
      <c r="L77" s="462"/>
      <c r="M77" s="463"/>
      <c r="N77" s="2519"/>
      <c r="O77" s="2519"/>
      <c r="P77" s="2518"/>
      <c r="Q77" s="2506"/>
      <c r="R77" s="2485"/>
      <c r="S77" s="2485"/>
      <c r="T77" s="2485"/>
      <c r="U77" s="2485"/>
      <c r="V77" s="2485"/>
      <c r="W77" s="2485"/>
      <c r="X77" s="2485"/>
      <c r="Y77" s="2485"/>
      <c r="Z77" s="2485"/>
      <c r="AA77" s="2485"/>
      <c r="AB77" s="2485"/>
      <c r="AC77" s="2485"/>
      <c r="AD77" s="2485"/>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8"/>
      <c r="O79" s="2518"/>
      <c r="P79" s="2518"/>
      <c r="Q79" s="2506"/>
      <c r="R79" s="2485"/>
      <c r="S79" s="2485"/>
      <c r="T79" s="2485"/>
      <c r="U79" s="2485"/>
      <c r="V79" s="2485"/>
      <c r="W79" s="2485"/>
      <c r="X79" s="2485"/>
      <c r="Y79" s="2485"/>
      <c r="Z79" s="2485"/>
      <c r="AA79" s="2485"/>
      <c r="AB79" s="2485"/>
      <c r="AC79" s="2485"/>
      <c r="AD79" s="2485"/>
    </row>
    <row r="80" spans="1:30">
      <c r="A80" s="365"/>
      <c r="B80" s="475"/>
      <c r="C80" s="528">
        <v>0.5</v>
      </c>
      <c r="D80" s="528">
        <v>0.6</v>
      </c>
      <c r="E80" s="528">
        <v>0.7</v>
      </c>
      <c r="F80" s="528">
        <v>0.8</v>
      </c>
      <c r="G80" s="528">
        <v>0.9</v>
      </c>
      <c r="H80" s="528">
        <v>1.0001</v>
      </c>
      <c r="I80" s="579"/>
      <c r="J80" s="579"/>
      <c r="K80" s="586"/>
      <c r="L80" s="587"/>
      <c r="M80" s="588"/>
      <c r="N80" s="2518"/>
      <c r="O80" s="2518"/>
      <c r="P80" s="2518"/>
      <c r="Q80" s="2506"/>
      <c r="R80" s="2485"/>
      <c r="S80" s="2485"/>
      <c r="T80" s="2485"/>
      <c r="U80" s="2485"/>
      <c r="V80" s="2485"/>
      <c r="W80" s="2485"/>
      <c r="X80" s="2485"/>
      <c r="Y80" s="2485"/>
      <c r="Z80" s="2485"/>
      <c r="AA80" s="2485"/>
      <c r="AB80" s="2485"/>
      <c r="AC80" s="2485"/>
      <c r="AD80" s="2485"/>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7"/>
      <c r="B82" s="475" t="s">
        <v>1856</v>
      </c>
      <c r="C82" s="483"/>
      <c r="D82" s="483"/>
      <c r="E82" s="511"/>
      <c r="F82" s="511"/>
      <c r="G82" s="511"/>
      <c r="H82" s="511"/>
      <c r="I82" s="511"/>
      <c r="J82" s="511"/>
      <c r="K82" s="512"/>
      <c r="L82" s="513"/>
      <c r="M82" s="514"/>
      <c r="N82" s="2519"/>
      <c r="O82" s="2519"/>
      <c r="P82" s="2518"/>
      <c r="Q82" s="2506"/>
      <c r="R82" s="2485"/>
      <c r="S82" s="2485"/>
      <c r="T82" s="2485"/>
      <c r="U82" s="2485"/>
      <c r="V82" s="2485"/>
      <c r="W82" s="2485"/>
      <c r="X82" s="2485"/>
      <c r="Y82" s="2485"/>
      <c r="Z82" s="2485"/>
      <c r="AA82" s="2485"/>
      <c r="AB82" s="2485"/>
      <c r="AC82" s="2485"/>
      <c r="AD82" s="2485"/>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7"/>
      <c r="B84" s="467" t="s">
        <v>1864</v>
      </c>
      <c r="C84" s="483"/>
      <c r="D84" s="483"/>
      <c r="E84" s="483"/>
      <c r="F84" s="483"/>
      <c r="G84" s="483"/>
      <c r="H84" s="483"/>
      <c r="I84" s="511"/>
      <c r="J84" s="511"/>
      <c r="K84" s="512"/>
      <c r="L84" s="513"/>
      <c r="M84" s="514"/>
      <c r="N84" s="2519"/>
      <c r="O84" s="2519"/>
      <c r="P84" s="2518"/>
      <c r="Q84" s="2506"/>
      <c r="R84" s="2485"/>
      <c r="S84" s="2485"/>
      <c r="T84" s="2485"/>
      <c r="U84" s="2485"/>
      <c r="V84" s="2485"/>
      <c r="W84" s="2485"/>
      <c r="X84" s="2485"/>
      <c r="Y84" s="2485"/>
      <c r="Z84" s="2485"/>
      <c r="AA84" s="2485"/>
      <c r="AB84" s="2485"/>
      <c r="AC84" s="2485"/>
      <c r="AD84" s="2485"/>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7"/>
      <c r="B87" s="475"/>
      <c r="C87" s="6"/>
      <c r="D87" s="6"/>
      <c r="E87" s="6"/>
      <c r="F87" s="6"/>
      <c r="G87" s="6"/>
      <c r="H87" s="6"/>
      <c r="I87" s="6"/>
      <c r="J87" s="522"/>
      <c r="K87" s="522"/>
      <c r="L87" s="523"/>
      <c r="M87" s="524"/>
      <c r="N87" s="2519"/>
      <c r="O87" s="2519"/>
      <c r="P87" s="2518"/>
      <c r="Q87" s="2506"/>
      <c r="R87" s="2485"/>
      <c r="S87" s="2485"/>
      <c r="T87" s="2485"/>
      <c r="U87" s="2485"/>
      <c r="V87" s="2485"/>
      <c r="W87" s="2485"/>
      <c r="X87" s="2485"/>
      <c r="Y87" s="2485"/>
      <c r="Z87" s="2485"/>
      <c r="AA87" s="2485"/>
      <c r="AB87" s="2485"/>
      <c r="AC87" s="2485"/>
      <c r="AD87" s="2485"/>
    </row>
    <row r="88" spans="1:30" ht="14.4" thickBot="1">
      <c r="A88" s="365"/>
      <c r="B88" s="472"/>
      <c r="C88" s="489"/>
      <c r="D88" s="465"/>
      <c r="E88" s="465"/>
      <c r="F88" s="465"/>
      <c r="G88" s="465"/>
      <c r="H88" s="465"/>
      <c r="I88" s="465"/>
      <c r="J88" s="465"/>
      <c r="K88" s="465"/>
      <c r="L88" s="465"/>
      <c r="M88" s="465"/>
      <c r="N88" s="2520"/>
      <c r="O88" s="2520"/>
      <c r="P88" s="2518"/>
      <c r="Q88" s="2506"/>
      <c r="R88" s="2485"/>
      <c r="S88" s="2485"/>
      <c r="T88" s="2485"/>
      <c r="U88" s="2485"/>
      <c r="V88" s="2485"/>
      <c r="W88" s="2485"/>
      <c r="X88" s="2485"/>
      <c r="Y88" s="2485"/>
      <c r="Z88" s="2485"/>
      <c r="AA88" s="2485"/>
      <c r="AB88" s="2485"/>
      <c r="AC88" s="2485"/>
      <c r="AD88" s="2485"/>
    </row>
    <row r="89" spans="1:30" s="406" customFormat="1" ht="15" thickTop="1">
      <c r="A89" s="404"/>
      <c r="B89" s="467" t="s">
        <v>1866</v>
      </c>
      <c r="C89" s="483"/>
      <c r="D89" s="483"/>
      <c r="E89" s="483"/>
      <c r="F89" s="483"/>
      <c r="G89" s="483"/>
      <c r="H89" s="483"/>
      <c r="I89" s="483"/>
      <c r="J89" s="483"/>
      <c r="K89" s="483"/>
      <c r="L89" s="483"/>
      <c r="M89" s="509"/>
      <c r="N89" s="2521"/>
      <c r="O89" s="2521"/>
      <c r="P89" s="2521"/>
      <c r="Q89" s="2513"/>
      <c r="R89" s="2491"/>
      <c r="S89" s="2491"/>
      <c r="T89" s="2491"/>
      <c r="U89" s="2491"/>
      <c r="V89" s="2491"/>
      <c r="W89" s="2491"/>
      <c r="X89" s="2491"/>
      <c r="Y89" s="2491"/>
      <c r="Z89" s="2491"/>
      <c r="AA89" s="2491"/>
      <c r="AB89" s="2491"/>
      <c r="AC89" s="2491"/>
      <c r="AD89" s="2491"/>
    </row>
    <row r="90" spans="1:30" s="406" customFormat="1" ht="14.4" thickBot="1">
      <c r="A90" s="482"/>
      <c r="B90" s="472"/>
      <c r="C90" s="489"/>
      <c r="D90" s="465"/>
      <c r="E90" s="465"/>
      <c r="F90" s="465"/>
      <c r="G90" s="465"/>
      <c r="H90" s="465"/>
      <c r="I90" s="465"/>
      <c r="J90" s="465"/>
      <c r="K90" s="465"/>
      <c r="L90" s="465"/>
      <c r="M90" s="466"/>
      <c r="N90" s="2521"/>
      <c r="O90" s="2521"/>
      <c r="P90" s="2521"/>
      <c r="Q90" s="2513"/>
      <c r="R90" s="2491"/>
      <c r="S90" s="2491"/>
      <c r="T90" s="2491"/>
      <c r="U90" s="2491"/>
      <c r="V90" s="2491"/>
      <c r="W90" s="2491"/>
      <c r="X90" s="2491"/>
      <c r="Y90" s="2491"/>
      <c r="Z90" s="2491"/>
      <c r="AA90" s="2491"/>
      <c r="AB90" s="2491"/>
      <c r="AC90" s="2491"/>
      <c r="AD90" s="2491"/>
    </row>
    <row r="91" spans="1:30" ht="14.4" thickTop="1">
      <c r="A91" s="407"/>
      <c r="B91" s="467">
        <f>B32</f>
        <v>111</v>
      </c>
      <c r="C91" s="478"/>
      <c r="D91" s="478"/>
      <c r="E91" s="478"/>
      <c r="F91" s="478"/>
      <c r="G91" s="483"/>
      <c r="H91" s="484"/>
      <c r="I91" s="484"/>
      <c r="J91" s="484"/>
      <c r="K91" s="484"/>
      <c r="L91" s="485"/>
      <c r="M91" s="486"/>
      <c r="N91" s="2519"/>
      <c r="O91" s="2519"/>
      <c r="P91" s="2518"/>
      <c r="Q91" s="2506"/>
      <c r="R91" s="2485"/>
      <c r="S91" s="2485"/>
      <c r="T91" s="2485"/>
      <c r="U91" s="2485"/>
      <c r="V91" s="2485"/>
      <c r="W91" s="2485"/>
      <c r="X91" s="2485"/>
      <c r="Y91" s="2485"/>
      <c r="Z91" s="2485"/>
      <c r="AA91" s="2485"/>
      <c r="AB91" s="2485"/>
      <c r="AC91" s="2485"/>
      <c r="AD91" s="2485"/>
    </row>
    <row r="92" spans="1:30" ht="14.4" thickBot="1">
      <c r="A92" s="365"/>
      <c r="B92" s="472"/>
      <c r="C92" s="489"/>
      <c r="D92" s="465"/>
      <c r="E92" s="465"/>
      <c r="F92" s="465"/>
      <c r="G92" s="489"/>
      <c r="H92" s="491"/>
      <c r="I92" s="491"/>
      <c r="J92" s="491"/>
      <c r="K92" s="491"/>
      <c r="L92" s="491"/>
      <c r="M92" s="492"/>
      <c r="N92" s="2520"/>
      <c r="O92" s="2520"/>
      <c r="P92" s="2518"/>
      <c r="Q92" s="2506"/>
      <c r="R92" s="2485"/>
      <c r="S92" s="2485"/>
      <c r="T92" s="2485"/>
      <c r="U92" s="2485"/>
      <c r="V92" s="2485"/>
      <c r="W92" s="2485"/>
      <c r="X92" s="2485"/>
      <c r="Y92" s="2485"/>
      <c r="Z92" s="2485"/>
      <c r="AA92" s="2485"/>
      <c r="AB92" s="2485"/>
      <c r="AC92" s="2485"/>
      <c r="AD92" s="2485"/>
    </row>
    <row r="93" spans="1:30" ht="14.4" thickTop="1">
      <c r="A93" s="407"/>
      <c r="B93" s="467">
        <f>B33</f>
        <v>111</v>
      </c>
      <c r="C93" s="478"/>
      <c r="D93" s="478"/>
      <c r="E93" s="478"/>
      <c r="F93" s="478"/>
      <c r="G93" s="483"/>
      <c r="H93" s="484"/>
      <c r="I93" s="484"/>
      <c r="J93" s="484"/>
      <c r="K93" s="484"/>
      <c r="L93" s="485"/>
      <c r="M93" s="486"/>
      <c r="N93" s="2519"/>
      <c r="O93" s="2519"/>
      <c r="P93" s="2518"/>
      <c r="Q93" s="2506"/>
      <c r="R93" s="2485"/>
      <c r="S93" s="2485"/>
      <c r="T93" s="2485"/>
      <c r="U93" s="2485"/>
      <c r="V93" s="2485"/>
      <c r="W93" s="2485"/>
      <c r="X93" s="2485"/>
      <c r="Y93" s="2485"/>
      <c r="Z93" s="2485"/>
      <c r="AA93" s="2485"/>
      <c r="AB93" s="2485"/>
      <c r="AC93" s="2485"/>
      <c r="AD93" s="2485"/>
    </row>
    <row r="94" spans="1:30" ht="14.4" thickBot="1">
      <c r="A94" s="365"/>
      <c r="B94" s="472"/>
      <c r="C94" s="489"/>
      <c r="D94" s="465"/>
      <c r="E94" s="465"/>
      <c r="F94" s="465"/>
      <c r="G94" s="489"/>
      <c r="H94" s="491"/>
      <c r="I94" s="491"/>
      <c r="J94" s="491"/>
      <c r="K94" s="491"/>
      <c r="L94" s="491"/>
      <c r="M94" s="492"/>
      <c r="N94" s="2520"/>
      <c r="O94" s="2520"/>
      <c r="P94" s="2518"/>
      <c r="Q94" s="2506"/>
      <c r="R94" s="2485"/>
      <c r="S94" s="2485"/>
      <c r="T94" s="2485"/>
      <c r="U94" s="2485"/>
      <c r="V94" s="2485"/>
      <c r="W94" s="2485"/>
      <c r="X94" s="2485"/>
      <c r="Y94" s="2485"/>
      <c r="Z94" s="2485"/>
      <c r="AA94" s="2485"/>
      <c r="AB94" s="2485"/>
      <c r="AC94" s="2485"/>
      <c r="AD94" s="2485"/>
    </row>
    <row r="95" spans="1:30" ht="14.4" thickTop="1">
      <c r="A95" s="407"/>
      <c r="B95" s="558">
        <f>B34</f>
        <v>111</v>
      </c>
      <c r="C95" s="478"/>
      <c r="D95" s="478"/>
      <c r="E95" s="478"/>
      <c r="F95" s="478"/>
      <c r="G95" s="483"/>
      <c r="H95" s="484"/>
      <c r="I95" s="484"/>
      <c r="J95" s="484"/>
      <c r="K95" s="484"/>
      <c r="L95" s="485"/>
      <c r="M95" s="486"/>
      <c r="N95" s="2520"/>
      <c r="O95" s="2520"/>
      <c r="P95" s="2520"/>
      <c r="Q95" s="2534"/>
      <c r="R95" s="2485"/>
      <c r="S95" s="2485"/>
      <c r="T95" s="2485"/>
      <c r="U95" s="2485"/>
      <c r="V95" s="2485"/>
      <c r="W95" s="2485"/>
      <c r="X95" s="2485"/>
      <c r="Y95" s="2485"/>
      <c r="Z95" s="2485"/>
      <c r="AA95" s="2485"/>
      <c r="AB95" s="2485"/>
      <c r="AC95" s="2485"/>
      <c r="AD95" s="2485"/>
    </row>
    <row r="96" spans="1:30" ht="14.4" thickBot="1">
      <c r="A96" s="365"/>
      <c r="B96" s="472"/>
      <c r="C96" s="489"/>
      <c r="D96" s="489"/>
      <c r="E96" s="489"/>
      <c r="F96" s="489"/>
      <c r="G96" s="489"/>
      <c r="H96" s="491"/>
      <c r="I96" s="491"/>
      <c r="J96" s="491"/>
      <c r="K96" s="491"/>
      <c r="L96" s="491"/>
      <c r="M96" s="492"/>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41FF3-18FD-477E-B469-4DBB89A63821}">
  <dimension ref="A1:AI56"/>
  <sheetViews>
    <sheetView topLeftCell="A142" workbookViewId="0">
      <pane xSplit="1" topLeftCell="B1" activePane="topRight" state="frozen"/>
      <selection pane="topRight" activeCell="AE86" sqref="A78:AE86"/>
    </sheetView>
  </sheetViews>
  <sheetFormatPr defaultColWidth="9" defaultRowHeight="12.6"/>
  <cols>
    <col min="1" max="1" width="43" style="3172" customWidth="1"/>
    <col min="2" max="2" width="19" style="3171" customWidth="1"/>
    <col min="3" max="3" width="8.77734375" style="3171" bestFit="1" customWidth="1"/>
    <col min="4" max="4" width="19.33203125" style="3171" hidden="1" customWidth="1"/>
    <col min="5" max="5" width="71.33203125" style="3171" hidden="1" customWidth="1"/>
    <col min="6" max="6" width="13" style="3171" hidden="1" customWidth="1"/>
    <col min="7" max="7" width="16.77734375" style="3171" customWidth="1"/>
    <col min="8" max="8" width="17.44140625" style="3171" customWidth="1"/>
    <col min="9" max="11" width="10" style="3171" hidden="1" customWidth="1"/>
    <col min="12" max="12" width="10" style="3171" bestFit="1" customWidth="1"/>
    <col min="13" max="13" width="22.44140625" style="3171" customWidth="1"/>
    <col min="14" max="15" width="9.6640625" style="3171" bestFit="1" customWidth="1"/>
    <col min="16" max="16" width="6.77734375" style="3171" bestFit="1" customWidth="1"/>
    <col min="17" max="17" width="7.33203125" style="3171" customWidth="1"/>
    <col min="18" max="19" width="8" style="3171" bestFit="1" customWidth="1"/>
    <col min="20" max="20" width="6.33203125" style="3190" bestFit="1" customWidth="1"/>
    <col min="21" max="21" width="9.6640625" style="3190" bestFit="1" customWidth="1"/>
    <col min="22" max="22" width="10.44140625" style="3190" bestFit="1" customWidth="1"/>
    <col min="23" max="23" width="9.33203125" style="3190" bestFit="1" customWidth="1"/>
    <col min="24" max="24" width="10.44140625" style="3191" bestFit="1" customWidth="1"/>
    <col min="25" max="25" width="11.33203125" style="3192" bestFit="1" customWidth="1"/>
    <col min="26" max="26" width="8.44140625" style="3171" bestFit="1" customWidth="1"/>
    <col min="27" max="27" width="7.77734375" style="3171" bestFit="1" customWidth="1"/>
    <col min="28" max="28" width="7.77734375" style="3171" customWidth="1"/>
    <col min="29" max="29" width="6.33203125" style="3171" bestFit="1" customWidth="1"/>
    <col min="30" max="30" width="14" style="3171" customWidth="1"/>
    <col min="31" max="31" width="8" style="3171" bestFit="1" customWidth="1"/>
    <col min="32" max="32" width="27" style="3171" customWidth="1"/>
    <col min="33" max="33" width="26.6640625" style="3171" customWidth="1"/>
    <col min="34" max="34" width="33.77734375" style="3171" customWidth="1"/>
    <col min="35" max="35" width="26.6640625" style="3171" bestFit="1" customWidth="1"/>
    <col min="36" max="16384" width="9" style="3171"/>
  </cols>
  <sheetData>
    <row r="1" spans="1:35" s="3172" customFormat="1" ht="50.4">
      <c r="A1" s="3173" t="s">
        <v>3777</v>
      </c>
      <c r="B1" s="3173" t="s">
        <v>3776</v>
      </c>
      <c r="C1" s="3173" t="s">
        <v>3775</v>
      </c>
      <c r="D1" s="3173" t="s">
        <v>3778</v>
      </c>
      <c r="E1" s="3173" t="s">
        <v>3779</v>
      </c>
      <c r="F1" s="3173" t="s">
        <v>3757</v>
      </c>
      <c r="G1" s="3173" t="s">
        <v>3774</v>
      </c>
      <c r="H1" s="3173" t="s">
        <v>3773</v>
      </c>
      <c r="I1" s="3173" t="s">
        <v>3780</v>
      </c>
      <c r="J1" s="3173" t="s">
        <v>3781</v>
      </c>
      <c r="K1" s="3173" t="s">
        <v>3782</v>
      </c>
      <c r="L1" s="3173" t="s">
        <v>3772</v>
      </c>
      <c r="M1" s="3173" t="s">
        <v>3771</v>
      </c>
      <c r="N1" s="3173" t="s">
        <v>3770</v>
      </c>
      <c r="O1" s="3173" t="s">
        <v>3769</v>
      </c>
      <c r="P1" s="3173" t="s">
        <v>3768</v>
      </c>
      <c r="Q1" s="3173" t="s">
        <v>3767</v>
      </c>
      <c r="R1" s="3173" t="s">
        <v>3766</v>
      </c>
      <c r="S1" s="3173" t="s">
        <v>3765</v>
      </c>
      <c r="T1" s="3174" t="s">
        <v>3783</v>
      </c>
      <c r="U1" s="3174" t="s">
        <v>3784</v>
      </c>
      <c r="V1" s="3174" t="s">
        <v>3785</v>
      </c>
      <c r="W1" s="3174" t="s">
        <v>3786</v>
      </c>
      <c r="X1" s="3175" t="s">
        <v>3787</v>
      </c>
      <c r="Y1" s="3176" t="s">
        <v>3788</v>
      </c>
      <c r="Z1" s="3173" t="s">
        <v>3764</v>
      </c>
      <c r="AA1" s="3173" t="s">
        <v>3763</v>
      </c>
      <c r="AB1" s="3173" t="s">
        <v>3762</v>
      </c>
      <c r="AC1" s="3173" t="s">
        <v>3761</v>
      </c>
      <c r="AD1" s="3173" t="s">
        <v>3760</v>
      </c>
      <c r="AE1" s="3173" t="s">
        <v>3759</v>
      </c>
      <c r="AF1" s="3173" t="s">
        <v>3758</v>
      </c>
      <c r="AG1" s="3173" t="s">
        <v>3789</v>
      </c>
      <c r="AH1" s="3173" t="s">
        <v>3790</v>
      </c>
      <c r="AI1" s="3173" t="s">
        <v>3791</v>
      </c>
    </row>
    <row r="2" spans="1:35" s="3172" customFormat="1" ht="37.799999999999997">
      <c r="A2" s="3173" t="s">
        <v>3756</v>
      </c>
      <c r="B2" s="3177" t="s">
        <v>3755</v>
      </c>
      <c r="C2" s="3177" t="s">
        <v>3529</v>
      </c>
      <c r="D2" s="3173"/>
      <c r="E2" s="3173"/>
      <c r="F2" s="3173"/>
      <c r="G2" s="3177" t="s">
        <v>3515</v>
      </c>
      <c r="H2" s="3177" t="s">
        <v>3514</v>
      </c>
      <c r="I2" s="3173"/>
      <c r="J2" s="3173"/>
      <c r="K2" s="3173"/>
      <c r="L2" s="3177" t="s">
        <v>3751</v>
      </c>
      <c r="M2" s="3177" t="s">
        <v>3755</v>
      </c>
      <c r="N2" s="3177">
        <v>31330.48</v>
      </c>
      <c r="O2" s="3177">
        <v>122233</v>
      </c>
      <c r="P2" s="3177">
        <v>163410</v>
      </c>
      <c r="Q2" s="3177" t="s">
        <v>3754</v>
      </c>
      <c r="R2" s="3177">
        <v>7.5</v>
      </c>
      <c r="S2" s="3197" t="s">
        <v>3510</v>
      </c>
      <c r="T2" s="3175">
        <v>6</v>
      </c>
      <c r="U2" s="3175">
        <v>1.1382000000000001</v>
      </c>
      <c r="V2" s="3175">
        <v>1.2158</v>
      </c>
      <c r="W2" s="3174">
        <v>52156.88</v>
      </c>
      <c r="X2" s="3180">
        <f t="shared" ref="X2:X17" si="0">ROUND(AB2*V2/U2,0)</f>
        <v>14280</v>
      </c>
      <c r="Y2" s="3181">
        <f t="shared" ref="Y2:Y17" si="1">ROUND(X2*1.2302/V2,0)</f>
        <v>14449</v>
      </c>
      <c r="Z2" s="3177">
        <v>3477.13</v>
      </c>
      <c r="AA2" s="3177">
        <v>13369</v>
      </c>
      <c r="AB2" s="3177">
        <v>13369</v>
      </c>
      <c r="AC2" s="3177">
        <v>0</v>
      </c>
      <c r="AD2" s="3177" t="s">
        <v>3739</v>
      </c>
      <c r="AE2" s="3177" t="s">
        <v>3732</v>
      </c>
      <c r="AF2" s="3177" t="s">
        <v>3753</v>
      </c>
      <c r="AG2" s="3173"/>
      <c r="AH2" s="3173"/>
      <c r="AI2" s="3173"/>
    </row>
    <row r="3" spans="1:35" s="3172" customFormat="1" ht="25.2">
      <c r="A3" s="3173" t="s">
        <v>3752</v>
      </c>
      <c r="B3" s="3177" t="s">
        <v>3750</v>
      </c>
      <c r="C3" s="3177" t="s">
        <v>3529</v>
      </c>
      <c r="D3" s="3173"/>
      <c r="E3" s="3173"/>
      <c r="F3" s="3173"/>
      <c r="G3" s="3177" t="s">
        <v>3515</v>
      </c>
      <c r="H3" s="3177" t="s">
        <v>3514</v>
      </c>
      <c r="I3" s="3173"/>
      <c r="J3" s="3173"/>
      <c r="K3" s="3173"/>
      <c r="L3" s="3177" t="s">
        <v>3751</v>
      </c>
      <c r="M3" s="3177" t="s">
        <v>3750</v>
      </c>
      <c r="N3" s="3177">
        <v>4239.42</v>
      </c>
      <c r="O3" s="3177">
        <v>16957.66</v>
      </c>
      <c r="P3" s="3177">
        <v>22680</v>
      </c>
      <c r="Q3" s="3177" t="s">
        <v>3749</v>
      </c>
      <c r="R3" s="3177">
        <v>4</v>
      </c>
      <c r="S3" s="3197" t="s">
        <v>3510</v>
      </c>
      <c r="T3" s="3175">
        <v>6</v>
      </c>
      <c r="U3" s="3175">
        <v>0.91859999999999997</v>
      </c>
      <c r="V3" s="3175">
        <v>1.2158</v>
      </c>
      <c r="W3" s="3174">
        <v>53497.88</v>
      </c>
      <c r="X3" s="3180">
        <f t="shared" si="0"/>
        <v>17701</v>
      </c>
      <c r="Y3" s="3181">
        <f t="shared" si="1"/>
        <v>17911</v>
      </c>
      <c r="Z3" s="3177">
        <v>3566.53</v>
      </c>
      <c r="AA3" s="3177">
        <v>13374</v>
      </c>
      <c r="AB3" s="3177">
        <v>13374</v>
      </c>
      <c r="AC3" s="3177">
        <v>0</v>
      </c>
      <c r="AD3" s="3177" t="s">
        <v>3739</v>
      </c>
      <c r="AE3" s="3177" t="s">
        <v>3732</v>
      </c>
      <c r="AF3" s="3177" t="s">
        <v>3748</v>
      </c>
      <c r="AG3" s="3173"/>
      <c r="AH3" s="3173"/>
      <c r="AI3" s="3173"/>
    </row>
    <row r="4" spans="1:35" s="3172" customFormat="1" ht="25.2">
      <c r="A4" s="3173" t="s">
        <v>3747</v>
      </c>
      <c r="B4" s="3177" t="s">
        <v>3745</v>
      </c>
      <c r="C4" s="3177" t="s">
        <v>3698</v>
      </c>
      <c r="D4" s="3173"/>
      <c r="E4" s="3173"/>
      <c r="F4" s="3173"/>
      <c r="G4" s="3177" t="s">
        <v>3570</v>
      </c>
      <c r="H4" s="3177" t="s">
        <v>3569</v>
      </c>
      <c r="I4" s="3173"/>
      <c r="J4" s="3173"/>
      <c r="K4" s="3173"/>
      <c r="L4" s="3177" t="s">
        <v>3746</v>
      </c>
      <c r="M4" s="3177" t="s">
        <v>3745</v>
      </c>
      <c r="N4" s="3177">
        <v>54036.49</v>
      </c>
      <c r="O4" s="3177">
        <v>81054.740000000005</v>
      </c>
      <c r="P4" s="3177">
        <v>56400</v>
      </c>
      <c r="Q4" s="3177" t="s">
        <v>3694</v>
      </c>
      <c r="R4" s="3177">
        <v>1.5</v>
      </c>
      <c r="S4" s="3197" t="s">
        <v>3510</v>
      </c>
      <c r="T4" s="3175">
        <v>7</v>
      </c>
      <c r="U4" s="3175">
        <v>1.1214999999999999</v>
      </c>
      <c r="V4" s="3175">
        <v>1.2158</v>
      </c>
      <c r="W4" s="3174">
        <v>10437.39</v>
      </c>
      <c r="X4" s="3180">
        <f t="shared" si="0"/>
        <v>7543</v>
      </c>
      <c r="Y4" s="3181">
        <f t="shared" si="1"/>
        <v>7632</v>
      </c>
      <c r="Z4" s="3177">
        <v>695.83</v>
      </c>
      <c r="AA4" s="3177">
        <v>6958</v>
      </c>
      <c r="AB4" s="3177">
        <v>6958</v>
      </c>
      <c r="AC4" s="3177">
        <v>0</v>
      </c>
      <c r="AD4" s="3177" t="s">
        <v>3744</v>
      </c>
      <c r="AE4" s="3177" t="s">
        <v>3732</v>
      </c>
      <c r="AF4" s="3177" t="s">
        <v>3743</v>
      </c>
      <c r="AG4" s="3173"/>
      <c r="AH4" s="3173"/>
      <c r="AI4" s="3173"/>
    </row>
    <row r="5" spans="1:35" s="3172" customFormat="1" ht="25.2">
      <c r="A5" s="3173" t="s">
        <v>3742</v>
      </c>
      <c r="B5" s="3177" t="s">
        <v>3740</v>
      </c>
      <c r="C5" s="3177" t="s">
        <v>3529</v>
      </c>
      <c r="D5" s="3173"/>
      <c r="E5" s="3173"/>
      <c r="F5" s="3173"/>
      <c r="G5" s="3177" t="s">
        <v>3515</v>
      </c>
      <c r="H5" s="3177" t="s">
        <v>3514</v>
      </c>
      <c r="I5" s="3173"/>
      <c r="J5" s="3173"/>
      <c r="K5" s="3173"/>
      <c r="L5" s="3177" t="s">
        <v>3741</v>
      </c>
      <c r="M5" s="3177" t="s">
        <v>3740</v>
      </c>
      <c r="N5" s="3177">
        <v>5369.21</v>
      </c>
      <c r="O5" s="3177">
        <v>12886.11</v>
      </c>
      <c r="P5" s="3177">
        <v>17220</v>
      </c>
      <c r="Q5" s="3177" t="s">
        <v>3646</v>
      </c>
      <c r="R5" s="3177">
        <v>2.4</v>
      </c>
      <c r="S5" s="3197" t="s">
        <v>3510</v>
      </c>
      <c r="T5" s="3175">
        <v>6</v>
      </c>
      <c r="U5" s="3175">
        <v>1.0089999999999999</v>
      </c>
      <c r="V5" s="3175">
        <v>1.2158</v>
      </c>
      <c r="W5" s="3174">
        <v>32071.75</v>
      </c>
      <c r="X5" s="3180">
        <f t="shared" si="0"/>
        <v>16102</v>
      </c>
      <c r="Y5" s="3181">
        <f t="shared" si="1"/>
        <v>16293</v>
      </c>
      <c r="Z5" s="3177">
        <v>2138.12</v>
      </c>
      <c r="AA5" s="3177">
        <v>13363</v>
      </c>
      <c r="AB5" s="3177">
        <v>13363</v>
      </c>
      <c r="AC5" s="3177">
        <v>0</v>
      </c>
      <c r="AD5" s="3177" t="s">
        <v>3739</v>
      </c>
      <c r="AE5" s="3177" t="s">
        <v>3732</v>
      </c>
      <c r="AF5" s="3177" t="s">
        <v>3738</v>
      </c>
      <c r="AG5" s="3173"/>
      <c r="AH5" s="3173"/>
      <c r="AI5" s="3173"/>
    </row>
    <row r="6" spans="1:35" s="3172" customFormat="1" ht="25.2">
      <c r="A6" s="3173" t="s">
        <v>3737</v>
      </c>
      <c r="B6" s="3177" t="s">
        <v>3735</v>
      </c>
      <c r="C6" s="3177" t="s">
        <v>3552</v>
      </c>
      <c r="D6" s="3173"/>
      <c r="E6" s="3173"/>
      <c r="F6" s="3173"/>
      <c r="G6" s="3177" t="s">
        <v>3515</v>
      </c>
      <c r="H6" s="3177" t="s">
        <v>3514</v>
      </c>
      <c r="I6" s="3173"/>
      <c r="J6" s="3173"/>
      <c r="K6" s="3173"/>
      <c r="L6" s="3177" t="s">
        <v>3736</v>
      </c>
      <c r="M6" s="3177" t="s">
        <v>3735</v>
      </c>
      <c r="N6" s="3177">
        <v>51399.76</v>
      </c>
      <c r="O6" s="3177">
        <v>52941.75</v>
      </c>
      <c r="P6" s="3177">
        <v>121800</v>
      </c>
      <c r="Q6" s="3177" t="s">
        <v>3734</v>
      </c>
      <c r="R6" s="3177">
        <v>1.03</v>
      </c>
      <c r="S6" s="3197" t="s">
        <v>3510</v>
      </c>
      <c r="T6" s="3175">
        <v>3</v>
      </c>
      <c r="U6" s="3175">
        <f>1.2158+(1.1947-1.2158)*(1.03-1)/(1.1-1)</f>
        <v>1.20947</v>
      </c>
      <c r="V6" s="3175">
        <v>1.2158</v>
      </c>
      <c r="W6" s="3174">
        <v>23696.61</v>
      </c>
      <c r="X6" s="3180">
        <f t="shared" si="0"/>
        <v>23126</v>
      </c>
      <c r="Y6" s="3181">
        <f t="shared" si="1"/>
        <v>23400</v>
      </c>
      <c r="Z6" s="3177">
        <v>1579.77</v>
      </c>
      <c r="AA6" s="3177">
        <v>23006</v>
      </c>
      <c r="AB6" s="3177">
        <v>23006</v>
      </c>
      <c r="AC6" s="3177">
        <v>0</v>
      </c>
      <c r="AD6" s="3177" t="s">
        <v>3733</v>
      </c>
      <c r="AE6" s="3177" t="s">
        <v>3732</v>
      </c>
      <c r="AF6" s="3177" t="s">
        <v>3731</v>
      </c>
      <c r="AG6" s="3173"/>
      <c r="AH6" s="3173"/>
      <c r="AI6" s="3173"/>
    </row>
    <row r="7" spans="1:35" s="3172" customFormat="1">
      <c r="A7" s="3173" t="s">
        <v>3730</v>
      </c>
      <c r="B7" s="3177" t="s">
        <v>3728</v>
      </c>
      <c r="C7" s="3177" t="s">
        <v>3516</v>
      </c>
      <c r="D7" s="3173"/>
      <c r="E7" s="3173"/>
      <c r="F7" s="3173"/>
      <c r="G7" s="3177" t="s">
        <v>3515</v>
      </c>
      <c r="H7" s="3177" t="s">
        <v>3592</v>
      </c>
      <c r="I7" s="3173"/>
      <c r="J7" s="3173"/>
      <c r="K7" s="3173"/>
      <c r="L7" s="3177" t="s">
        <v>3729</v>
      </c>
      <c r="M7" s="3177" t="s">
        <v>3728</v>
      </c>
      <c r="N7" s="3177">
        <v>29689.18</v>
      </c>
      <c r="O7" s="3177">
        <v>29689.18</v>
      </c>
      <c r="P7" s="3177">
        <v>14250.88</v>
      </c>
      <c r="Q7" s="3177" t="s">
        <v>3682</v>
      </c>
      <c r="R7" s="3177">
        <v>1</v>
      </c>
      <c r="S7" s="3177" t="s">
        <v>3510</v>
      </c>
      <c r="T7" s="3174">
        <v>9</v>
      </c>
      <c r="U7" s="3174">
        <v>1.2302</v>
      </c>
      <c r="V7" s="3174">
        <v>1.2302</v>
      </c>
      <c r="W7" s="3174">
        <v>4800.0200000000004</v>
      </c>
      <c r="X7" s="3180">
        <f t="shared" si="0"/>
        <v>4800</v>
      </c>
      <c r="Y7" s="3181">
        <f t="shared" si="1"/>
        <v>4800</v>
      </c>
      <c r="Z7" s="3177">
        <v>320</v>
      </c>
      <c r="AA7" s="3177">
        <v>4800</v>
      </c>
      <c r="AB7" s="3177">
        <v>4800</v>
      </c>
      <c r="AC7" s="3177">
        <v>0</v>
      </c>
      <c r="AD7" s="3177">
        <v>40</v>
      </c>
      <c r="AE7" s="3177" t="s">
        <v>3582</v>
      </c>
      <c r="AF7" s="3177" t="s">
        <v>3727</v>
      </c>
      <c r="AG7" s="3173"/>
      <c r="AH7" s="3173"/>
      <c r="AI7" s="3173"/>
    </row>
    <row r="8" spans="1:35" s="3172" customFormat="1" ht="25.2">
      <c r="A8" s="3173" t="s">
        <v>3726</v>
      </c>
      <c r="B8" s="3177" t="s">
        <v>3723</v>
      </c>
      <c r="C8" s="3177" t="s">
        <v>3529</v>
      </c>
      <c r="D8" s="3173"/>
      <c r="E8" s="3173"/>
      <c r="F8" s="3173"/>
      <c r="G8" s="3177" t="s">
        <v>3515</v>
      </c>
      <c r="H8" s="3177" t="s">
        <v>3725</v>
      </c>
      <c r="I8" s="3173"/>
      <c r="J8" s="3173"/>
      <c r="K8" s="3173"/>
      <c r="L8" s="3177" t="s">
        <v>3724</v>
      </c>
      <c r="M8" s="3177" t="s">
        <v>3723</v>
      </c>
      <c r="N8" s="3177">
        <v>13348.31</v>
      </c>
      <c r="O8" s="3177">
        <v>17352.8</v>
      </c>
      <c r="P8" s="3177">
        <v>6823.12</v>
      </c>
      <c r="Q8" s="3177" t="s">
        <v>3707</v>
      </c>
      <c r="R8" s="3177">
        <v>1.3</v>
      </c>
      <c r="S8" s="3177" t="s">
        <v>3510</v>
      </c>
      <c r="T8" s="3174">
        <v>7</v>
      </c>
      <c r="U8" s="3174">
        <v>1.1559999999999999</v>
      </c>
      <c r="V8" s="3174">
        <v>1.2158</v>
      </c>
      <c r="W8" s="3174">
        <v>5111.59</v>
      </c>
      <c r="X8" s="3180">
        <f t="shared" si="0"/>
        <v>4135</v>
      </c>
      <c r="Y8" s="3181">
        <f t="shared" si="1"/>
        <v>4184</v>
      </c>
      <c r="Z8" s="3177">
        <v>340.77</v>
      </c>
      <c r="AA8" s="3177">
        <v>3932</v>
      </c>
      <c r="AB8" s="3177">
        <v>3932</v>
      </c>
      <c r="AC8" s="3177">
        <v>0</v>
      </c>
      <c r="AD8" s="3177" t="s">
        <v>3722</v>
      </c>
      <c r="AE8" s="3177" t="s">
        <v>3582</v>
      </c>
      <c r="AF8" s="3177" t="s">
        <v>3721</v>
      </c>
      <c r="AG8" s="3173"/>
      <c r="AH8" s="3173"/>
      <c r="AI8" s="3173"/>
    </row>
    <row r="9" spans="1:35" s="3172" customFormat="1" ht="25.2">
      <c r="A9" s="3173" t="s">
        <v>3720</v>
      </c>
      <c r="B9" s="3177" t="s">
        <v>3717</v>
      </c>
      <c r="C9" s="3177" t="s">
        <v>3571</v>
      </c>
      <c r="D9" s="3173"/>
      <c r="E9" s="3173"/>
      <c r="F9" s="3173"/>
      <c r="G9" s="3177" t="s">
        <v>3570</v>
      </c>
      <c r="H9" s="3177" t="s">
        <v>3719</v>
      </c>
      <c r="I9" s="3173"/>
      <c r="J9" s="3173"/>
      <c r="K9" s="3173"/>
      <c r="L9" s="3177" t="s">
        <v>3718</v>
      </c>
      <c r="M9" s="3177" t="s">
        <v>3717</v>
      </c>
      <c r="N9" s="3177">
        <v>8322.9599999999991</v>
      </c>
      <c r="O9" s="3177">
        <v>9987.5499999999993</v>
      </c>
      <c r="P9" s="3177">
        <v>3100</v>
      </c>
      <c r="Q9" s="3177" t="s">
        <v>3716</v>
      </c>
      <c r="R9" s="3177">
        <v>1.2</v>
      </c>
      <c r="S9" s="3177" t="s">
        <v>3510</v>
      </c>
      <c r="T9" s="3174">
        <v>10</v>
      </c>
      <c r="U9" s="3174">
        <v>1.173</v>
      </c>
      <c r="V9" s="3174">
        <v>1.2302</v>
      </c>
      <c r="W9" s="3174">
        <v>3724.63</v>
      </c>
      <c r="X9" s="3180">
        <f t="shared" si="0"/>
        <v>3255</v>
      </c>
      <c r="Y9" s="3181">
        <f t="shared" si="1"/>
        <v>3255</v>
      </c>
      <c r="Z9" s="3177">
        <v>248.31</v>
      </c>
      <c r="AA9" s="3177">
        <v>3104</v>
      </c>
      <c r="AB9" s="3177">
        <v>3104</v>
      </c>
      <c r="AC9" s="3177">
        <v>0</v>
      </c>
      <c r="AD9" s="3177" t="s">
        <v>3574</v>
      </c>
      <c r="AE9" s="3177" t="s">
        <v>3582</v>
      </c>
      <c r="AF9" s="3177" t="s">
        <v>3715</v>
      </c>
      <c r="AG9" s="3173"/>
      <c r="AH9" s="3173"/>
      <c r="AI9" s="3173"/>
    </row>
    <row r="10" spans="1:35" s="3172" customFormat="1" ht="25.2">
      <c r="A10" s="3173" t="s">
        <v>3714</v>
      </c>
      <c r="B10" s="3177" t="s">
        <v>3712</v>
      </c>
      <c r="C10" s="3177" t="s">
        <v>3529</v>
      </c>
      <c r="D10" s="3173"/>
      <c r="E10" s="3173"/>
      <c r="F10" s="3173"/>
      <c r="G10" s="3177" t="s">
        <v>3515</v>
      </c>
      <c r="H10" s="3177" t="s">
        <v>3514</v>
      </c>
      <c r="I10" s="3173"/>
      <c r="J10" s="3173"/>
      <c r="K10" s="3173"/>
      <c r="L10" s="3177" t="s">
        <v>3713</v>
      </c>
      <c r="M10" s="3177" t="s">
        <v>3712</v>
      </c>
      <c r="N10" s="3177">
        <v>41129.769999999997</v>
      </c>
      <c r="O10" s="3177">
        <v>90485.49</v>
      </c>
      <c r="P10" s="3177">
        <v>80900</v>
      </c>
      <c r="Q10" s="3177" t="s">
        <v>3549</v>
      </c>
      <c r="R10" s="3177">
        <v>2.2000000000000002</v>
      </c>
      <c r="S10" s="3177" t="s">
        <v>3510</v>
      </c>
      <c r="T10" s="3174">
        <v>6</v>
      </c>
      <c r="U10" s="3174">
        <v>1.0287999999999999</v>
      </c>
      <c r="V10" s="3174">
        <v>1.2158</v>
      </c>
      <c r="W10" s="3174">
        <v>19669.45</v>
      </c>
      <c r="X10" s="3180">
        <f t="shared" si="0"/>
        <v>10566</v>
      </c>
      <c r="Y10" s="3181">
        <f t="shared" si="1"/>
        <v>10691</v>
      </c>
      <c r="Z10" s="3177">
        <v>1311.3</v>
      </c>
      <c r="AA10" s="3177">
        <v>8941</v>
      </c>
      <c r="AB10" s="3177">
        <v>8941</v>
      </c>
      <c r="AC10" s="3177">
        <v>0</v>
      </c>
      <c r="AD10" s="3177" t="s">
        <v>3658</v>
      </c>
      <c r="AE10" s="3177" t="s">
        <v>3582</v>
      </c>
      <c r="AF10" s="3177" t="s">
        <v>3711</v>
      </c>
      <c r="AG10" s="3173"/>
      <c r="AH10" s="3173"/>
      <c r="AI10" s="3173"/>
    </row>
    <row r="11" spans="1:35" s="3172" customFormat="1" ht="25.2">
      <c r="A11" s="3173" t="s">
        <v>3710</v>
      </c>
      <c r="B11" s="3177" t="s">
        <v>3708</v>
      </c>
      <c r="C11" s="3177" t="s">
        <v>3516</v>
      </c>
      <c r="D11" s="3173"/>
      <c r="E11" s="3173"/>
      <c r="F11" s="3173"/>
      <c r="G11" s="3177" t="s">
        <v>3515</v>
      </c>
      <c r="H11" s="3177" t="s">
        <v>3514</v>
      </c>
      <c r="I11" s="3173"/>
      <c r="J11" s="3173"/>
      <c r="K11" s="3173"/>
      <c r="L11" s="3177" t="s">
        <v>3709</v>
      </c>
      <c r="M11" s="3177" t="s">
        <v>3708</v>
      </c>
      <c r="N11" s="3177">
        <v>32423.18</v>
      </c>
      <c r="O11" s="3177">
        <v>42150</v>
      </c>
      <c r="P11" s="3177">
        <v>23500</v>
      </c>
      <c r="Q11" s="3177" t="s">
        <v>3707</v>
      </c>
      <c r="R11" s="3177">
        <v>1.3</v>
      </c>
      <c r="S11" s="3177" t="s">
        <v>3510</v>
      </c>
      <c r="T11" s="3174">
        <v>9</v>
      </c>
      <c r="U11" s="3174">
        <v>1.1468</v>
      </c>
      <c r="V11" s="3174">
        <v>1.2302</v>
      </c>
      <c r="W11" s="3174">
        <v>7247.9</v>
      </c>
      <c r="X11" s="3180">
        <f t="shared" si="0"/>
        <v>5980</v>
      </c>
      <c r="Y11" s="3181">
        <f t="shared" si="1"/>
        <v>5980</v>
      </c>
      <c r="Z11" s="3177">
        <v>483.19</v>
      </c>
      <c r="AA11" s="3177">
        <v>5575</v>
      </c>
      <c r="AB11" s="3177">
        <v>5575</v>
      </c>
      <c r="AC11" s="3177">
        <v>0</v>
      </c>
      <c r="AD11" s="3177" t="s">
        <v>3658</v>
      </c>
      <c r="AE11" s="3177" t="s">
        <v>3582</v>
      </c>
      <c r="AF11" s="3177" t="s">
        <v>3706</v>
      </c>
      <c r="AG11" s="3173"/>
      <c r="AH11" s="3173"/>
      <c r="AI11" s="3173"/>
    </row>
    <row r="12" spans="1:35" s="3172" customFormat="1" ht="25.2">
      <c r="A12" s="3173" t="s">
        <v>3705</v>
      </c>
      <c r="B12" s="3177" t="s">
        <v>3703</v>
      </c>
      <c r="C12" s="3177" t="s">
        <v>3516</v>
      </c>
      <c r="D12" s="3173"/>
      <c r="E12" s="3173"/>
      <c r="F12" s="3173"/>
      <c r="G12" s="3177" t="s">
        <v>3515</v>
      </c>
      <c r="H12" s="3177" t="s">
        <v>3622</v>
      </c>
      <c r="I12" s="3173"/>
      <c r="J12" s="3173"/>
      <c r="K12" s="3173"/>
      <c r="L12" s="3177" t="s">
        <v>3704</v>
      </c>
      <c r="M12" s="3177" t="s">
        <v>3703</v>
      </c>
      <c r="N12" s="3177">
        <v>48824.83</v>
      </c>
      <c r="O12" s="3177">
        <v>122062.08</v>
      </c>
      <c r="P12" s="3177">
        <v>93000</v>
      </c>
      <c r="Q12" s="3177" t="s">
        <v>3702</v>
      </c>
      <c r="R12" s="3177">
        <v>2.5</v>
      </c>
      <c r="S12" s="3177" t="s">
        <v>3510</v>
      </c>
      <c r="T12" s="3174">
        <v>8</v>
      </c>
      <c r="U12" s="3174">
        <v>0.9274</v>
      </c>
      <c r="V12" s="3174">
        <v>1.2302</v>
      </c>
      <c r="W12" s="3174">
        <v>19047.68</v>
      </c>
      <c r="X12" s="3180">
        <f t="shared" si="0"/>
        <v>10107</v>
      </c>
      <c r="Y12" s="3181">
        <f t="shared" si="1"/>
        <v>10107</v>
      </c>
      <c r="Z12" s="3177">
        <v>1269.8499999999999</v>
      </c>
      <c r="AA12" s="3177">
        <v>7619</v>
      </c>
      <c r="AB12" s="3177">
        <v>7619</v>
      </c>
      <c r="AC12" s="3177">
        <v>0</v>
      </c>
      <c r="AD12" s="3177" t="s">
        <v>3701</v>
      </c>
      <c r="AE12" s="3177" t="s">
        <v>3582</v>
      </c>
      <c r="AF12" s="3177" t="s">
        <v>3700</v>
      </c>
      <c r="AG12" s="3173"/>
      <c r="AH12" s="3173"/>
      <c r="AI12" s="3173"/>
    </row>
    <row r="13" spans="1:35" s="3172" customFormat="1" ht="25.2">
      <c r="A13" s="3173" t="s">
        <v>3699</v>
      </c>
      <c r="B13" s="3177" t="s">
        <v>3695</v>
      </c>
      <c r="C13" s="3177" t="s">
        <v>3698</v>
      </c>
      <c r="D13" s="3173"/>
      <c r="E13" s="3173"/>
      <c r="F13" s="3173"/>
      <c r="G13" s="3177" t="s">
        <v>3598</v>
      </c>
      <c r="H13" s="3177" t="s">
        <v>3697</v>
      </c>
      <c r="I13" s="3173"/>
      <c r="J13" s="3173"/>
      <c r="K13" s="3173"/>
      <c r="L13" s="3177" t="s">
        <v>3696</v>
      </c>
      <c r="M13" s="3177" t="s">
        <v>3695</v>
      </c>
      <c r="N13" s="3177">
        <v>21154.74</v>
      </c>
      <c r="O13" s="3177">
        <v>31732.11</v>
      </c>
      <c r="P13" s="3177">
        <v>29600</v>
      </c>
      <c r="Q13" s="3177" t="s">
        <v>3694</v>
      </c>
      <c r="R13" s="3177">
        <v>1.5</v>
      </c>
      <c r="S13" s="3177" t="s">
        <v>3510</v>
      </c>
      <c r="T13" s="3174">
        <v>6</v>
      </c>
      <c r="U13" s="3174">
        <v>1.1214999999999999</v>
      </c>
      <c r="V13" s="3174">
        <v>1.2158</v>
      </c>
      <c r="W13" s="3174">
        <v>13992.13</v>
      </c>
      <c r="X13" s="3180">
        <f t="shared" si="0"/>
        <v>10112</v>
      </c>
      <c r="Y13" s="3181">
        <f t="shared" si="1"/>
        <v>10232</v>
      </c>
      <c r="Z13" s="3177">
        <v>932.81</v>
      </c>
      <c r="AA13" s="3177">
        <v>9328</v>
      </c>
      <c r="AB13" s="3177">
        <v>9328</v>
      </c>
      <c r="AC13" s="3177">
        <v>0</v>
      </c>
      <c r="AD13" s="3177" t="s">
        <v>3658</v>
      </c>
      <c r="AE13" s="3177" t="s">
        <v>3582</v>
      </c>
      <c r="AF13" s="3177" t="s">
        <v>3693</v>
      </c>
      <c r="AG13" s="3173"/>
      <c r="AH13" s="3173"/>
      <c r="AI13" s="3173"/>
    </row>
    <row r="14" spans="1:35" s="3172" customFormat="1" ht="25.2">
      <c r="A14" s="3173" t="s">
        <v>3692</v>
      </c>
      <c r="B14" s="3177" t="s">
        <v>3688</v>
      </c>
      <c r="C14" s="3177" t="s">
        <v>3529</v>
      </c>
      <c r="D14" s="3173"/>
      <c r="E14" s="3173"/>
      <c r="F14" s="3173"/>
      <c r="G14" s="3177" t="s">
        <v>3691</v>
      </c>
      <c r="H14" s="3177" t="s">
        <v>3690</v>
      </c>
      <c r="I14" s="3173"/>
      <c r="J14" s="3173"/>
      <c r="K14" s="3173"/>
      <c r="L14" s="3177" t="s">
        <v>3689</v>
      </c>
      <c r="M14" s="3177" t="s">
        <v>3688</v>
      </c>
      <c r="N14" s="3177">
        <v>19810.400000000001</v>
      </c>
      <c r="O14" s="3177">
        <v>700</v>
      </c>
      <c r="P14" s="3177">
        <v>6600</v>
      </c>
      <c r="Q14" s="3177" t="s">
        <v>3687</v>
      </c>
      <c r="R14" s="3177">
        <v>0.74</v>
      </c>
      <c r="S14" s="3177" t="s">
        <v>3510</v>
      </c>
      <c r="T14" s="3174">
        <v>5</v>
      </c>
      <c r="U14" s="3174">
        <v>1.2158</v>
      </c>
      <c r="V14" s="3174">
        <v>1.2158</v>
      </c>
      <c r="W14" s="3174">
        <v>3331.58</v>
      </c>
      <c r="X14" s="3180">
        <f t="shared" si="0"/>
        <v>94286</v>
      </c>
      <c r="Y14" s="3181">
        <f t="shared" si="1"/>
        <v>95403</v>
      </c>
      <c r="Z14" s="3177">
        <v>222.11</v>
      </c>
      <c r="AA14" s="3177">
        <v>94286</v>
      </c>
      <c r="AB14" s="3177">
        <v>94286</v>
      </c>
      <c r="AC14" s="3177">
        <v>0</v>
      </c>
      <c r="AD14" s="3177" t="s">
        <v>3658</v>
      </c>
      <c r="AE14" s="3177" t="s">
        <v>3582</v>
      </c>
      <c r="AF14" s="3177" t="s">
        <v>3686</v>
      </c>
      <c r="AG14" s="3173"/>
      <c r="AH14" s="3173"/>
      <c r="AI14" s="3173"/>
    </row>
    <row r="15" spans="1:35" s="3172" customFormat="1">
      <c r="A15" s="3182" t="s">
        <v>3685</v>
      </c>
      <c r="B15" s="3183" t="s">
        <v>3683</v>
      </c>
      <c r="C15" s="3183" t="s">
        <v>3552</v>
      </c>
      <c r="D15" s="3182"/>
      <c r="E15" s="3182"/>
      <c r="F15" s="3182"/>
      <c r="G15" s="3183" t="s">
        <v>3570</v>
      </c>
      <c r="H15" s="3183" t="s">
        <v>3684</v>
      </c>
      <c r="I15" s="3182"/>
      <c r="J15" s="3182"/>
      <c r="K15" s="3182"/>
      <c r="L15" s="3183" t="s">
        <v>3678</v>
      </c>
      <c r="M15" s="3183" t="s">
        <v>3683</v>
      </c>
      <c r="N15" s="3183">
        <v>8286.49</v>
      </c>
      <c r="O15" s="3183">
        <v>8286.49</v>
      </c>
      <c r="P15" s="3183">
        <v>16000</v>
      </c>
      <c r="Q15" s="3183" t="s">
        <v>3682</v>
      </c>
      <c r="R15" s="3183">
        <v>1</v>
      </c>
      <c r="S15" s="3183" t="s">
        <v>3510</v>
      </c>
      <c r="T15" s="3182">
        <v>7</v>
      </c>
      <c r="U15" s="3182">
        <v>1.2302</v>
      </c>
      <c r="V15" s="3182">
        <v>1.2302</v>
      </c>
      <c r="W15" s="3182">
        <v>19308.53</v>
      </c>
      <c r="X15" s="3193">
        <f t="shared" si="0"/>
        <v>19309</v>
      </c>
      <c r="Y15" s="3183">
        <f t="shared" si="1"/>
        <v>19309</v>
      </c>
      <c r="Z15" s="3183">
        <v>1287.24</v>
      </c>
      <c r="AA15" s="3183">
        <v>19309</v>
      </c>
      <c r="AB15" s="3183">
        <v>19309</v>
      </c>
      <c r="AC15" s="3183">
        <v>0</v>
      </c>
      <c r="AD15" s="3183" t="s">
        <v>3658</v>
      </c>
      <c r="AE15" s="3183" t="s">
        <v>3582</v>
      </c>
      <c r="AF15" s="3183" t="s">
        <v>3681</v>
      </c>
      <c r="AG15" s="3182"/>
      <c r="AH15" s="3182"/>
      <c r="AI15" s="3182"/>
    </row>
    <row r="16" spans="1:35" s="3172" customFormat="1" ht="25.2">
      <c r="A16" s="3173" t="s">
        <v>3680</v>
      </c>
      <c r="B16" s="3177" t="s">
        <v>3677</v>
      </c>
      <c r="C16" s="3177" t="s">
        <v>3552</v>
      </c>
      <c r="D16" s="3173"/>
      <c r="E16" s="3173"/>
      <c r="F16" s="3173"/>
      <c r="G16" s="3177" t="s">
        <v>3598</v>
      </c>
      <c r="H16" s="3177" t="s">
        <v>3679</v>
      </c>
      <c r="I16" s="3173"/>
      <c r="J16" s="3173"/>
      <c r="K16" s="3173"/>
      <c r="L16" s="3177" t="s">
        <v>3678</v>
      </c>
      <c r="M16" s="3177" t="s">
        <v>3677</v>
      </c>
      <c r="N16" s="3177">
        <v>78101.460000000006</v>
      </c>
      <c r="O16" s="3177">
        <v>249924.67</v>
      </c>
      <c r="P16" s="3177">
        <v>423000</v>
      </c>
      <c r="Q16" s="3177" t="s">
        <v>3676</v>
      </c>
      <c r="R16" s="3177">
        <v>3.2</v>
      </c>
      <c r="S16" s="3177" t="s">
        <v>3510</v>
      </c>
      <c r="T16" s="3174">
        <v>5</v>
      </c>
      <c r="U16" s="3174">
        <v>0.9516</v>
      </c>
      <c r="V16" s="3174">
        <v>1.2158</v>
      </c>
      <c r="W16" s="3174">
        <v>54160.32</v>
      </c>
      <c r="X16" s="3180">
        <f t="shared" si="0"/>
        <v>21624</v>
      </c>
      <c r="Y16" s="3181">
        <f t="shared" si="1"/>
        <v>21880</v>
      </c>
      <c r="Z16" s="3177">
        <v>3610.69</v>
      </c>
      <c r="AA16" s="3177">
        <v>16925</v>
      </c>
      <c r="AB16" s="3177">
        <v>16925</v>
      </c>
      <c r="AC16" s="3177">
        <v>0</v>
      </c>
      <c r="AD16" s="3177" t="s">
        <v>3658</v>
      </c>
      <c r="AE16" s="3177" t="s">
        <v>3582</v>
      </c>
      <c r="AF16" s="3177" t="s">
        <v>3675</v>
      </c>
      <c r="AG16" s="3173"/>
      <c r="AH16" s="3173"/>
      <c r="AI16" s="3173"/>
    </row>
    <row r="17" spans="1:35" s="3172" customFormat="1" ht="25.2">
      <c r="A17" s="3173" t="s">
        <v>3674</v>
      </c>
      <c r="B17" s="3177" t="s">
        <v>3671</v>
      </c>
      <c r="C17" s="3177" t="s">
        <v>3552</v>
      </c>
      <c r="D17" s="3173"/>
      <c r="E17" s="3173"/>
      <c r="F17" s="3173"/>
      <c r="G17" s="3177" t="s">
        <v>3515</v>
      </c>
      <c r="H17" s="3177" t="s">
        <v>3673</v>
      </c>
      <c r="I17" s="3173"/>
      <c r="J17" s="3173"/>
      <c r="K17" s="3173"/>
      <c r="L17" s="3177" t="s">
        <v>3672</v>
      </c>
      <c r="M17" s="3177" t="s">
        <v>3671</v>
      </c>
      <c r="N17" s="3177">
        <v>37655.61</v>
      </c>
      <c r="O17" s="3177">
        <v>56108.97</v>
      </c>
      <c r="P17" s="3177">
        <v>74000</v>
      </c>
      <c r="Q17" s="3177" t="s">
        <v>3670</v>
      </c>
      <c r="R17" s="3177">
        <v>1.6</v>
      </c>
      <c r="S17" s="3177" t="s">
        <v>3510</v>
      </c>
      <c r="T17" s="3174">
        <v>7</v>
      </c>
      <c r="U17" s="3174">
        <v>1.1056999999999999</v>
      </c>
      <c r="V17" s="3174">
        <v>1.2158</v>
      </c>
      <c r="W17" s="3174">
        <v>19651.78</v>
      </c>
      <c r="X17" s="3180">
        <f t="shared" si="0"/>
        <v>14502</v>
      </c>
      <c r="Y17" s="3181">
        <f t="shared" si="1"/>
        <v>14674</v>
      </c>
      <c r="Z17" s="3177">
        <v>1310.1199999999999</v>
      </c>
      <c r="AA17" s="3177">
        <v>13189</v>
      </c>
      <c r="AB17" s="3177">
        <v>13189</v>
      </c>
      <c r="AC17" s="3177">
        <v>0</v>
      </c>
      <c r="AD17" s="3177" t="s">
        <v>3669</v>
      </c>
      <c r="AE17" s="3177" t="s">
        <v>3582</v>
      </c>
      <c r="AF17" s="3177" t="s">
        <v>3668</v>
      </c>
      <c r="AG17" s="3173"/>
      <c r="AH17" s="3173"/>
      <c r="AI17" s="3173"/>
    </row>
    <row r="18" spans="1:35" ht="25.2">
      <c r="A18" s="3173" t="s">
        <v>3667</v>
      </c>
      <c r="B18" s="3177" t="s">
        <v>3665</v>
      </c>
      <c r="C18" s="3177" t="s">
        <v>3792</v>
      </c>
      <c r="D18" s="3177" t="s">
        <v>3793</v>
      </c>
      <c r="E18" s="3177" t="s">
        <v>3794</v>
      </c>
      <c r="F18" s="3177" t="s">
        <v>3795</v>
      </c>
      <c r="G18" s="3177" t="s">
        <v>3796</v>
      </c>
      <c r="H18" s="3177" t="s">
        <v>3797</v>
      </c>
      <c r="I18" s="3178">
        <v>45296.000497685185</v>
      </c>
      <c r="J18" s="3178">
        <v>45316.000497685185</v>
      </c>
      <c r="K18" s="3178">
        <v>45329.000497685185</v>
      </c>
      <c r="L18" s="3178">
        <v>45329.000497685185</v>
      </c>
      <c r="M18" s="3177" t="s">
        <v>3798</v>
      </c>
      <c r="N18" s="3177">
        <v>17446.77</v>
      </c>
      <c r="O18" s="3177">
        <v>34893.550000000003</v>
      </c>
      <c r="P18" s="3177">
        <v>13000</v>
      </c>
      <c r="Q18" s="3177" t="s">
        <v>3799</v>
      </c>
      <c r="R18" s="3177">
        <v>2.2999999999999998</v>
      </c>
      <c r="S18" s="3177" t="s">
        <v>3800</v>
      </c>
      <c r="T18" s="3179">
        <v>10</v>
      </c>
      <c r="U18" s="3179">
        <v>0.95369999999999999</v>
      </c>
      <c r="V18" s="3179">
        <v>1.2302</v>
      </c>
      <c r="W18" s="3179">
        <v>7451.23</v>
      </c>
      <c r="X18" s="3180">
        <f>ROUND(AB18*V18/U18,0)</f>
        <v>4806</v>
      </c>
      <c r="Y18" s="3181">
        <f>ROUND(X18*1.2302/V18,0)</f>
        <v>4806</v>
      </c>
      <c r="Z18" s="3177">
        <v>496.75</v>
      </c>
      <c r="AA18" s="3177">
        <v>3726</v>
      </c>
      <c r="AB18" s="3177">
        <v>3726</v>
      </c>
      <c r="AC18" s="3177">
        <v>0</v>
      </c>
      <c r="AD18" s="3177" t="s">
        <v>3801</v>
      </c>
      <c r="AE18" s="3177" t="s">
        <v>3802</v>
      </c>
      <c r="AF18" s="3177" t="s">
        <v>3803</v>
      </c>
      <c r="AG18" s="3177" t="s">
        <v>3804</v>
      </c>
      <c r="AH18" s="3177" t="s">
        <v>3805</v>
      </c>
      <c r="AI18" s="3177" t="s">
        <v>3806</v>
      </c>
    </row>
    <row r="19" spans="1:35" ht="25.2">
      <c r="A19" s="3173" t="s">
        <v>3662</v>
      </c>
      <c r="B19" s="3177" t="s">
        <v>3660</v>
      </c>
      <c r="C19" s="3177" t="s">
        <v>3807</v>
      </c>
      <c r="D19" s="3177" t="s">
        <v>3808</v>
      </c>
      <c r="E19" s="3177" t="s">
        <v>3809</v>
      </c>
      <c r="F19" s="3177" t="s">
        <v>3795</v>
      </c>
      <c r="G19" s="3177" t="s">
        <v>3810</v>
      </c>
      <c r="H19" s="3177" t="s">
        <v>3811</v>
      </c>
      <c r="I19" s="3178">
        <v>45285.000497685185</v>
      </c>
      <c r="J19" s="3178">
        <v>45306.000497685185</v>
      </c>
      <c r="K19" s="3178">
        <v>45320.000497685185</v>
      </c>
      <c r="L19" s="3178">
        <v>45320.000497685185</v>
      </c>
      <c r="M19" s="3177" t="s">
        <v>3812</v>
      </c>
      <c r="N19" s="3177">
        <v>9999.98</v>
      </c>
      <c r="O19" s="3177">
        <v>17599.96</v>
      </c>
      <c r="P19" s="3177">
        <v>37700</v>
      </c>
      <c r="Q19" s="3177">
        <v>1.76</v>
      </c>
      <c r="R19" s="3177">
        <v>1.76</v>
      </c>
      <c r="S19" s="3177" t="s">
        <v>3800</v>
      </c>
      <c r="T19" s="3179">
        <v>4</v>
      </c>
      <c r="U19" s="3179">
        <f>1.0908+(1.0768-1.098)*(1.76-1.7)/(1.7-1.6)</f>
        <v>1.0780799999999999</v>
      </c>
      <c r="V19" s="3179">
        <v>1.2158</v>
      </c>
      <c r="W19" s="3179">
        <v>37700.07</v>
      </c>
      <c r="X19" s="3180">
        <f t="shared" ref="X19:X56" si="2">ROUND(AB19*V19/U19,0)</f>
        <v>24157</v>
      </c>
      <c r="Y19" s="3181">
        <f t="shared" ref="Y19:Y56" si="3">ROUND(X19*1.2302/V19,0)</f>
        <v>24443</v>
      </c>
      <c r="Z19" s="3177">
        <v>2513.34</v>
      </c>
      <c r="AA19" s="3177">
        <v>21421</v>
      </c>
      <c r="AB19" s="3177">
        <v>21421</v>
      </c>
      <c r="AC19" s="3177">
        <v>0</v>
      </c>
      <c r="AD19" s="3177" t="s">
        <v>3801</v>
      </c>
      <c r="AE19" s="3177" t="s">
        <v>3802</v>
      </c>
      <c r="AF19" s="3177" t="s">
        <v>3813</v>
      </c>
      <c r="AG19" s="3177" t="s">
        <v>3814</v>
      </c>
      <c r="AH19" s="3177" t="s">
        <v>3815</v>
      </c>
      <c r="AI19" s="3177" t="s">
        <v>3816</v>
      </c>
    </row>
    <row r="20" spans="1:35" ht="25.2">
      <c r="A20" s="3173" t="s">
        <v>3656</v>
      </c>
      <c r="B20" s="3177" t="s">
        <v>3653</v>
      </c>
      <c r="C20" s="3177" t="s">
        <v>3817</v>
      </c>
      <c r="D20" s="3177" t="s">
        <v>3818</v>
      </c>
      <c r="E20" s="3177" t="s">
        <v>3819</v>
      </c>
      <c r="F20" s="3177" t="s">
        <v>3795</v>
      </c>
      <c r="G20" s="3177" t="s">
        <v>3810</v>
      </c>
      <c r="H20" s="3177" t="s">
        <v>3820</v>
      </c>
      <c r="I20" s="3178">
        <v>45279.000497685185</v>
      </c>
      <c r="J20" s="3178">
        <v>45300.000497685185</v>
      </c>
      <c r="K20" s="3178">
        <v>45314.000497685185</v>
      </c>
      <c r="L20" s="3178">
        <v>45314.000497685185</v>
      </c>
      <c r="M20" s="3177" t="s">
        <v>3821</v>
      </c>
      <c r="N20" s="3177">
        <v>70601.06</v>
      </c>
      <c r="O20" s="3177">
        <v>285523</v>
      </c>
      <c r="P20" s="3177">
        <v>642000</v>
      </c>
      <c r="Q20" s="3177">
        <v>4.04</v>
      </c>
      <c r="R20" s="3177">
        <v>4.04</v>
      </c>
      <c r="S20" s="3177" t="s">
        <v>3800</v>
      </c>
      <c r="T20" s="3179">
        <v>5</v>
      </c>
      <c r="U20" s="3179">
        <f>0.9186+(0.9156-0.9186)*(4.04-4)/(4.1-4)</f>
        <v>0.91739999999999999</v>
      </c>
      <c r="V20" s="3179">
        <v>1.2158</v>
      </c>
      <c r="W20" s="3179">
        <v>90933.48</v>
      </c>
      <c r="X20" s="3180">
        <f t="shared" si="2"/>
        <v>29799</v>
      </c>
      <c r="Y20" s="3181">
        <f t="shared" si="3"/>
        <v>30152</v>
      </c>
      <c r="Z20" s="3177">
        <v>6062.23</v>
      </c>
      <c r="AA20" s="3177">
        <v>22485</v>
      </c>
      <c r="AB20" s="3177">
        <v>22485</v>
      </c>
      <c r="AC20" s="3177">
        <v>0</v>
      </c>
      <c r="AD20" s="3177" t="s">
        <v>3822</v>
      </c>
      <c r="AE20" s="3177" t="s">
        <v>3802</v>
      </c>
      <c r="AF20" s="3177" t="s">
        <v>3823</v>
      </c>
      <c r="AG20" s="3177" t="s">
        <v>3824</v>
      </c>
      <c r="AH20" s="3177" t="s">
        <v>3816</v>
      </c>
      <c r="AI20" s="3177" t="s">
        <v>3816</v>
      </c>
    </row>
    <row r="21" spans="1:35" ht="25.2">
      <c r="A21" s="3173" t="s">
        <v>3649</v>
      </c>
      <c r="B21" s="3177" t="s">
        <v>3647</v>
      </c>
      <c r="C21" s="3177" t="s">
        <v>3825</v>
      </c>
      <c r="D21" s="3177" t="s">
        <v>3826</v>
      </c>
      <c r="E21" s="3177" t="s">
        <v>3827</v>
      </c>
      <c r="F21" s="3177" t="s">
        <v>3795</v>
      </c>
      <c r="G21" s="3177" t="s">
        <v>3796</v>
      </c>
      <c r="H21" s="3177" t="s">
        <v>3828</v>
      </c>
      <c r="I21" s="3178">
        <v>45274.000497685185</v>
      </c>
      <c r="J21" s="3178">
        <v>45294.000497685185</v>
      </c>
      <c r="K21" s="3178">
        <v>45308.000497685185</v>
      </c>
      <c r="L21" s="3178">
        <v>45308.000497685185</v>
      </c>
      <c r="M21" s="3177" t="s">
        <v>3829</v>
      </c>
      <c r="N21" s="3177">
        <v>32636.74</v>
      </c>
      <c r="O21" s="3177">
        <v>78328</v>
      </c>
      <c r="P21" s="3177">
        <v>65000</v>
      </c>
      <c r="Q21" s="3177">
        <v>2.4</v>
      </c>
      <c r="R21" s="3177">
        <v>2.4</v>
      </c>
      <c r="S21" s="3177" t="s">
        <v>3800</v>
      </c>
      <c r="T21" s="3179">
        <v>6</v>
      </c>
      <c r="U21" s="3179">
        <v>1.0089999999999999</v>
      </c>
      <c r="V21" s="3179">
        <v>1.2158</v>
      </c>
      <c r="W21" s="3179">
        <v>19916.2</v>
      </c>
      <c r="X21" s="3180">
        <f t="shared" si="2"/>
        <v>9999</v>
      </c>
      <c r="Y21" s="3181">
        <f t="shared" si="3"/>
        <v>10117</v>
      </c>
      <c r="Z21" s="3177">
        <v>1327.75</v>
      </c>
      <c r="AA21" s="3177">
        <v>8298</v>
      </c>
      <c r="AB21" s="3177">
        <v>8298</v>
      </c>
      <c r="AC21" s="3177">
        <v>0</v>
      </c>
      <c r="AD21" s="3177">
        <v>20</v>
      </c>
      <c r="AE21" s="3177" t="s">
        <v>3802</v>
      </c>
      <c r="AF21" s="3177" t="s">
        <v>3830</v>
      </c>
      <c r="AG21" s="3177" t="s">
        <v>3831</v>
      </c>
      <c r="AH21" s="3177" t="s">
        <v>3815</v>
      </c>
      <c r="AI21" s="3177" t="s">
        <v>3832</v>
      </c>
    </row>
    <row r="22" spans="1:35" ht="25.2">
      <c r="A22" s="3173" t="s">
        <v>3644</v>
      </c>
      <c r="B22" s="3177" t="s">
        <v>3642</v>
      </c>
      <c r="C22" s="3177" t="s">
        <v>3833</v>
      </c>
      <c r="D22" s="3177" t="s">
        <v>3834</v>
      </c>
      <c r="E22" s="3177" t="s">
        <v>3835</v>
      </c>
      <c r="F22" s="3177" t="s">
        <v>3795</v>
      </c>
      <c r="G22" s="3177" t="s">
        <v>3810</v>
      </c>
      <c r="H22" s="3177" t="s">
        <v>3811</v>
      </c>
      <c r="I22" s="3178">
        <v>45254.000497685185</v>
      </c>
      <c r="J22" s="3178">
        <v>45274.000497685185</v>
      </c>
      <c r="K22" s="3178">
        <v>45288.000497685185</v>
      </c>
      <c r="L22" s="3178">
        <v>45288.000497685185</v>
      </c>
      <c r="M22" s="3177" t="s">
        <v>3836</v>
      </c>
      <c r="N22" s="3177">
        <v>7467</v>
      </c>
      <c r="O22" s="3177">
        <v>52000</v>
      </c>
      <c r="P22" s="3177">
        <v>118000</v>
      </c>
      <c r="Q22" s="3177" t="s">
        <v>3837</v>
      </c>
      <c r="R22" s="3177">
        <v>7</v>
      </c>
      <c r="S22" s="3177" t="s">
        <v>3800</v>
      </c>
      <c r="T22" s="3179">
        <v>3</v>
      </c>
      <c r="U22" s="3179">
        <v>0.85019999999999996</v>
      </c>
      <c r="V22" s="3179">
        <v>1.2158</v>
      </c>
      <c r="W22" s="3179">
        <v>158028.66</v>
      </c>
      <c r="X22" s="3180">
        <f t="shared" si="2"/>
        <v>32450</v>
      </c>
      <c r="Y22" s="3181">
        <f t="shared" si="3"/>
        <v>32834</v>
      </c>
      <c r="Z22" s="3177">
        <v>10535.24</v>
      </c>
      <c r="AA22" s="3177">
        <v>22692</v>
      </c>
      <c r="AB22" s="3177">
        <v>22692</v>
      </c>
      <c r="AC22" s="3177">
        <v>0</v>
      </c>
      <c r="AD22" s="3177" t="s">
        <v>3838</v>
      </c>
      <c r="AE22" s="3177" t="s">
        <v>3802</v>
      </c>
      <c r="AF22" s="3177" t="s">
        <v>3839</v>
      </c>
      <c r="AG22" s="3177" t="s">
        <v>3840</v>
      </c>
      <c r="AH22" s="3177" t="s">
        <v>3816</v>
      </c>
      <c r="AI22" s="3177" t="s">
        <v>3816</v>
      </c>
    </row>
    <row r="23" spans="1:35" ht="25.2">
      <c r="A23" s="3173" t="s">
        <v>3638</v>
      </c>
      <c r="B23" s="3177" t="s">
        <v>3635</v>
      </c>
      <c r="C23" s="3177" t="s">
        <v>3792</v>
      </c>
      <c r="D23" s="3177" t="s">
        <v>3793</v>
      </c>
      <c r="E23" s="3177" t="s">
        <v>3794</v>
      </c>
      <c r="F23" s="3177" t="s">
        <v>3795</v>
      </c>
      <c r="G23" s="3177" t="s">
        <v>3841</v>
      </c>
      <c r="H23" s="3177" t="s">
        <v>3797</v>
      </c>
      <c r="I23" s="3178">
        <v>45167.000497685185</v>
      </c>
      <c r="J23" s="3178">
        <v>45187.000497685185</v>
      </c>
      <c r="K23" s="3178">
        <v>45207.000497685185</v>
      </c>
      <c r="L23" s="3178">
        <v>45207.000497685185</v>
      </c>
      <c r="M23" s="3177" t="s">
        <v>3842</v>
      </c>
      <c r="N23" s="3177">
        <v>29963.72</v>
      </c>
      <c r="O23" s="3177">
        <v>68916.56</v>
      </c>
      <c r="P23" s="3177">
        <v>25700</v>
      </c>
      <c r="Q23" s="3177">
        <v>2.2999999999999998</v>
      </c>
      <c r="R23" s="3177">
        <v>2.2999999999999998</v>
      </c>
      <c r="S23" s="3177" t="s">
        <v>3800</v>
      </c>
      <c r="T23" s="3179">
        <v>10</v>
      </c>
      <c r="U23" s="3179">
        <v>0.95369999999999999</v>
      </c>
      <c r="V23" s="3179">
        <v>1.2302</v>
      </c>
      <c r="W23" s="3179">
        <v>8577.0300000000007</v>
      </c>
      <c r="X23" s="3180">
        <f t="shared" si="2"/>
        <v>4810</v>
      </c>
      <c r="Y23" s="3181">
        <f t="shared" si="3"/>
        <v>4810</v>
      </c>
      <c r="Z23" s="3177">
        <v>571.79999999999995</v>
      </c>
      <c r="AA23" s="3177">
        <v>3729</v>
      </c>
      <c r="AB23" s="3177">
        <v>3729</v>
      </c>
      <c r="AC23" s="3177">
        <v>0</v>
      </c>
      <c r="AD23" s="3177" t="s">
        <v>3843</v>
      </c>
      <c r="AE23" s="3177" t="s">
        <v>3802</v>
      </c>
      <c r="AF23" s="3177" t="s">
        <v>3844</v>
      </c>
      <c r="AG23" s="3177" t="s">
        <v>3845</v>
      </c>
      <c r="AH23" s="3177" t="s">
        <v>3816</v>
      </c>
      <c r="AI23" s="3177" t="s">
        <v>3816</v>
      </c>
    </row>
    <row r="24" spans="1:35" ht="37.799999999999997">
      <c r="A24" s="3173" t="s">
        <v>3632</v>
      </c>
      <c r="B24" s="3177" t="s">
        <v>3630</v>
      </c>
      <c r="C24" s="3177" t="s">
        <v>3846</v>
      </c>
      <c r="D24" s="3177" t="s">
        <v>3847</v>
      </c>
      <c r="E24" s="3177" t="s">
        <v>3848</v>
      </c>
      <c r="F24" s="3177" t="s">
        <v>3795</v>
      </c>
      <c r="G24" s="3177" t="s">
        <v>3841</v>
      </c>
      <c r="H24" s="3177" t="s">
        <v>3797</v>
      </c>
      <c r="I24" s="3178">
        <v>45155.000497685185</v>
      </c>
      <c r="J24" s="3178">
        <v>45175.000497685185</v>
      </c>
      <c r="K24" s="3178">
        <v>45189.000497685185</v>
      </c>
      <c r="L24" s="3178">
        <v>45189.000497685185</v>
      </c>
      <c r="M24" s="3177" t="s">
        <v>3849</v>
      </c>
      <c r="N24" s="3177">
        <v>9632.01</v>
      </c>
      <c r="O24" s="3177">
        <v>15025.93</v>
      </c>
      <c r="P24" s="3177">
        <v>13700</v>
      </c>
      <c r="Q24" s="3177">
        <v>1.56</v>
      </c>
      <c r="R24" s="3177">
        <v>1.56</v>
      </c>
      <c r="S24" s="3177" t="s">
        <v>3800</v>
      </c>
      <c r="T24" s="3179">
        <v>5</v>
      </c>
      <c r="U24" s="3179">
        <f>1.1215+(1.1057-1.1215)*(1.56-1.5)/(1.6-1.5)</f>
        <v>1.11202</v>
      </c>
      <c r="V24" s="3179">
        <v>1.2158</v>
      </c>
      <c r="W24" s="3179">
        <v>14223.4</v>
      </c>
      <c r="X24" s="3180">
        <f t="shared" si="2"/>
        <v>9969</v>
      </c>
      <c r="Y24" s="3181">
        <f t="shared" si="3"/>
        <v>10087</v>
      </c>
      <c r="Z24" s="3177">
        <v>948.23</v>
      </c>
      <c r="AA24" s="3177">
        <v>9118</v>
      </c>
      <c r="AB24" s="3177">
        <v>9118</v>
      </c>
      <c r="AC24" s="3177">
        <v>0</v>
      </c>
      <c r="AD24" s="3177" t="s">
        <v>3850</v>
      </c>
      <c r="AE24" s="3177" t="s">
        <v>3802</v>
      </c>
      <c r="AF24" s="3177" t="s">
        <v>3851</v>
      </c>
      <c r="AG24" s="3177" t="s">
        <v>3852</v>
      </c>
      <c r="AH24" s="3177" t="s">
        <v>3815</v>
      </c>
      <c r="AI24" s="3177" t="s">
        <v>3832</v>
      </c>
    </row>
    <row r="25" spans="1:35" ht="25.2">
      <c r="A25" s="3173" t="s">
        <v>3627</v>
      </c>
      <c r="B25" s="3177" t="s">
        <v>3625</v>
      </c>
      <c r="C25" s="3177" t="s">
        <v>3817</v>
      </c>
      <c r="D25" s="3177" t="s">
        <v>3826</v>
      </c>
      <c r="E25" s="3177" t="s">
        <v>3853</v>
      </c>
      <c r="F25" s="3177" t="s">
        <v>3795</v>
      </c>
      <c r="G25" s="3177" t="s">
        <v>3841</v>
      </c>
      <c r="H25" s="3177" t="s">
        <v>3797</v>
      </c>
      <c r="I25" s="3178">
        <v>45107.000497685185</v>
      </c>
      <c r="J25" s="3178">
        <v>45127.000497685185</v>
      </c>
      <c r="K25" s="3178">
        <v>45141.000497685185</v>
      </c>
      <c r="L25" s="3178">
        <v>45141.000497685185</v>
      </c>
      <c r="M25" s="3177" t="s">
        <v>3854</v>
      </c>
      <c r="N25" s="3177">
        <v>49900.54</v>
      </c>
      <c r="O25" s="3177">
        <v>109781.19</v>
      </c>
      <c r="P25" s="3177">
        <v>227000</v>
      </c>
      <c r="Q25" s="3177">
        <v>2.2000000000000002</v>
      </c>
      <c r="R25" s="3177">
        <v>2.2000000000000002</v>
      </c>
      <c r="S25" s="3177" t="s">
        <v>3800</v>
      </c>
      <c r="T25" s="3179">
        <v>6</v>
      </c>
      <c r="U25" s="3179">
        <v>1.0287999999999999</v>
      </c>
      <c r="V25" s="3179">
        <v>1.2158</v>
      </c>
      <c r="W25" s="3179">
        <v>45490.49</v>
      </c>
      <c r="X25" s="3180">
        <f t="shared" si="2"/>
        <v>24435</v>
      </c>
      <c r="Y25" s="3181">
        <f t="shared" si="3"/>
        <v>24724</v>
      </c>
      <c r="Z25" s="3177">
        <v>3032.7</v>
      </c>
      <c r="AA25" s="3177">
        <v>20677</v>
      </c>
      <c r="AB25" s="3177">
        <v>20677</v>
      </c>
      <c r="AC25" s="3177">
        <v>0</v>
      </c>
      <c r="AD25" s="3177" t="s">
        <v>3843</v>
      </c>
      <c r="AE25" s="3177" t="s">
        <v>3802</v>
      </c>
      <c r="AF25" s="3177" t="s">
        <v>3855</v>
      </c>
      <c r="AG25" s="3177" t="s">
        <v>3856</v>
      </c>
      <c r="AH25" s="3177" t="s">
        <v>3816</v>
      </c>
      <c r="AI25" s="3177" t="s">
        <v>3816</v>
      </c>
    </row>
    <row r="26" spans="1:35" ht="25.2">
      <c r="A26" s="3173" t="s">
        <v>3623</v>
      </c>
      <c r="B26" s="3177" t="s">
        <v>3621</v>
      </c>
      <c r="C26" s="3177" t="s">
        <v>3846</v>
      </c>
      <c r="D26" s="3177" t="s">
        <v>3847</v>
      </c>
      <c r="E26" s="3177" t="s">
        <v>3857</v>
      </c>
      <c r="F26" s="3177" t="s">
        <v>3795</v>
      </c>
      <c r="G26" s="3177" t="s">
        <v>3841</v>
      </c>
      <c r="H26" s="3177" t="s">
        <v>3858</v>
      </c>
      <c r="I26" s="3178">
        <v>45079.000497685185</v>
      </c>
      <c r="J26" s="3178">
        <v>45102.000497685185</v>
      </c>
      <c r="K26" s="3178">
        <v>45114.000497685185</v>
      </c>
      <c r="L26" s="3178">
        <v>45114.000497685185</v>
      </c>
      <c r="M26" s="3177" t="s">
        <v>3859</v>
      </c>
      <c r="N26" s="3177">
        <v>15459.22</v>
      </c>
      <c r="O26" s="3177">
        <v>52599.12</v>
      </c>
      <c r="P26" s="3177">
        <v>53100</v>
      </c>
      <c r="Q26" s="3177" t="s">
        <v>3860</v>
      </c>
      <c r="R26" s="3177">
        <v>3.82</v>
      </c>
      <c r="S26" s="3177" t="s">
        <v>3800</v>
      </c>
      <c r="T26" s="3179">
        <v>5</v>
      </c>
      <c r="U26" s="3179">
        <f>0.9252+(0.9218-0.9252)*(3.82-3.8)/(3.9-3.8)</f>
        <v>0.92452000000000001</v>
      </c>
      <c r="V26" s="3179">
        <v>1.2158</v>
      </c>
      <c r="W26" s="3179">
        <v>34348.43</v>
      </c>
      <c r="X26" s="3180">
        <f t="shared" si="2"/>
        <v>13276</v>
      </c>
      <c r="Y26" s="3181">
        <f t="shared" si="3"/>
        <v>13433</v>
      </c>
      <c r="Z26" s="3177">
        <v>2289.9</v>
      </c>
      <c r="AA26" s="3177">
        <v>10095</v>
      </c>
      <c r="AB26" s="3177">
        <v>10095</v>
      </c>
      <c r="AC26" s="3177">
        <v>0</v>
      </c>
      <c r="AD26" s="3177" t="s">
        <v>3861</v>
      </c>
      <c r="AE26" s="3177" t="s">
        <v>3802</v>
      </c>
      <c r="AF26" s="3177" t="s">
        <v>3851</v>
      </c>
      <c r="AG26" s="3177" t="s">
        <v>3852</v>
      </c>
      <c r="AH26" s="3177" t="s">
        <v>3815</v>
      </c>
      <c r="AI26" s="3177" t="s">
        <v>3832</v>
      </c>
    </row>
    <row r="27" spans="1:35" ht="25.2">
      <c r="A27" s="3173" t="s">
        <v>3617</v>
      </c>
      <c r="B27" s="3177" t="s">
        <v>3615</v>
      </c>
      <c r="C27" s="3177" t="s">
        <v>3807</v>
      </c>
      <c r="D27" s="3177" t="s">
        <v>3862</v>
      </c>
      <c r="E27" s="3177" t="s">
        <v>3863</v>
      </c>
      <c r="F27" s="3177" t="s">
        <v>3795</v>
      </c>
      <c r="G27" s="3177" t="s">
        <v>3810</v>
      </c>
      <c r="H27" s="3177" t="s">
        <v>3811</v>
      </c>
      <c r="I27" s="3178">
        <v>45079.000497685185</v>
      </c>
      <c r="J27" s="3178">
        <v>45102.000497685185</v>
      </c>
      <c r="K27" s="3178">
        <v>45114.000497685185</v>
      </c>
      <c r="L27" s="3178">
        <v>45114.000497685185</v>
      </c>
      <c r="M27" s="3177" t="s">
        <v>3864</v>
      </c>
      <c r="N27" s="3177">
        <v>10610.35</v>
      </c>
      <c r="O27" s="3177">
        <v>47747</v>
      </c>
      <c r="P27" s="3177">
        <v>134000</v>
      </c>
      <c r="Q27" s="3177">
        <v>4.5</v>
      </c>
      <c r="R27" s="3177">
        <v>4.5</v>
      </c>
      <c r="S27" s="3177" t="s">
        <v>3800</v>
      </c>
      <c r="T27" s="3179">
        <v>2</v>
      </c>
      <c r="U27" s="3179">
        <v>0.9708</v>
      </c>
      <c r="V27" s="3179">
        <v>1.2501</v>
      </c>
      <c r="W27" s="3179">
        <v>126291.78</v>
      </c>
      <c r="X27" s="3180">
        <f t="shared" si="2"/>
        <v>36139</v>
      </c>
      <c r="Y27" s="3181">
        <f t="shared" si="3"/>
        <v>35564</v>
      </c>
      <c r="Z27" s="3177">
        <v>8419.4500000000007</v>
      </c>
      <c r="AA27" s="3177">
        <v>28065</v>
      </c>
      <c r="AB27" s="3177">
        <v>28065</v>
      </c>
      <c r="AC27" s="3177">
        <v>0</v>
      </c>
      <c r="AD27" s="3177" t="s">
        <v>3843</v>
      </c>
      <c r="AE27" s="3177" t="s">
        <v>3802</v>
      </c>
      <c r="AF27" s="3177" t="s">
        <v>3865</v>
      </c>
      <c r="AG27" s="3177" t="s">
        <v>3866</v>
      </c>
      <c r="AH27" s="3177" t="s">
        <v>3867</v>
      </c>
      <c r="AI27" s="3177" t="s">
        <v>3816</v>
      </c>
    </row>
    <row r="28" spans="1:35" ht="25.2">
      <c r="A28" s="3173" t="s">
        <v>3612</v>
      </c>
      <c r="B28" s="3177" t="s">
        <v>3608</v>
      </c>
      <c r="C28" s="3177" t="s">
        <v>3833</v>
      </c>
      <c r="D28" s="3177" t="s">
        <v>3868</v>
      </c>
      <c r="E28" s="3177" t="s">
        <v>3835</v>
      </c>
      <c r="F28" s="3177" t="s">
        <v>3795</v>
      </c>
      <c r="G28" s="3177" t="s">
        <v>3869</v>
      </c>
      <c r="H28" s="3177" t="s">
        <v>3870</v>
      </c>
      <c r="I28" s="3178">
        <v>45056.000497685185</v>
      </c>
      <c r="J28" s="3178">
        <v>45076.000497685185</v>
      </c>
      <c r="K28" s="3178">
        <v>45090.000497685185</v>
      </c>
      <c r="L28" s="3178">
        <v>45090.000497685185</v>
      </c>
      <c r="M28" s="3177" t="s">
        <v>3871</v>
      </c>
      <c r="N28" s="3177">
        <v>67829.210000000006</v>
      </c>
      <c r="O28" s="3177">
        <v>298100</v>
      </c>
      <c r="P28" s="3177">
        <v>680000</v>
      </c>
      <c r="Q28" s="3177">
        <v>4.4000000000000004</v>
      </c>
      <c r="R28" s="3177">
        <v>4.4000000000000004</v>
      </c>
      <c r="S28" s="3177" t="s">
        <v>3800</v>
      </c>
      <c r="T28" s="3179">
        <v>3</v>
      </c>
      <c r="U28" s="3179">
        <v>0.90720000000000001</v>
      </c>
      <c r="V28" s="3179">
        <v>1.2158</v>
      </c>
      <c r="W28" s="3179">
        <v>100251.8</v>
      </c>
      <c r="X28" s="3180">
        <f t="shared" si="2"/>
        <v>30571</v>
      </c>
      <c r="Y28" s="3181">
        <f t="shared" si="3"/>
        <v>30933</v>
      </c>
      <c r="Z28" s="3177">
        <v>6683.45</v>
      </c>
      <c r="AA28" s="3177">
        <v>22811</v>
      </c>
      <c r="AB28" s="3177">
        <v>22811</v>
      </c>
      <c r="AC28" s="3177">
        <v>0</v>
      </c>
      <c r="AD28" s="3177" t="s">
        <v>3843</v>
      </c>
      <c r="AE28" s="3177" t="s">
        <v>3802</v>
      </c>
      <c r="AF28" s="3177" t="s">
        <v>3872</v>
      </c>
      <c r="AG28" s="3177" t="s">
        <v>3873</v>
      </c>
      <c r="AH28" s="3177" t="s">
        <v>3874</v>
      </c>
      <c r="AI28" s="3177" t="s">
        <v>3875</v>
      </c>
    </row>
    <row r="29" spans="1:35" ht="25.2">
      <c r="A29" s="3173" t="s">
        <v>3605</v>
      </c>
      <c r="B29" s="3177" t="s">
        <v>3602</v>
      </c>
      <c r="C29" s="3177" t="s">
        <v>3876</v>
      </c>
      <c r="D29" s="3177" t="s">
        <v>3877</v>
      </c>
      <c r="E29" s="3177" t="s">
        <v>3878</v>
      </c>
      <c r="F29" s="3177" t="s">
        <v>3795</v>
      </c>
      <c r="G29" s="3177" t="s">
        <v>3841</v>
      </c>
      <c r="H29" s="3177" t="s">
        <v>3797</v>
      </c>
      <c r="I29" s="3178">
        <v>45054.000497685185</v>
      </c>
      <c r="J29" s="3178">
        <v>45075.000497685185</v>
      </c>
      <c r="K29" s="3178">
        <v>45089.000497685185</v>
      </c>
      <c r="L29" s="3178">
        <v>45089.000497685185</v>
      </c>
      <c r="M29" s="3177" t="s">
        <v>3879</v>
      </c>
      <c r="N29" s="3177">
        <v>101190.07</v>
      </c>
      <c r="O29" s="3177">
        <v>198291</v>
      </c>
      <c r="P29" s="3177">
        <v>100000</v>
      </c>
      <c r="Q29" s="3177" t="s">
        <v>3880</v>
      </c>
      <c r="R29" s="3177">
        <v>2.5</v>
      </c>
      <c r="S29" s="3177" t="s">
        <v>3800</v>
      </c>
      <c r="T29" s="3179">
        <v>10</v>
      </c>
      <c r="U29" s="3179">
        <v>0.9274</v>
      </c>
      <c r="V29" s="3179">
        <v>1.2302</v>
      </c>
      <c r="W29" s="3179">
        <v>9882.39</v>
      </c>
      <c r="X29" s="3180">
        <f t="shared" si="2"/>
        <v>6690</v>
      </c>
      <c r="Y29" s="3181">
        <f t="shared" si="3"/>
        <v>6690</v>
      </c>
      <c r="Z29" s="3177">
        <v>658.83</v>
      </c>
      <c r="AA29" s="3177">
        <v>5043</v>
      </c>
      <c r="AB29" s="3177">
        <v>5043</v>
      </c>
      <c r="AC29" s="3177">
        <v>0</v>
      </c>
      <c r="AD29" s="3177" t="s">
        <v>3843</v>
      </c>
      <c r="AE29" s="3177" t="s">
        <v>3802</v>
      </c>
      <c r="AF29" s="3177" t="s">
        <v>3881</v>
      </c>
      <c r="AG29" s="3177" t="s">
        <v>3882</v>
      </c>
      <c r="AH29" s="3177" t="s">
        <v>3815</v>
      </c>
      <c r="AI29" s="3177" t="s">
        <v>3816</v>
      </c>
    </row>
    <row r="30" spans="1:35" ht="25.2">
      <c r="A30" s="3173" t="s">
        <v>3599</v>
      </c>
      <c r="B30" s="3177" t="s">
        <v>3596</v>
      </c>
      <c r="C30" s="3177" t="s">
        <v>3846</v>
      </c>
      <c r="D30" s="3177" t="s">
        <v>3883</v>
      </c>
      <c r="E30" s="3177" t="s">
        <v>3884</v>
      </c>
      <c r="F30" s="3177" t="s">
        <v>3795</v>
      </c>
      <c r="G30" s="3177" t="s">
        <v>3841</v>
      </c>
      <c r="H30" s="3177" t="s">
        <v>3811</v>
      </c>
      <c r="I30" s="3178">
        <v>44995.000497685185</v>
      </c>
      <c r="J30" s="3178">
        <v>45015.000497685185</v>
      </c>
      <c r="K30" s="3178">
        <v>45030.000497685185</v>
      </c>
      <c r="L30" s="3178">
        <v>45030.000497685185</v>
      </c>
      <c r="M30" s="3177" t="s">
        <v>3885</v>
      </c>
      <c r="N30" s="3177">
        <v>5500.65</v>
      </c>
      <c r="O30" s="3177">
        <v>15401.81</v>
      </c>
      <c r="P30" s="3177">
        <v>17000</v>
      </c>
      <c r="Q30" s="3177" t="s">
        <v>3886</v>
      </c>
      <c r="R30" s="3177">
        <v>2.8</v>
      </c>
      <c r="S30" s="3177" t="s">
        <v>3800</v>
      </c>
      <c r="T30" s="3179">
        <v>6</v>
      </c>
      <c r="U30" s="3179">
        <v>0.97640000000000005</v>
      </c>
      <c r="V30" s="3179">
        <v>1.2158</v>
      </c>
      <c r="W30" s="3179">
        <v>30905.43</v>
      </c>
      <c r="X30" s="3180">
        <f t="shared" si="2"/>
        <v>13744</v>
      </c>
      <c r="Y30" s="3181">
        <f t="shared" si="3"/>
        <v>13907</v>
      </c>
      <c r="Z30" s="3177">
        <v>2060.36</v>
      </c>
      <c r="AA30" s="3177">
        <v>11038</v>
      </c>
      <c r="AB30" s="3177">
        <v>11038</v>
      </c>
      <c r="AC30" s="3177">
        <v>0</v>
      </c>
      <c r="AD30" s="3177" t="s">
        <v>3887</v>
      </c>
      <c r="AE30" s="3177" t="s">
        <v>3802</v>
      </c>
      <c r="AF30" s="3177" t="s">
        <v>3888</v>
      </c>
      <c r="AG30" s="3177" t="s">
        <v>3889</v>
      </c>
      <c r="AH30" s="3177" t="s">
        <v>3816</v>
      </c>
      <c r="AI30" s="3177" t="s">
        <v>3816</v>
      </c>
    </row>
    <row r="31" spans="1:35">
      <c r="A31" s="3173" t="s">
        <v>3593</v>
      </c>
      <c r="B31" s="3177" t="s">
        <v>3590</v>
      </c>
      <c r="C31" s="3177" t="s">
        <v>3890</v>
      </c>
      <c r="D31" s="3177" t="s">
        <v>3891</v>
      </c>
      <c r="E31" s="3177" t="s">
        <v>3892</v>
      </c>
      <c r="F31" s="3177" t="s">
        <v>3795</v>
      </c>
      <c r="G31" s="3177" t="s">
        <v>3841</v>
      </c>
      <c r="H31" s="3177" t="s">
        <v>3893</v>
      </c>
      <c r="I31" s="3178">
        <v>44978.000497685185</v>
      </c>
      <c r="J31" s="3178">
        <v>44997.000497685185</v>
      </c>
      <c r="K31" s="3178">
        <v>45012.000497685185</v>
      </c>
      <c r="L31" s="3178">
        <v>45012.000497685185</v>
      </c>
      <c r="M31" s="3177" t="s">
        <v>3894</v>
      </c>
      <c r="N31" s="3177">
        <v>82500</v>
      </c>
      <c r="O31" s="3177">
        <v>165000</v>
      </c>
      <c r="P31" s="3177">
        <v>260700</v>
      </c>
      <c r="Q31" s="3177">
        <v>2</v>
      </c>
      <c r="R31" s="3177">
        <v>2</v>
      </c>
      <c r="S31" s="3177" t="s">
        <v>3800</v>
      </c>
      <c r="T31" s="3179">
        <v>6</v>
      </c>
      <c r="U31" s="3179">
        <v>1.0512999999999999</v>
      </c>
      <c r="V31" s="3179">
        <v>1.2158</v>
      </c>
      <c r="W31" s="3179">
        <v>31600</v>
      </c>
      <c r="X31" s="3180">
        <f t="shared" si="2"/>
        <v>18272</v>
      </c>
      <c r="Y31" s="3181">
        <f t="shared" si="3"/>
        <v>18488</v>
      </c>
      <c r="Z31" s="3177">
        <v>2106.67</v>
      </c>
      <c r="AA31" s="3177">
        <v>15800</v>
      </c>
      <c r="AB31" s="3177">
        <v>15800</v>
      </c>
      <c r="AC31" s="3177">
        <v>0</v>
      </c>
      <c r="AD31" s="3177">
        <v>40</v>
      </c>
      <c r="AE31" s="3177" t="s">
        <v>3802</v>
      </c>
      <c r="AF31" s="3177" t="s">
        <v>3895</v>
      </c>
      <c r="AG31" s="3177" t="s">
        <v>3896</v>
      </c>
      <c r="AH31" s="3177" t="s">
        <v>3897</v>
      </c>
      <c r="AI31" s="3177" t="s">
        <v>3816</v>
      </c>
    </row>
    <row r="32" spans="1:35" ht="37.799999999999997">
      <c r="A32" s="3173" t="s">
        <v>3587</v>
      </c>
      <c r="B32" s="3177" t="s">
        <v>3584</v>
      </c>
      <c r="C32" s="3177" t="s">
        <v>3807</v>
      </c>
      <c r="D32" s="3177" t="s">
        <v>3898</v>
      </c>
      <c r="E32" s="3177" t="s">
        <v>3899</v>
      </c>
      <c r="F32" s="3177" t="s">
        <v>3795</v>
      </c>
      <c r="G32" s="3177" t="s">
        <v>3841</v>
      </c>
      <c r="H32" s="3177" t="s">
        <v>3811</v>
      </c>
      <c r="I32" s="3178">
        <v>44946.000497685185</v>
      </c>
      <c r="J32" s="3178">
        <v>44966.000497685185</v>
      </c>
      <c r="K32" s="3178">
        <v>44980.000497685185</v>
      </c>
      <c r="L32" s="3178">
        <v>44980.000497685185</v>
      </c>
      <c r="M32" s="3177" t="s">
        <v>3900</v>
      </c>
      <c r="N32" s="3177">
        <v>62796.800000000003</v>
      </c>
      <c r="O32" s="3177">
        <v>275500</v>
      </c>
      <c r="P32" s="3177">
        <v>635800</v>
      </c>
      <c r="Q32" s="3177">
        <v>4.3899999999999997</v>
      </c>
      <c r="R32" s="3177">
        <v>4.3899999999999997</v>
      </c>
      <c r="S32" s="3177" t="s">
        <v>3800</v>
      </c>
      <c r="T32" s="3179">
        <v>4</v>
      </c>
      <c r="U32" s="3179">
        <f>0.9099+(0.9072-0.9099)*(4.39-4.3)/(4.4-4.3)</f>
        <v>0.90747</v>
      </c>
      <c r="V32" s="3179">
        <v>1.2158</v>
      </c>
      <c r="W32" s="3179">
        <v>101247.19</v>
      </c>
      <c r="X32" s="3180">
        <f t="shared" si="2"/>
        <v>30919</v>
      </c>
      <c r="Y32" s="3181">
        <f t="shared" si="3"/>
        <v>31285</v>
      </c>
      <c r="Z32" s="3177">
        <v>6749.81</v>
      </c>
      <c r="AA32" s="3177">
        <v>23078</v>
      </c>
      <c r="AB32" s="3177">
        <v>23078</v>
      </c>
      <c r="AC32" s="3177">
        <v>0</v>
      </c>
      <c r="AD32" s="3177" t="s">
        <v>3843</v>
      </c>
      <c r="AE32" s="3177" t="s">
        <v>3802</v>
      </c>
      <c r="AF32" s="3177" t="s">
        <v>3901</v>
      </c>
      <c r="AG32" s="3177" t="s">
        <v>3902</v>
      </c>
      <c r="AH32" s="3177" t="s">
        <v>3903</v>
      </c>
      <c r="AI32" s="3177" t="s">
        <v>3816</v>
      </c>
    </row>
    <row r="33" spans="1:35" ht="25.2">
      <c r="A33" s="3173" t="s">
        <v>3580</v>
      </c>
      <c r="B33" s="3177" t="s">
        <v>3576</v>
      </c>
      <c r="C33" s="3177" t="s">
        <v>3890</v>
      </c>
      <c r="D33" s="3177" t="s">
        <v>3904</v>
      </c>
      <c r="E33" s="3177" t="s">
        <v>3905</v>
      </c>
      <c r="F33" s="3177" t="s">
        <v>3795</v>
      </c>
      <c r="G33" s="3177" t="s">
        <v>3906</v>
      </c>
      <c r="H33" s="3177" t="s">
        <v>3907</v>
      </c>
      <c r="I33" s="3178">
        <v>44911.000497685185</v>
      </c>
      <c r="J33" s="3178">
        <v>44931.000497685185</v>
      </c>
      <c r="K33" s="3178">
        <v>44945.000497685185</v>
      </c>
      <c r="L33" s="3178">
        <v>44945.000497685185</v>
      </c>
      <c r="M33" s="3177" t="s">
        <v>3908</v>
      </c>
      <c r="N33" s="3177">
        <v>4800</v>
      </c>
      <c r="O33" s="3177">
        <v>1920</v>
      </c>
      <c r="P33" s="3177">
        <v>5800</v>
      </c>
      <c r="Q33" s="3177" t="s">
        <v>3909</v>
      </c>
      <c r="R33" s="3177">
        <v>0.4</v>
      </c>
      <c r="S33" s="3177" t="s">
        <v>3800</v>
      </c>
      <c r="T33" s="3179">
        <v>9</v>
      </c>
      <c r="U33" s="3179">
        <v>1.2302</v>
      </c>
      <c r="V33" s="3179">
        <v>1.2302</v>
      </c>
      <c r="W33" s="3179">
        <v>12083.33</v>
      </c>
      <c r="X33" s="3180">
        <f t="shared" si="2"/>
        <v>30208</v>
      </c>
      <c r="Y33" s="3181">
        <f t="shared" si="3"/>
        <v>30208</v>
      </c>
      <c r="Z33" s="3177">
        <v>805.56</v>
      </c>
      <c r="AA33" s="3177">
        <v>30208</v>
      </c>
      <c r="AB33" s="3177">
        <v>30208</v>
      </c>
      <c r="AC33" s="3177">
        <v>0</v>
      </c>
      <c r="AD33" s="3177" t="s">
        <v>3910</v>
      </c>
      <c r="AE33" s="3177" t="s">
        <v>3802</v>
      </c>
      <c r="AF33" s="3177" t="s">
        <v>3911</v>
      </c>
      <c r="AG33" s="3177" t="s">
        <v>3816</v>
      </c>
      <c r="AH33" s="3177" t="s">
        <v>3816</v>
      </c>
      <c r="AI33" s="3177" t="s">
        <v>3816</v>
      </c>
    </row>
    <row r="34" spans="1:35" ht="25.2">
      <c r="A34" s="3173" t="s">
        <v>3572</v>
      </c>
      <c r="B34" s="3177" t="s">
        <v>3567</v>
      </c>
      <c r="C34" s="3177" t="s">
        <v>3912</v>
      </c>
      <c r="D34" s="3177" t="s">
        <v>3913</v>
      </c>
      <c r="E34" s="3177" t="s">
        <v>3914</v>
      </c>
      <c r="F34" s="3177" t="s">
        <v>3795</v>
      </c>
      <c r="G34" s="3177" t="s">
        <v>3915</v>
      </c>
      <c r="H34" s="3177" t="s">
        <v>3916</v>
      </c>
      <c r="I34" s="3178">
        <v>44901.000497685185</v>
      </c>
      <c r="J34" s="3178">
        <v>44921.000497685185</v>
      </c>
      <c r="K34" s="3178">
        <v>44936.000497685185</v>
      </c>
      <c r="L34" s="3178">
        <v>44936.000497685185</v>
      </c>
      <c r="M34" s="3177" t="s">
        <v>3917</v>
      </c>
      <c r="N34" s="3177">
        <v>46654.62</v>
      </c>
      <c r="O34" s="3177">
        <v>88643.78</v>
      </c>
      <c r="P34" s="3177">
        <v>28000</v>
      </c>
      <c r="Q34" s="3177">
        <v>1.9</v>
      </c>
      <c r="R34" s="3177">
        <v>1.9</v>
      </c>
      <c r="S34" s="3177" t="s">
        <v>3800</v>
      </c>
      <c r="T34" s="3179">
        <v>9</v>
      </c>
      <c r="U34" s="3179">
        <v>1.0174000000000001</v>
      </c>
      <c r="V34" s="3179">
        <v>1.2302</v>
      </c>
      <c r="W34" s="3179">
        <v>6001.54</v>
      </c>
      <c r="X34" s="3180">
        <f t="shared" si="2"/>
        <v>3820</v>
      </c>
      <c r="Y34" s="3181">
        <f t="shared" si="3"/>
        <v>3820</v>
      </c>
      <c r="Z34" s="3177">
        <v>400.1</v>
      </c>
      <c r="AA34" s="3177">
        <v>3159</v>
      </c>
      <c r="AB34" s="3177">
        <v>3159</v>
      </c>
      <c r="AC34" s="3177">
        <v>0</v>
      </c>
      <c r="AD34" s="3177" t="s">
        <v>3843</v>
      </c>
      <c r="AE34" s="3177" t="s">
        <v>3802</v>
      </c>
      <c r="AF34" s="3177" t="s">
        <v>3918</v>
      </c>
      <c r="AG34" s="3177" t="s">
        <v>3919</v>
      </c>
      <c r="AH34" s="3177" t="s">
        <v>3816</v>
      </c>
      <c r="AI34" s="3177" t="s">
        <v>3816</v>
      </c>
    </row>
    <row r="35" spans="1:35" ht="25.2">
      <c r="A35" s="3173" t="s">
        <v>3564</v>
      </c>
      <c r="B35" s="3177" t="s">
        <v>3560</v>
      </c>
      <c r="C35" s="3177" t="s">
        <v>3825</v>
      </c>
      <c r="D35" s="3177" t="s">
        <v>3920</v>
      </c>
      <c r="E35" s="3177" t="s">
        <v>3827</v>
      </c>
      <c r="F35" s="3177" t="s">
        <v>3795</v>
      </c>
      <c r="G35" s="3177" t="s">
        <v>3841</v>
      </c>
      <c r="H35" s="3177" t="s">
        <v>3828</v>
      </c>
      <c r="I35" s="3178">
        <v>44896.000497685185</v>
      </c>
      <c r="J35" s="3178">
        <v>44916.000497685185</v>
      </c>
      <c r="K35" s="3178">
        <v>44931.000497685185</v>
      </c>
      <c r="L35" s="3178">
        <v>44931.000497685185</v>
      </c>
      <c r="M35" s="3177" t="s">
        <v>3921</v>
      </c>
      <c r="N35" s="3177">
        <v>64012.4</v>
      </c>
      <c r="O35" s="3177">
        <v>192037.19</v>
      </c>
      <c r="P35" s="3177">
        <v>177000</v>
      </c>
      <c r="Q35" s="3177">
        <v>3</v>
      </c>
      <c r="R35" s="3177">
        <v>3</v>
      </c>
      <c r="S35" s="3177" t="s">
        <v>3800</v>
      </c>
      <c r="T35" s="3179">
        <v>6</v>
      </c>
      <c r="U35" s="3179">
        <v>0.96309999999999996</v>
      </c>
      <c r="V35" s="3179">
        <v>1.2158</v>
      </c>
      <c r="W35" s="3179">
        <v>27650.89</v>
      </c>
      <c r="X35" s="3180">
        <f t="shared" si="2"/>
        <v>11635</v>
      </c>
      <c r="Y35" s="3181">
        <f t="shared" si="3"/>
        <v>11773</v>
      </c>
      <c r="Z35" s="3177">
        <v>1843.39</v>
      </c>
      <c r="AA35" s="3177">
        <v>9217</v>
      </c>
      <c r="AB35" s="3177">
        <v>9217</v>
      </c>
      <c r="AC35" s="3177">
        <v>0</v>
      </c>
      <c r="AD35" s="3177" t="s">
        <v>3922</v>
      </c>
      <c r="AE35" s="3177" t="s">
        <v>3802</v>
      </c>
      <c r="AF35" s="3177" t="s">
        <v>3923</v>
      </c>
      <c r="AG35" s="3177" t="s">
        <v>3924</v>
      </c>
      <c r="AH35" s="3177" t="s">
        <v>3925</v>
      </c>
      <c r="AI35" s="3177" t="s">
        <v>3926</v>
      </c>
    </row>
    <row r="36" spans="1:35" ht="25.2">
      <c r="A36" s="3173" t="s">
        <v>3556</v>
      </c>
      <c r="B36" s="3177" t="s">
        <v>3555</v>
      </c>
      <c r="C36" s="3177" t="s">
        <v>3817</v>
      </c>
      <c r="D36" s="3177" t="s">
        <v>3826</v>
      </c>
      <c r="E36" s="3177" t="s">
        <v>3927</v>
      </c>
      <c r="F36" s="3177" t="s">
        <v>3795</v>
      </c>
      <c r="G36" s="3177" t="s">
        <v>3841</v>
      </c>
      <c r="H36" s="3177" t="s">
        <v>3797</v>
      </c>
      <c r="I36" s="3178">
        <v>44830.000497685185</v>
      </c>
      <c r="J36" s="3178">
        <v>44851.000497685185</v>
      </c>
      <c r="K36" s="3178">
        <v>44865.000497685185</v>
      </c>
      <c r="L36" s="3178">
        <v>44865.000497685185</v>
      </c>
      <c r="M36" s="3177" t="s">
        <v>3928</v>
      </c>
      <c r="N36" s="3177">
        <v>32733.22</v>
      </c>
      <c r="O36" s="3177">
        <v>72013.08</v>
      </c>
      <c r="P36" s="3177">
        <v>149000</v>
      </c>
      <c r="Q36" s="3177">
        <v>2.2000000000000002</v>
      </c>
      <c r="R36" s="3177">
        <v>2.2000000000000002</v>
      </c>
      <c r="S36" s="3177" t="s">
        <v>3800</v>
      </c>
      <c r="T36" s="3179">
        <v>6</v>
      </c>
      <c r="U36" s="3179">
        <v>1.0287999999999999</v>
      </c>
      <c r="V36" s="3179">
        <v>1.2158</v>
      </c>
      <c r="W36" s="3179">
        <v>45519.5</v>
      </c>
      <c r="X36" s="3180">
        <f t="shared" si="2"/>
        <v>24452</v>
      </c>
      <c r="Y36" s="3181">
        <f t="shared" si="3"/>
        <v>24742</v>
      </c>
      <c r="Z36" s="3177">
        <v>3034.63</v>
      </c>
      <c r="AA36" s="3177">
        <v>20691</v>
      </c>
      <c r="AB36" s="3177">
        <v>20691</v>
      </c>
      <c r="AC36" s="3177">
        <v>0</v>
      </c>
      <c r="AD36" s="3177" t="s">
        <v>3843</v>
      </c>
      <c r="AE36" s="3177" t="s">
        <v>3802</v>
      </c>
      <c r="AF36" s="3177" t="s">
        <v>3929</v>
      </c>
      <c r="AG36" s="3177" t="s">
        <v>3930</v>
      </c>
      <c r="AH36" s="3177" t="s">
        <v>3815</v>
      </c>
      <c r="AI36" s="3177" t="s">
        <v>3832</v>
      </c>
    </row>
    <row r="37" spans="1:35" ht="25.2">
      <c r="A37" s="3173" t="s">
        <v>3553</v>
      </c>
      <c r="B37" s="3177" t="s">
        <v>3550</v>
      </c>
      <c r="C37" s="3177" t="s">
        <v>3817</v>
      </c>
      <c r="D37" s="3177" t="s">
        <v>3826</v>
      </c>
      <c r="E37" s="3177" t="s">
        <v>3927</v>
      </c>
      <c r="F37" s="3177" t="s">
        <v>3795</v>
      </c>
      <c r="G37" s="3177" t="s">
        <v>3841</v>
      </c>
      <c r="H37" s="3177" t="s">
        <v>3797</v>
      </c>
      <c r="I37" s="3178">
        <v>44830.000497685185</v>
      </c>
      <c r="J37" s="3178">
        <v>44851.000497685185</v>
      </c>
      <c r="K37" s="3178">
        <v>44865.000497685185</v>
      </c>
      <c r="L37" s="3178">
        <v>44865.000497685185</v>
      </c>
      <c r="M37" s="3177" t="s">
        <v>3931</v>
      </c>
      <c r="N37" s="3177">
        <v>29506.55</v>
      </c>
      <c r="O37" s="3177">
        <v>64914.41</v>
      </c>
      <c r="P37" s="3177">
        <v>135000</v>
      </c>
      <c r="Q37" s="3177">
        <v>2.2000000000000002</v>
      </c>
      <c r="R37" s="3177">
        <v>2.2000000000000002</v>
      </c>
      <c r="S37" s="3177" t="s">
        <v>3800</v>
      </c>
      <c r="T37" s="3179">
        <v>6</v>
      </c>
      <c r="U37" s="3179">
        <v>1.0287999999999999</v>
      </c>
      <c r="V37" s="3179">
        <v>1.2158</v>
      </c>
      <c r="W37" s="3179">
        <v>45752.55</v>
      </c>
      <c r="X37" s="3180">
        <f t="shared" si="2"/>
        <v>24577</v>
      </c>
      <c r="Y37" s="3181">
        <f t="shared" si="3"/>
        <v>24868</v>
      </c>
      <c r="Z37" s="3177">
        <v>3050.17</v>
      </c>
      <c r="AA37" s="3177">
        <v>20797</v>
      </c>
      <c r="AB37" s="3177">
        <v>20797</v>
      </c>
      <c r="AC37" s="3177">
        <v>0</v>
      </c>
      <c r="AD37" s="3177" t="s">
        <v>3843</v>
      </c>
      <c r="AE37" s="3177" t="s">
        <v>3802</v>
      </c>
      <c r="AF37" s="3177" t="s">
        <v>3932</v>
      </c>
      <c r="AG37" s="3177" t="s">
        <v>3930</v>
      </c>
      <c r="AH37" s="3177" t="s">
        <v>3815</v>
      </c>
      <c r="AI37" s="3177" t="s">
        <v>3832</v>
      </c>
    </row>
    <row r="38" spans="1:35" ht="25.2">
      <c r="A38" s="3173" t="s">
        <v>3547</v>
      </c>
      <c r="B38" s="3177" t="s">
        <v>3542</v>
      </c>
      <c r="C38" s="3177" t="s">
        <v>3833</v>
      </c>
      <c r="D38" s="3177" t="s">
        <v>3868</v>
      </c>
      <c r="E38" s="3177" t="s">
        <v>3835</v>
      </c>
      <c r="F38" s="3177" t="s">
        <v>3795</v>
      </c>
      <c r="G38" s="3177" t="s">
        <v>3841</v>
      </c>
      <c r="H38" s="3177" t="s">
        <v>3811</v>
      </c>
      <c r="I38" s="3178">
        <v>44764.000497685185</v>
      </c>
      <c r="J38" s="3178">
        <v>44784.000497685185</v>
      </c>
      <c r="K38" s="3178">
        <v>44798.000497685185</v>
      </c>
      <c r="L38" s="3178">
        <v>44798.000497685185</v>
      </c>
      <c r="M38" s="3177" t="s">
        <v>3933</v>
      </c>
      <c r="N38" s="3177">
        <v>12629.88</v>
      </c>
      <c r="O38" s="3177">
        <v>80000</v>
      </c>
      <c r="P38" s="3177">
        <v>166000</v>
      </c>
      <c r="Q38" s="3177" t="s">
        <v>3934</v>
      </c>
      <c r="R38" s="3177">
        <v>6.33</v>
      </c>
      <c r="S38" s="3177" t="s">
        <v>3800</v>
      </c>
      <c r="T38" s="3179">
        <v>3</v>
      </c>
      <c r="U38" s="3179">
        <f>0.8641+(0.8621-0.8641)*(6.33-6.3)/(6.4-6.3)</f>
        <v>0.86349999999999993</v>
      </c>
      <c r="V38" s="3179">
        <v>1.2158</v>
      </c>
      <c r="W38" s="3179">
        <v>131434.34</v>
      </c>
      <c r="X38" s="3180">
        <f t="shared" si="2"/>
        <v>29216</v>
      </c>
      <c r="Y38" s="3181">
        <f t="shared" si="3"/>
        <v>29562</v>
      </c>
      <c r="Z38" s="3177">
        <v>8762.2900000000009</v>
      </c>
      <c r="AA38" s="3177">
        <v>20750</v>
      </c>
      <c r="AB38" s="3177">
        <v>20750</v>
      </c>
      <c r="AC38" s="3177">
        <v>0</v>
      </c>
      <c r="AD38" s="3177" t="s">
        <v>3843</v>
      </c>
      <c r="AE38" s="3177" t="s">
        <v>3802</v>
      </c>
      <c r="AF38" s="3177" t="s">
        <v>3935</v>
      </c>
      <c r="AG38" s="3177" t="s">
        <v>3936</v>
      </c>
      <c r="AH38" s="3177" t="s">
        <v>3805</v>
      </c>
      <c r="AI38" s="3177" t="s">
        <v>3806</v>
      </c>
    </row>
    <row r="39" spans="1:35" s="3185" customFormat="1" ht="25.2">
      <c r="A39" s="3182" t="s">
        <v>3539</v>
      </c>
      <c r="B39" s="3183" t="s">
        <v>3537</v>
      </c>
      <c r="C39" s="3183" t="s">
        <v>3846</v>
      </c>
      <c r="D39" s="3183" t="s">
        <v>3937</v>
      </c>
      <c r="E39" s="3183" t="s">
        <v>3938</v>
      </c>
      <c r="F39" s="3183" t="s">
        <v>3795</v>
      </c>
      <c r="G39" s="3183" t="s">
        <v>3841</v>
      </c>
      <c r="H39" s="3183" t="s">
        <v>3797</v>
      </c>
      <c r="I39" s="3184">
        <v>44760.000497685185</v>
      </c>
      <c r="J39" s="3184">
        <v>44782.000497685185</v>
      </c>
      <c r="K39" s="3184">
        <v>44795.000497685185</v>
      </c>
      <c r="L39" s="3184">
        <v>44795.000497685185</v>
      </c>
      <c r="M39" s="3183" t="s">
        <v>3939</v>
      </c>
      <c r="N39" s="3183">
        <v>10000</v>
      </c>
      <c r="O39" s="3183">
        <v>22000</v>
      </c>
      <c r="P39" s="3183">
        <v>36400</v>
      </c>
      <c r="Q39" s="3183" t="s">
        <v>3940</v>
      </c>
      <c r="R39" s="3183">
        <v>2.2000000000000002</v>
      </c>
      <c r="S39" s="3183" t="s">
        <v>3800</v>
      </c>
      <c r="T39" s="3183">
        <v>6</v>
      </c>
      <c r="U39" s="3183">
        <v>1.0287999999999999</v>
      </c>
      <c r="V39" s="3183">
        <v>1.2158</v>
      </c>
      <c r="W39" s="3183">
        <v>36400</v>
      </c>
      <c r="X39" s="3183">
        <f t="shared" si="2"/>
        <v>19552</v>
      </c>
      <c r="Y39" s="3183">
        <f t="shared" si="3"/>
        <v>19784</v>
      </c>
      <c r="Z39" s="3183">
        <v>2426.67</v>
      </c>
      <c r="AA39" s="3183">
        <v>16545</v>
      </c>
      <c r="AB39" s="3183">
        <v>16545</v>
      </c>
      <c r="AC39" s="3183">
        <v>0</v>
      </c>
      <c r="AD39" s="3183" t="s">
        <v>3941</v>
      </c>
      <c r="AE39" s="3183" t="s">
        <v>3802</v>
      </c>
      <c r="AF39" s="3183" t="s">
        <v>3942</v>
      </c>
      <c r="AG39" s="3183" t="s">
        <v>3943</v>
      </c>
      <c r="AH39" s="3183" t="s">
        <v>3816</v>
      </c>
      <c r="AI39" s="3183" t="s">
        <v>3816</v>
      </c>
    </row>
    <row r="40" spans="1:35" s="3185" customFormat="1" ht="25.2">
      <c r="A40" s="3182" t="s">
        <v>3535</v>
      </c>
      <c r="B40" s="3183" t="s">
        <v>3533</v>
      </c>
      <c r="C40" s="3183" t="s">
        <v>3846</v>
      </c>
      <c r="D40" s="3183" t="s">
        <v>3937</v>
      </c>
      <c r="E40" s="3183" t="s">
        <v>3938</v>
      </c>
      <c r="F40" s="3183" t="s">
        <v>3795</v>
      </c>
      <c r="G40" s="3183" t="s">
        <v>3841</v>
      </c>
      <c r="H40" s="3183" t="s">
        <v>3797</v>
      </c>
      <c r="I40" s="3184">
        <v>44760.000497685185</v>
      </c>
      <c r="J40" s="3184">
        <v>44782.000497685185</v>
      </c>
      <c r="K40" s="3184">
        <v>44796.000497685185</v>
      </c>
      <c r="L40" s="3184">
        <v>44796.000497685185</v>
      </c>
      <c r="M40" s="3183" t="s">
        <v>3944</v>
      </c>
      <c r="N40" s="3183">
        <v>5500</v>
      </c>
      <c r="O40" s="3183">
        <v>12100</v>
      </c>
      <c r="P40" s="3183">
        <v>20000</v>
      </c>
      <c r="Q40" s="3183" t="s">
        <v>3940</v>
      </c>
      <c r="R40" s="3183">
        <v>2.2000000000000002</v>
      </c>
      <c r="S40" s="3183" t="s">
        <v>3800</v>
      </c>
      <c r="T40" s="3183">
        <v>6</v>
      </c>
      <c r="U40" s="3183">
        <v>1.0287999999999999</v>
      </c>
      <c r="V40" s="3183">
        <v>1.2158</v>
      </c>
      <c r="W40" s="3183">
        <v>36363.629999999997</v>
      </c>
      <c r="X40" s="3183">
        <f t="shared" si="2"/>
        <v>19533</v>
      </c>
      <c r="Y40" s="3183">
        <f t="shared" si="3"/>
        <v>19764</v>
      </c>
      <c r="Z40" s="3183">
        <v>2424.2399999999998</v>
      </c>
      <c r="AA40" s="3183">
        <v>16529</v>
      </c>
      <c r="AB40" s="3183">
        <v>16529</v>
      </c>
      <c r="AC40" s="3183">
        <v>0</v>
      </c>
      <c r="AD40" s="3183" t="s">
        <v>3941</v>
      </c>
      <c r="AE40" s="3183" t="s">
        <v>3802</v>
      </c>
      <c r="AF40" s="3183" t="s">
        <v>3945</v>
      </c>
      <c r="AG40" s="3183" t="s">
        <v>3816</v>
      </c>
      <c r="AH40" s="3183" t="s">
        <v>3816</v>
      </c>
      <c r="AI40" s="3183" t="s">
        <v>3816</v>
      </c>
    </row>
    <row r="41" spans="1:35" ht="25.2">
      <c r="A41" s="3173" t="s">
        <v>3530</v>
      </c>
      <c r="B41" s="3177" t="s">
        <v>3527</v>
      </c>
      <c r="C41" s="3177" t="s">
        <v>3846</v>
      </c>
      <c r="D41" s="3177" t="s">
        <v>3946</v>
      </c>
      <c r="E41" s="3177" t="s">
        <v>3947</v>
      </c>
      <c r="F41" s="3177" t="s">
        <v>3795</v>
      </c>
      <c r="G41" s="3177" t="s">
        <v>3841</v>
      </c>
      <c r="H41" s="3177" t="s">
        <v>3797</v>
      </c>
      <c r="I41" s="3178">
        <v>44725.000497685185</v>
      </c>
      <c r="J41" s="3178">
        <v>44747.000497685185</v>
      </c>
      <c r="K41" s="3178">
        <v>44761.000497685185</v>
      </c>
      <c r="L41" s="3178">
        <v>44761.000497685185</v>
      </c>
      <c r="M41" s="3177" t="s">
        <v>3948</v>
      </c>
      <c r="N41" s="3177">
        <v>16122.82</v>
      </c>
      <c r="O41" s="3177">
        <v>45143.91</v>
      </c>
      <c r="P41" s="3177">
        <v>76000</v>
      </c>
      <c r="Q41" s="3177" t="s">
        <v>3886</v>
      </c>
      <c r="R41" s="3177">
        <v>2.8</v>
      </c>
      <c r="S41" s="3177" t="s">
        <v>3800</v>
      </c>
      <c r="T41" s="3179">
        <v>6</v>
      </c>
      <c r="U41" s="3179">
        <v>0.97640000000000005</v>
      </c>
      <c r="V41" s="3179">
        <v>1.2158</v>
      </c>
      <c r="W41" s="3179">
        <v>47138.15</v>
      </c>
      <c r="X41" s="3180">
        <f t="shared" si="2"/>
        <v>20963</v>
      </c>
      <c r="Y41" s="3181">
        <f t="shared" si="3"/>
        <v>21211</v>
      </c>
      <c r="Z41" s="3177">
        <v>3142.54</v>
      </c>
      <c r="AA41" s="3177">
        <v>16835</v>
      </c>
      <c r="AB41" s="3177">
        <v>16835</v>
      </c>
      <c r="AC41" s="3177">
        <v>0</v>
      </c>
      <c r="AD41" s="3177" t="s">
        <v>3949</v>
      </c>
      <c r="AE41" s="3177" t="s">
        <v>3802</v>
      </c>
      <c r="AF41" s="3177" t="s">
        <v>3950</v>
      </c>
      <c r="AG41" s="3177" t="s">
        <v>3951</v>
      </c>
      <c r="AH41" s="3177" t="s">
        <v>3816</v>
      </c>
      <c r="AI41" s="3177" t="s">
        <v>3816</v>
      </c>
    </row>
    <row r="42" spans="1:35" ht="25.2">
      <c r="A42" s="3173" t="s">
        <v>3523</v>
      </c>
      <c r="B42" s="3177" t="s">
        <v>3521</v>
      </c>
      <c r="C42" s="3177" t="s">
        <v>3890</v>
      </c>
      <c r="D42" s="3177" t="s">
        <v>3952</v>
      </c>
      <c r="E42" s="3177" t="s">
        <v>3953</v>
      </c>
      <c r="F42" s="3177" t="s">
        <v>3795</v>
      </c>
      <c r="G42" s="3177" t="s">
        <v>3841</v>
      </c>
      <c r="H42" s="3177" t="s">
        <v>3797</v>
      </c>
      <c r="I42" s="3178">
        <v>44701.000497685185</v>
      </c>
      <c r="J42" s="3178">
        <v>44721.000497685185</v>
      </c>
      <c r="K42" s="3178">
        <v>44735.000497685185</v>
      </c>
      <c r="L42" s="3178">
        <v>44735.000497685185</v>
      </c>
      <c r="M42" s="3177" t="s">
        <v>3954</v>
      </c>
      <c r="N42" s="3177">
        <v>17308.8</v>
      </c>
      <c r="O42" s="3177">
        <v>86544</v>
      </c>
      <c r="P42" s="3177">
        <v>91400</v>
      </c>
      <c r="Q42" s="3177" t="s">
        <v>3955</v>
      </c>
      <c r="R42" s="3177">
        <v>5</v>
      </c>
      <c r="S42" s="3177" t="s">
        <v>3800</v>
      </c>
      <c r="T42" s="3179">
        <v>6</v>
      </c>
      <c r="U42" s="3179">
        <v>0.89239999999999997</v>
      </c>
      <c r="V42" s="3179">
        <v>1.2158</v>
      </c>
      <c r="W42" s="3179">
        <v>52805.5</v>
      </c>
      <c r="X42" s="3180">
        <f t="shared" si="2"/>
        <v>14388</v>
      </c>
      <c r="Y42" s="3181">
        <f t="shared" si="3"/>
        <v>14558</v>
      </c>
      <c r="Z42" s="3177">
        <v>3520.37</v>
      </c>
      <c r="AA42" s="3177">
        <v>10561</v>
      </c>
      <c r="AB42" s="3177">
        <v>10561</v>
      </c>
      <c r="AC42" s="3177">
        <v>0</v>
      </c>
      <c r="AD42" s="3177" t="s">
        <v>3956</v>
      </c>
      <c r="AE42" s="3177" t="s">
        <v>3802</v>
      </c>
      <c r="AF42" s="3177" t="s">
        <v>3957</v>
      </c>
      <c r="AG42" s="3177" t="s">
        <v>3958</v>
      </c>
      <c r="AH42" s="3177" t="s">
        <v>3816</v>
      </c>
      <c r="AI42" s="3177" t="s">
        <v>3816</v>
      </c>
    </row>
    <row r="43" spans="1:35" s="3189" customFormat="1" ht="25.2">
      <c r="A43" s="3186" t="s">
        <v>3517</v>
      </c>
      <c r="B43" s="3187" t="s">
        <v>3512</v>
      </c>
      <c r="C43" s="3187" t="s">
        <v>3890</v>
      </c>
      <c r="D43" s="3187" t="s">
        <v>3959</v>
      </c>
      <c r="E43" s="3187" t="s">
        <v>3905</v>
      </c>
      <c r="F43" s="3187" t="s">
        <v>3795</v>
      </c>
      <c r="G43" s="3187" t="s">
        <v>3841</v>
      </c>
      <c r="H43" s="3187" t="s">
        <v>3797</v>
      </c>
      <c r="I43" s="3188">
        <v>44648.000497685185</v>
      </c>
      <c r="J43" s="3188">
        <v>44669.000497685185</v>
      </c>
      <c r="K43" s="3188">
        <v>44680.000497685185</v>
      </c>
      <c r="L43" s="3188">
        <v>44680.000497685185</v>
      </c>
      <c r="M43" s="3187" t="s">
        <v>3960</v>
      </c>
      <c r="N43" s="3187">
        <v>59169.74</v>
      </c>
      <c r="O43" s="3187">
        <v>130173.43</v>
      </c>
      <c r="P43" s="3187">
        <v>131600</v>
      </c>
      <c r="Q43" s="3187" t="s">
        <v>3940</v>
      </c>
      <c r="R43" s="3187">
        <v>2.2000000000000002</v>
      </c>
      <c r="S43" s="3187" t="s">
        <v>3800</v>
      </c>
      <c r="T43" s="3179">
        <v>9</v>
      </c>
      <c r="U43" s="3179">
        <v>0.96819999999999995</v>
      </c>
      <c r="V43" s="3179">
        <v>1.2302</v>
      </c>
      <c r="W43" s="3179">
        <v>22241.09</v>
      </c>
      <c r="X43" s="3180">
        <f t="shared" si="2"/>
        <v>12846</v>
      </c>
      <c r="Y43" s="3181">
        <f t="shared" si="3"/>
        <v>12846</v>
      </c>
      <c r="Z43" s="3187">
        <v>1482.74</v>
      </c>
      <c r="AA43" s="3187">
        <v>10110</v>
      </c>
      <c r="AB43" s="3187">
        <v>10110</v>
      </c>
      <c r="AC43" s="3187">
        <v>0</v>
      </c>
      <c r="AD43" s="3187" t="s">
        <v>3843</v>
      </c>
      <c r="AE43" s="3187" t="s">
        <v>3802</v>
      </c>
      <c r="AF43" s="3187" t="s">
        <v>3961</v>
      </c>
      <c r="AG43" s="3187" t="s">
        <v>3962</v>
      </c>
      <c r="AH43" s="3187" t="s">
        <v>3815</v>
      </c>
      <c r="AI43" s="3187" t="s">
        <v>3816</v>
      </c>
    </row>
    <row r="44" spans="1:35" ht="25.2">
      <c r="A44" s="3173" t="s">
        <v>3963</v>
      </c>
      <c r="B44" s="3177" t="s">
        <v>3964</v>
      </c>
      <c r="C44" s="3177" t="s">
        <v>3890</v>
      </c>
      <c r="D44" s="3177" t="s">
        <v>3904</v>
      </c>
      <c r="E44" s="3177" t="s">
        <v>3965</v>
      </c>
      <c r="F44" s="3177" t="s">
        <v>3795</v>
      </c>
      <c r="G44" s="3177" t="s">
        <v>3966</v>
      </c>
      <c r="H44" s="3177" t="s">
        <v>3811</v>
      </c>
      <c r="I44" s="3178">
        <v>44587.000497685185</v>
      </c>
      <c r="J44" s="3178">
        <v>44607.000497685185</v>
      </c>
      <c r="K44" s="3178">
        <v>44621.000497685185</v>
      </c>
      <c r="L44" s="3178">
        <v>44621.000497685185</v>
      </c>
      <c r="M44" s="3177" t="s">
        <v>3967</v>
      </c>
      <c r="N44" s="3177">
        <v>12066.9</v>
      </c>
      <c r="O44" s="3177">
        <v>18100.349999999999</v>
      </c>
      <c r="P44" s="3177">
        <v>9400</v>
      </c>
      <c r="Q44" s="3177">
        <v>1.5</v>
      </c>
      <c r="R44" s="3177">
        <v>1.5</v>
      </c>
      <c r="S44" s="3177" t="s">
        <v>3800</v>
      </c>
      <c r="T44" s="3179">
        <v>9</v>
      </c>
      <c r="U44" s="3179">
        <v>1.0985</v>
      </c>
      <c r="V44" s="3179">
        <v>1.2302</v>
      </c>
      <c r="W44" s="3179">
        <v>7789.9</v>
      </c>
      <c r="X44" s="3180">
        <f t="shared" si="2"/>
        <v>5816</v>
      </c>
      <c r="Y44" s="3181">
        <f t="shared" si="3"/>
        <v>5816</v>
      </c>
      <c r="Z44" s="3177">
        <v>519.33000000000004</v>
      </c>
      <c r="AA44" s="3177">
        <v>5193</v>
      </c>
      <c r="AB44" s="3177">
        <v>5193</v>
      </c>
      <c r="AC44" s="3177">
        <v>0</v>
      </c>
      <c r="AD44" s="3177" t="s">
        <v>3968</v>
      </c>
      <c r="AE44" s="3177" t="s">
        <v>3969</v>
      </c>
      <c r="AF44" s="3177" t="s">
        <v>3961</v>
      </c>
      <c r="AG44" s="3177" t="s">
        <v>3816</v>
      </c>
      <c r="AH44" s="3177" t="s">
        <v>3816</v>
      </c>
      <c r="AI44" s="3177" t="s">
        <v>3816</v>
      </c>
    </row>
    <row r="45" spans="1:35" ht="25.2">
      <c r="A45" s="3173" t="s">
        <v>3970</v>
      </c>
      <c r="B45" s="3177" t="s">
        <v>3971</v>
      </c>
      <c r="C45" s="3177" t="s">
        <v>3890</v>
      </c>
      <c r="D45" s="3177" t="s">
        <v>3972</v>
      </c>
      <c r="E45" s="3177" t="s">
        <v>3973</v>
      </c>
      <c r="F45" s="3177" t="s">
        <v>3795</v>
      </c>
      <c r="G45" s="3177" t="s">
        <v>3841</v>
      </c>
      <c r="H45" s="3177" t="s">
        <v>3797</v>
      </c>
      <c r="I45" s="3178">
        <v>44561.000497685185</v>
      </c>
      <c r="J45" s="3178">
        <v>44581.000497685185</v>
      </c>
      <c r="K45" s="3178">
        <v>44600.000497685185</v>
      </c>
      <c r="L45" s="3178">
        <v>44600.000497685185</v>
      </c>
      <c r="M45" s="3177" t="s">
        <v>3974</v>
      </c>
      <c r="N45" s="3177">
        <v>15178.6</v>
      </c>
      <c r="O45" s="3177">
        <v>45535.8</v>
      </c>
      <c r="P45" s="3177">
        <v>58400</v>
      </c>
      <c r="Q45" s="3177">
        <v>3</v>
      </c>
      <c r="R45" s="3177">
        <v>3</v>
      </c>
      <c r="S45" s="3177" t="s">
        <v>3800</v>
      </c>
      <c r="T45" s="3179">
        <v>5</v>
      </c>
      <c r="U45" s="3179">
        <v>0.96309999999999996</v>
      </c>
      <c r="V45" s="3179">
        <v>1.2158</v>
      </c>
      <c r="W45" s="3179">
        <v>38475.22</v>
      </c>
      <c r="X45" s="3180">
        <f t="shared" si="2"/>
        <v>16190</v>
      </c>
      <c r="Y45" s="3181">
        <f t="shared" si="3"/>
        <v>16382</v>
      </c>
      <c r="Z45" s="3177">
        <v>2565.0100000000002</v>
      </c>
      <c r="AA45" s="3177">
        <v>12825</v>
      </c>
      <c r="AB45" s="3177">
        <v>12825</v>
      </c>
      <c r="AC45" s="3177">
        <v>0</v>
      </c>
      <c r="AD45" s="3177" t="s">
        <v>3941</v>
      </c>
      <c r="AE45" s="3177" t="s">
        <v>3969</v>
      </c>
      <c r="AF45" s="3177" t="s">
        <v>3975</v>
      </c>
      <c r="AG45" s="3177" t="s">
        <v>3976</v>
      </c>
      <c r="AH45" s="3177" t="s">
        <v>3815</v>
      </c>
      <c r="AI45" s="3177" t="s">
        <v>3816</v>
      </c>
    </row>
    <row r="46" spans="1:35" ht="37.799999999999997">
      <c r="A46" s="3173" t="s">
        <v>3977</v>
      </c>
      <c r="B46" s="3177" t="s">
        <v>3978</v>
      </c>
      <c r="C46" s="3177" t="s">
        <v>3979</v>
      </c>
      <c r="D46" s="3177" t="s">
        <v>3980</v>
      </c>
      <c r="E46" s="3177" t="s">
        <v>3981</v>
      </c>
      <c r="F46" s="3177" t="s">
        <v>3795</v>
      </c>
      <c r="G46" s="3177" t="s">
        <v>3841</v>
      </c>
      <c r="H46" s="3177" t="s">
        <v>3797</v>
      </c>
      <c r="I46" s="3178">
        <v>44546.000497685185</v>
      </c>
      <c r="J46" s="3178">
        <v>44566.000497685185</v>
      </c>
      <c r="K46" s="3178">
        <v>44580.000497685185</v>
      </c>
      <c r="L46" s="3178">
        <v>44580.000497685185</v>
      </c>
      <c r="M46" s="3177" t="s">
        <v>3982</v>
      </c>
      <c r="N46" s="3177">
        <v>19258.580000000002</v>
      </c>
      <c r="O46" s="3177">
        <v>38517.17</v>
      </c>
      <c r="P46" s="3177">
        <v>28400</v>
      </c>
      <c r="Q46" s="3177">
        <v>2</v>
      </c>
      <c r="R46" s="3177">
        <v>2</v>
      </c>
      <c r="S46" s="3177" t="s">
        <v>3800</v>
      </c>
      <c r="T46" s="3179">
        <v>9</v>
      </c>
      <c r="U46" s="3179">
        <v>1</v>
      </c>
      <c r="V46" s="3179">
        <v>1.2302</v>
      </c>
      <c r="W46" s="3179">
        <v>14746.67</v>
      </c>
      <c r="X46" s="3180">
        <f t="shared" si="2"/>
        <v>9070</v>
      </c>
      <c r="Y46" s="3181">
        <f t="shared" si="3"/>
        <v>9070</v>
      </c>
      <c r="Z46" s="3177">
        <v>983.11</v>
      </c>
      <c r="AA46" s="3177">
        <v>7373</v>
      </c>
      <c r="AB46" s="3177">
        <v>7373</v>
      </c>
      <c r="AC46" s="3177">
        <v>0</v>
      </c>
      <c r="AD46" s="3177" t="s">
        <v>3941</v>
      </c>
      <c r="AE46" s="3177" t="s">
        <v>3969</v>
      </c>
      <c r="AF46" s="3177" t="s">
        <v>3983</v>
      </c>
      <c r="AG46" s="3177" t="s">
        <v>3816</v>
      </c>
      <c r="AH46" s="3177" t="s">
        <v>3816</v>
      </c>
      <c r="AI46" s="3177" t="s">
        <v>3816</v>
      </c>
    </row>
    <row r="47" spans="1:35" ht="37.799999999999997">
      <c r="A47" s="3173" t="s">
        <v>3984</v>
      </c>
      <c r="B47" s="3177" t="s">
        <v>3985</v>
      </c>
      <c r="C47" s="3177" t="s">
        <v>3979</v>
      </c>
      <c r="D47" s="3177" t="s">
        <v>3980</v>
      </c>
      <c r="E47" s="3177" t="s">
        <v>3981</v>
      </c>
      <c r="F47" s="3177" t="s">
        <v>3795</v>
      </c>
      <c r="G47" s="3177" t="s">
        <v>3841</v>
      </c>
      <c r="H47" s="3177" t="s">
        <v>3797</v>
      </c>
      <c r="I47" s="3178">
        <v>44546.000497685185</v>
      </c>
      <c r="J47" s="3178">
        <v>44566.000497685185</v>
      </c>
      <c r="K47" s="3178">
        <v>44580.000497685185</v>
      </c>
      <c r="L47" s="3178">
        <v>44580.000497685185</v>
      </c>
      <c r="M47" s="3177" t="s">
        <v>3986</v>
      </c>
      <c r="N47" s="3177">
        <v>28547.88</v>
      </c>
      <c r="O47" s="3177">
        <v>51828.53</v>
      </c>
      <c r="P47" s="3177">
        <v>37700</v>
      </c>
      <c r="Q47" s="3177">
        <v>1.82</v>
      </c>
      <c r="R47" s="3177">
        <v>1.82</v>
      </c>
      <c r="S47" s="3177" t="s">
        <v>3800</v>
      </c>
      <c r="T47" s="3179">
        <v>9</v>
      </c>
      <c r="U47" s="3179">
        <f>1.0359+(1.0174-1.0359)*(1.82-1.8)/(1.9-1.8)</f>
        <v>1.0322</v>
      </c>
      <c r="V47" s="3179">
        <v>1.2302</v>
      </c>
      <c r="W47" s="3179">
        <v>13205.88</v>
      </c>
      <c r="X47" s="3180">
        <f t="shared" si="2"/>
        <v>8669</v>
      </c>
      <c r="Y47" s="3181">
        <f t="shared" si="3"/>
        <v>8669</v>
      </c>
      <c r="Z47" s="3177">
        <v>880.39</v>
      </c>
      <c r="AA47" s="3177">
        <v>7274</v>
      </c>
      <c r="AB47" s="3177">
        <v>7274</v>
      </c>
      <c r="AC47" s="3177">
        <v>0</v>
      </c>
      <c r="AD47" s="3177" t="s">
        <v>3941</v>
      </c>
      <c r="AE47" s="3177" t="s">
        <v>3969</v>
      </c>
      <c r="AF47" s="3177" t="s">
        <v>3987</v>
      </c>
      <c r="AG47" s="3177" t="s">
        <v>3988</v>
      </c>
      <c r="AH47" s="3177" t="s">
        <v>3815</v>
      </c>
      <c r="AI47" s="3177" t="s">
        <v>3832</v>
      </c>
    </row>
    <row r="48" spans="1:35" ht="25.2">
      <c r="A48" s="3173" t="s">
        <v>3989</v>
      </c>
      <c r="B48" s="3177" t="s">
        <v>3990</v>
      </c>
      <c r="C48" s="3177" t="s">
        <v>3846</v>
      </c>
      <c r="D48" s="3177" t="s">
        <v>3991</v>
      </c>
      <c r="E48" s="3177" t="s">
        <v>3992</v>
      </c>
      <c r="F48" s="3177" t="s">
        <v>3795</v>
      </c>
      <c r="G48" s="3177" t="s">
        <v>3841</v>
      </c>
      <c r="H48" s="3177" t="s">
        <v>3797</v>
      </c>
      <c r="I48" s="3178">
        <v>44531.000497685185</v>
      </c>
      <c r="J48" s="3178">
        <v>44551.000497685185</v>
      </c>
      <c r="K48" s="3178">
        <v>44566.000497685185</v>
      </c>
      <c r="L48" s="3178">
        <v>44566.000497685185</v>
      </c>
      <c r="M48" s="3177" t="s">
        <v>3993</v>
      </c>
      <c r="N48" s="3177">
        <v>29991.73</v>
      </c>
      <c r="O48" s="3177">
        <v>119966.93</v>
      </c>
      <c r="P48" s="3177">
        <v>165300</v>
      </c>
      <c r="Q48" s="3177">
        <v>4</v>
      </c>
      <c r="R48" s="3177">
        <v>4</v>
      </c>
      <c r="S48" s="3177" t="s">
        <v>3800</v>
      </c>
      <c r="T48" s="3179">
        <v>4</v>
      </c>
      <c r="U48" s="3179">
        <v>0.91859999999999997</v>
      </c>
      <c r="V48" s="3179">
        <v>1.2158</v>
      </c>
      <c r="W48" s="3179">
        <v>55115.19</v>
      </c>
      <c r="X48" s="3180">
        <f t="shared" si="2"/>
        <v>18237</v>
      </c>
      <c r="Y48" s="3181">
        <f t="shared" si="3"/>
        <v>18453</v>
      </c>
      <c r="Z48" s="3177">
        <v>3674.35</v>
      </c>
      <c r="AA48" s="3177">
        <v>13779</v>
      </c>
      <c r="AB48" s="3177">
        <v>13779</v>
      </c>
      <c r="AC48" s="3177">
        <v>0</v>
      </c>
      <c r="AD48" s="3177" t="s">
        <v>3994</v>
      </c>
      <c r="AE48" s="3177" t="s">
        <v>3969</v>
      </c>
      <c r="AF48" s="3177" t="s">
        <v>3995</v>
      </c>
      <c r="AG48" s="3177" t="s">
        <v>3816</v>
      </c>
      <c r="AH48" s="3177" t="s">
        <v>3816</v>
      </c>
      <c r="AI48" s="3177" t="s">
        <v>3816</v>
      </c>
    </row>
    <row r="49" spans="1:35">
      <c r="A49" s="3173" t="s">
        <v>3996</v>
      </c>
      <c r="B49" s="3177" t="s">
        <v>3997</v>
      </c>
      <c r="C49" s="3177" t="s">
        <v>3890</v>
      </c>
      <c r="D49" s="3177" t="s">
        <v>3998</v>
      </c>
      <c r="E49" s="3177" t="s">
        <v>3999</v>
      </c>
      <c r="F49" s="3177" t="s">
        <v>3795</v>
      </c>
      <c r="G49" s="3177" t="s">
        <v>4000</v>
      </c>
      <c r="H49" s="3177" t="s">
        <v>4000</v>
      </c>
      <c r="I49" s="3178">
        <v>44519.000497685185</v>
      </c>
      <c r="J49" s="3178">
        <v>44540.000497685185</v>
      </c>
      <c r="K49" s="3178">
        <v>44554.000497685185</v>
      </c>
      <c r="L49" s="3178">
        <v>44554.000497685185</v>
      </c>
      <c r="M49" s="3177" t="s">
        <v>4001</v>
      </c>
      <c r="N49" s="3177">
        <v>15197.52</v>
      </c>
      <c r="O49" s="3177">
        <v>30395.05</v>
      </c>
      <c r="P49" s="3177">
        <v>42600</v>
      </c>
      <c r="Q49" s="3177">
        <v>2</v>
      </c>
      <c r="R49" s="3177">
        <v>2</v>
      </c>
      <c r="S49" s="3177" t="s">
        <v>3800</v>
      </c>
      <c r="T49" s="3179">
        <v>6</v>
      </c>
      <c r="U49" s="3179">
        <v>1.0512999999999999</v>
      </c>
      <c r="V49" s="3179">
        <v>1.2158</v>
      </c>
      <c r="W49" s="3179">
        <v>28030.880000000001</v>
      </c>
      <c r="X49" s="3180">
        <f t="shared" si="2"/>
        <v>16208</v>
      </c>
      <c r="Y49" s="3181">
        <f t="shared" si="3"/>
        <v>16400</v>
      </c>
      <c r="Z49" s="3177">
        <v>1868.73</v>
      </c>
      <c r="AA49" s="3177">
        <v>14015</v>
      </c>
      <c r="AB49" s="3177">
        <v>14015</v>
      </c>
      <c r="AC49" s="3177">
        <v>0</v>
      </c>
      <c r="AD49" s="3177" t="s">
        <v>3941</v>
      </c>
      <c r="AE49" s="3177" t="s">
        <v>3969</v>
      </c>
      <c r="AF49" s="3177" t="s">
        <v>4002</v>
      </c>
      <c r="AG49" s="3177" t="s">
        <v>4003</v>
      </c>
      <c r="AH49" s="3177" t="s">
        <v>3815</v>
      </c>
      <c r="AI49" s="3177" t="s">
        <v>3832</v>
      </c>
    </row>
    <row r="50" spans="1:35" ht="25.2">
      <c r="A50" s="3173" t="s">
        <v>4004</v>
      </c>
      <c r="B50" s="3177" t="s">
        <v>4005</v>
      </c>
      <c r="C50" s="3177" t="s">
        <v>3817</v>
      </c>
      <c r="D50" s="3177" t="s">
        <v>3826</v>
      </c>
      <c r="E50" s="3177" t="s">
        <v>4006</v>
      </c>
      <c r="F50" s="3177" t="s">
        <v>3795</v>
      </c>
      <c r="G50" s="3177" t="s">
        <v>3841</v>
      </c>
      <c r="H50" s="3177" t="s">
        <v>3797</v>
      </c>
      <c r="I50" s="3178">
        <v>44457.000497685185</v>
      </c>
      <c r="J50" s="3178">
        <v>44481.000497685185</v>
      </c>
      <c r="K50" s="3178">
        <v>44495.000497685185</v>
      </c>
      <c r="L50" s="3178">
        <v>44495.000497685185</v>
      </c>
      <c r="M50" s="3177" t="s">
        <v>4007</v>
      </c>
      <c r="N50" s="3177">
        <v>38252.550000000003</v>
      </c>
      <c r="O50" s="3177">
        <v>84155.61</v>
      </c>
      <c r="P50" s="3177">
        <v>175000</v>
      </c>
      <c r="Q50" s="3177">
        <v>2.2000000000000002</v>
      </c>
      <c r="R50" s="3177">
        <v>2.2000000000000002</v>
      </c>
      <c r="S50" s="3177" t="s">
        <v>3800</v>
      </c>
      <c r="T50" s="3179">
        <v>6</v>
      </c>
      <c r="U50" s="3179">
        <v>1.0287999999999999</v>
      </c>
      <c r="V50" s="3179">
        <v>1.2158</v>
      </c>
      <c r="W50" s="3179">
        <v>45748.58</v>
      </c>
      <c r="X50" s="3180">
        <f t="shared" si="2"/>
        <v>24575</v>
      </c>
      <c r="Y50" s="3181">
        <f t="shared" si="3"/>
        <v>24866</v>
      </c>
      <c r="Z50" s="3177">
        <v>3049.91</v>
      </c>
      <c r="AA50" s="3177">
        <v>20795</v>
      </c>
      <c r="AB50" s="3177">
        <v>20795</v>
      </c>
      <c r="AC50" s="3177">
        <v>0</v>
      </c>
      <c r="AD50" s="3177" t="s">
        <v>3994</v>
      </c>
      <c r="AE50" s="3177" t="s">
        <v>3969</v>
      </c>
      <c r="AF50" s="3177" t="s">
        <v>4008</v>
      </c>
      <c r="AG50" s="3177" t="s">
        <v>3816</v>
      </c>
      <c r="AH50" s="3177" t="s">
        <v>3816</v>
      </c>
      <c r="AI50" s="3177" t="s">
        <v>3816</v>
      </c>
    </row>
    <row r="51" spans="1:35" ht="25.2">
      <c r="A51" s="3173" t="s">
        <v>4009</v>
      </c>
      <c r="B51" s="3177" t="s">
        <v>4010</v>
      </c>
      <c r="C51" s="3177" t="s">
        <v>3817</v>
      </c>
      <c r="D51" s="3177" t="s">
        <v>3826</v>
      </c>
      <c r="E51" s="3177" t="s">
        <v>4006</v>
      </c>
      <c r="F51" s="3177" t="s">
        <v>3795</v>
      </c>
      <c r="G51" s="3177" t="s">
        <v>3841</v>
      </c>
      <c r="H51" s="3177" t="s">
        <v>3797</v>
      </c>
      <c r="I51" s="3178">
        <v>44457.000497685185</v>
      </c>
      <c r="J51" s="3178">
        <v>44481.000497685185</v>
      </c>
      <c r="K51" s="3178">
        <v>44495.000497685185</v>
      </c>
      <c r="L51" s="3178">
        <v>44495.000497685185</v>
      </c>
      <c r="M51" s="3177" t="s">
        <v>4011</v>
      </c>
      <c r="N51" s="3177">
        <v>30025.18</v>
      </c>
      <c r="O51" s="3177">
        <v>66055.39</v>
      </c>
      <c r="P51" s="3177">
        <v>137000</v>
      </c>
      <c r="Q51" s="3177">
        <v>2.2000000000000002</v>
      </c>
      <c r="R51" s="3177">
        <v>2.2000000000000002</v>
      </c>
      <c r="S51" s="3177" t="s">
        <v>3800</v>
      </c>
      <c r="T51" s="3179">
        <v>6</v>
      </c>
      <c r="U51" s="3179">
        <v>1.0287999999999999</v>
      </c>
      <c r="V51" s="3179">
        <v>1.2158</v>
      </c>
      <c r="W51" s="3179">
        <v>45628.37</v>
      </c>
      <c r="X51" s="3180">
        <f t="shared" si="2"/>
        <v>24510</v>
      </c>
      <c r="Y51" s="3181">
        <f t="shared" si="3"/>
        <v>24800</v>
      </c>
      <c r="Z51" s="3177">
        <v>3041.89</v>
      </c>
      <c r="AA51" s="3177">
        <v>20740</v>
      </c>
      <c r="AB51" s="3177">
        <v>20740</v>
      </c>
      <c r="AC51" s="3177">
        <v>0</v>
      </c>
      <c r="AD51" s="3177" t="s">
        <v>3994</v>
      </c>
      <c r="AE51" s="3177" t="s">
        <v>3969</v>
      </c>
      <c r="AF51" s="3177" t="s">
        <v>4012</v>
      </c>
      <c r="AG51" s="3177" t="s">
        <v>3816</v>
      </c>
      <c r="AH51" s="3177" t="s">
        <v>3816</v>
      </c>
      <c r="AI51" s="3177" t="s">
        <v>3816</v>
      </c>
    </row>
    <row r="52" spans="1:35" s="3185" customFormat="1" ht="37.799999999999997">
      <c r="A52" s="3182" t="s">
        <v>4013</v>
      </c>
      <c r="B52" s="3183" t="s">
        <v>4014</v>
      </c>
      <c r="C52" s="3183" t="s">
        <v>3846</v>
      </c>
      <c r="D52" s="3183" t="s">
        <v>3946</v>
      </c>
      <c r="E52" s="3183" t="s">
        <v>3947</v>
      </c>
      <c r="F52" s="3183" t="s">
        <v>3795</v>
      </c>
      <c r="G52" s="3183" t="s">
        <v>3841</v>
      </c>
      <c r="H52" s="3183" t="s">
        <v>3797</v>
      </c>
      <c r="I52" s="3184">
        <v>44457.000497685185</v>
      </c>
      <c r="J52" s="3184">
        <v>44481.000497685185</v>
      </c>
      <c r="K52" s="3184">
        <v>44495.000497685185</v>
      </c>
      <c r="L52" s="3184">
        <v>44495.000497685185</v>
      </c>
      <c r="M52" s="3183" t="s">
        <v>4015</v>
      </c>
      <c r="N52" s="3183">
        <v>204418.11</v>
      </c>
      <c r="O52" s="3183">
        <v>302000</v>
      </c>
      <c r="P52" s="3183">
        <v>506700</v>
      </c>
      <c r="Q52" s="3183">
        <v>1.5</v>
      </c>
      <c r="R52" s="3183">
        <v>1.5</v>
      </c>
      <c r="S52" s="3183" t="s">
        <v>3800</v>
      </c>
      <c r="T52" s="3183">
        <v>6</v>
      </c>
      <c r="U52" s="3183">
        <v>1.1214999999999999</v>
      </c>
      <c r="V52" s="3183">
        <v>1.2158</v>
      </c>
      <c r="W52" s="3183">
        <v>24787.43</v>
      </c>
      <c r="X52" s="3183">
        <f t="shared" si="2"/>
        <v>18189</v>
      </c>
      <c r="Y52" s="3183">
        <f t="shared" si="3"/>
        <v>18404</v>
      </c>
      <c r="Z52" s="3183">
        <v>1652.5</v>
      </c>
      <c r="AA52" s="3183">
        <v>16778</v>
      </c>
      <c r="AB52" s="3183">
        <v>16778</v>
      </c>
      <c r="AC52" s="3183">
        <v>0</v>
      </c>
      <c r="AD52" s="3183" t="s">
        <v>3994</v>
      </c>
      <c r="AE52" s="3183" t="s">
        <v>3969</v>
      </c>
      <c r="AF52" s="3183" t="s">
        <v>4016</v>
      </c>
      <c r="AG52" s="3183" t="s">
        <v>4017</v>
      </c>
      <c r="AH52" s="3183" t="s">
        <v>3815</v>
      </c>
      <c r="AI52" s="3183" t="s">
        <v>3832</v>
      </c>
    </row>
    <row r="53" spans="1:35" ht="25.2">
      <c r="A53" s="3173" t="s">
        <v>4018</v>
      </c>
      <c r="B53" s="3177" t="s">
        <v>4019</v>
      </c>
      <c r="C53" s="3177" t="s">
        <v>3825</v>
      </c>
      <c r="D53" s="3177" t="s">
        <v>3920</v>
      </c>
      <c r="E53" s="3177" t="s">
        <v>4020</v>
      </c>
      <c r="F53" s="3177" t="s">
        <v>3795</v>
      </c>
      <c r="G53" s="3177" t="s">
        <v>3966</v>
      </c>
      <c r="H53" s="3177" t="s">
        <v>3811</v>
      </c>
      <c r="I53" s="3178">
        <v>44457.000497685185</v>
      </c>
      <c r="J53" s="3178">
        <v>44481.000497685185</v>
      </c>
      <c r="K53" s="3178">
        <v>44495.000497685185</v>
      </c>
      <c r="L53" s="3178">
        <v>44495.000497685185</v>
      </c>
      <c r="M53" s="3177" t="s">
        <v>4021</v>
      </c>
      <c r="N53" s="3177">
        <v>12136.3</v>
      </c>
      <c r="O53" s="3177">
        <v>42477</v>
      </c>
      <c r="P53" s="3177">
        <v>71000</v>
      </c>
      <c r="Q53" s="3177">
        <v>3.5</v>
      </c>
      <c r="R53" s="3177">
        <v>3.5</v>
      </c>
      <c r="S53" s="3177" t="s">
        <v>3800</v>
      </c>
      <c r="T53" s="3179">
        <v>6</v>
      </c>
      <c r="U53" s="3179">
        <v>0.93700000000000006</v>
      </c>
      <c r="V53" s="3179">
        <v>1.2158</v>
      </c>
      <c r="W53" s="3179">
        <v>58502.18</v>
      </c>
      <c r="X53" s="3183">
        <f t="shared" si="2"/>
        <v>21688</v>
      </c>
      <c r="Y53" s="3181">
        <f t="shared" si="3"/>
        <v>21945</v>
      </c>
      <c r="Z53" s="3177">
        <v>3900.15</v>
      </c>
      <c r="AA53" s="3177">
        <v>16715</v>
      </c>
      <c r="AB53" s="3177">
        <v>16715</v>
      </c>
      <c r="AC53" s="3177">
        <v>0</v>
      </c>
      <c r="AD53" s="3177" t="s">
        <v>3994</v>
      </c>
      <c r="AE53" s="3177" t="s">
        <v>3969</v>
      </c>
      <c r="AF53" s="3177" t="s">
        <v>4022</v>
      </c>
      <c r="AG53" s="3177" t="s">
        <v>4023</v>
      </c>
      <c r="AH53" s="3177" t="s">
        <v>3867</v>
      </c>
      <c r="AI53" s="3177" t="s">
        <v>3816</v>
      </c>
    </row>
    <row r="54" spans="1:35" ht="25.2">
      <c r="A54" s="3173" t="s">
        <v>4024</v>
      </c>
      <c r="B54" s="3177" t="s">
        <v>4025</v>
      </c>
      <c r="C54" s="3177" t="s">
        <v>4026</v>
      </c>
      <c r="D54" s="3177" t="s">
        <v>4027</v>
      </c>
      <c r="E54" s="3177" t="s">
        <v>4028</v>
      </c>
      <c r="F54" s="3177" t="s">
        <v>3795</v>
      </c>
      <c r="G54" s="3177" t="s">
        <v>3841</v>
      </c>
      <c r="H54" s="3177" t="s">
        <v>4029</v>
      </c>
      <c r="I54" s="3178">
        <v>44457.000497685185</v>
      </c>
      <c r="J54" s="3178">
        <v>44481.000497685185</v>
      </c>
      <c r="K54" s="3178">
        <v>44495.000497685185</v>
      </c>
      <c r="L54" s="3178">
        <v>44495.000497685185</v>
      </c>
      <c r="M54" s="3177" t="s">
        <v>4030</v>
      </c>
      <c r="N54" s="3177">
        <v>5907.54</v>
      </c>
      <c r="O54" s="3177">
        <v>21900</v>
      </c>
      <c r="P54" s="3177">
        <v>46000</v>
      </c>
      <c r="Q54" s="3177">
        <v>3.71</v>
      </c>
      <c r="R54" s="3177">
        <v>3.71</v>
      </c>
      <c r="S54" s="3177" t="s">
        <v>3800</v>
      </c>
      <c r="T54" s="3179">
        <v>2</v>
      </c>
      <c r="U54" s="3179">
        <f>0.9929+(0.9897-0.9929)*(3.71-3.7)/(3.8-3.7)</f>
        <v>0.99258000000000002</v>
      </c>
      <c r="V54" s="3179">
        <v>1.2501</v>
      </c>
      <c r="W54" s="3179">
        <v>77866.59</v>
      </c>
      <c r="X54" s="3180">
        <f t="shared" si="2"/>
        <v>26455</v>
      </c>
      <c r="Y54" s="3181">
        <f t="shared" si="3"/>
        <v>26034</v>
      </c>
      <c r="Z54" s="3177">
        <v>5191.1099999999997</v>
      </c>
      <c r="AA54" s="3177">
        <v>21005</v>
      </c>
      <c r="AB54" s="3177">
        <v>21005</v>
      </c>
      <c r="AC54" s="3177">
        <v>0</v>
      </c>
      <c r="AD54" s="3177" t="s">
        <v>3994</v>
      </c>
      <c r="AE54" s="3177" t="s">
        <v>3969</v>
      </c>
      <c r="AF54" s="3177" t="s">
        <v>4031</v>
      </c>
      <c r="AG54" s="3177" t="s">
        <v>3816</v>
      </c>
      <c r="AH54" s="3177" t="s">
        <v>3816</v>
      </c>
      <c r="AI54" s="3177" t="s">
        <v>3816</v>
      </c>
    </row>
    <row r="55" spans="1:35" ht="25.2">
      <c r="A55" s="3173" t="s">
        <v>4032</v>
      </c>
      <c r="B55" s="3177" t="s">
        <v>4033</v>
      </c>
      <c r="C55" s="3177" t="s">
        <v>3817</v>
      </c>
      <c r="D55" s="3177" t="s">
        <v>3826</v>
      </c>
      <c r="E55" s="3177" t="s">
        <v>4006</v>
      </c>
      <c r="F55" s="3177" t="s">
        <v>3795</v>
      </c>
      <c r="G55" s="3177" t="s">
        <v>3841</v>
      </c>
      <c r="H55" s="3177" t="s">
        <v>3797</v>
      </c>
      <c r="I55" s="3178">
        <v>44457.000497685185</v>
      </c>
      <c r="J55" s="3178">
        <v>44481.000497685185</v>
      </c>
      <c r="K55" s="3178">
        <v>44495.000497685185</v>
      </c>
      <c r="L55" s="3178">
        <v>44495.000497685185</v>
      </c>
      <c r="M55" s="3177" t="s">
        <v>4034</v>
      </c>
      <c r="N55" s="3177">
        <v>25121.77</v>
      </c>
      <c r="O55" s="3177">
        <v>55267.89</v>
      </c>
      <c r="P55" s="3177">
        <v>115000</v>
      </c>
      <c r="Q55" s="3177">
        <v>2.2000000000000002</v>
      </c>
      <c r="R55" s="3177">
        <v>2.2000000000000002</v>
      </c>
      <c r="S55" s="3177" t="s">
        <v>3800</v>
      </c>
      <c r="T55" s="3179">
        <v>6</v>
      </c>
      <c r="U55" s="3179">
        <v>1.0287999999999999</v>
      </c>
      <c r="V55" s="3179">
        <v>1.2158</v>
      </c>
      <c r="W55" s="3179">
        <v>45777.02</v>
      </c>
      <c r="X55" s="3180">
        <f t="shared" si="2"/>
        <v>24590</v>
      </c>
      <c r="Y55" s="3181">
        <f t="shared" si="3"/>
        <v>24881</v>
      </c>
      <c r="Z55" s="3177">
        <v>3051.8</v>
      </c>
      <c r="AA55" s="3177">
        <v>20808</v>
      </c>
      <c r="AB55" s="3177">
        <v>20808</v>
      </c>
      <c r="AC55" s="3177">
        <v>0</v>
      </c>
      <c r="AD55" s="3177" t="s">
        <v>3994</v>
      </c>
      <c r="AE55" s="3177" t="s">
        <v>3969</v>
      </c>
      <c r="AF55" s="3177" t="s">
        <v>4035</v>
      </c>
      <c r="AG55" s="3177" t="s">
        <v>3816</v>
      </c>
      <c r="AH55" s="3177" t="s">
        <v>3816</v>
      </c>
      <c r="AI55" s="3177" t="s">
        <v>3816</v>
      </c>
    </row>
    <row r="56" spans="1:35">
      <c r="A56" s="3173" t="s">
        <v>4036</v>
      </c>
      <c r="B56" s="3177" t="s">
        <v>4037</v>
      </c>
      <c r="C56" s="3177" t="s">
        <v>3846</v>
      </c>
      <c r="D56" s="3177" t="s">
        <v>3991</v>
      </c>
      <c r="E56" s="3177" t="s">
        <v>4038</v>
      </c>
      <c r="F56" s="3177" t="s">
        <v>3795</v>
      </c>
      <c r="G56" s="3177" t="s">
        <v>3796</v>
      </c>
      <c r="H56" s="3177" t="s">
        <v>4039</v>
      </c>
      <c r="I56" s="3178">
        <v>44300.000497685185</v>
      </c>
      <c r="J56" s="3178">
        <v>44322.000497685185</v>
      </c>
      <c r="K56" s="3178">
        <v>44335.000497685185</v>
      </c>
      <c r="L56" s="3178">
        <v>44335.000497685185</v>
      </c>
      <c r="M56" s="3177" t="s">
        <v>4040</v>
      </c>
      <c r="N56" s="3177">
        <v>17147.95</v>
      </c>
      <c r="O56" s="3177">
        <v>53158.65</v>
      </c>
      <c r="P56" s="3177">
        <v>69200</v>
      </c>
      <c r="Q56" s="3177" t="s">
        <v>4041</v>
      </c>
      <c r="R56" s="3177">
        <v>3.1</v>
      </c>
      <c r="S56" s="3177" t="s">
        <v>3800</v>
      </c>
      <c r="T56" s="3179">
        <v>6</v>
      </c>
      <c r="U56" s="3179">
        <v>0.95709999999999995</v>
      </c>
      <c r="V56" s="3179">
        <v>1.2158</v>
      </c>
      <c r="W56" s="3179">
        <v>40354.68</v>
      </c>
      <c r="X56" s="3180">
        <f t="shared" si="2"/>
        <v>16537</v>
      </c>
      <c r="Y56" s="3181">
        <f t="shared" si="3"/>
        <v>16733</v>
      </c>
      <c r="Z56" s="3177">
        <v>2690.31</v>
      </c>
      <c r="AA56" s="3177">
        <v>13018</v>
      </c>
      <c r="AB56" s="3177">
        <v>13018</v>
      </c>
      <c r="AC56" s="3177">
        <v>0</v>
      </c>
      <c r="AD56" s="3177" t="s">
        <v>3838</v>
      </c>
      <c r="AE56" s="3177" t="s">
        <v>3969</v>
      </c>
      <c r="AF56" s="3177" t="s">
        <v>4042</v>
      </c>
      <c r="AG56" s="3177" t="s">
        <v>3852</v>
      </c>
      <c r="AH56" s="3177" t="s">
        <v>3815</v>
      </c>
      <c r="AI56" s="3177" t="s">
        <v>3832</v>
      </c>
    </row>
  </sheetData>
  <autoFilter ref="A1:AI56" xr:uid="{00000000-0009-0000-0000-000013000000}"/>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38" zoomScale="85" zoomScaleNormal="60" zoomScaleSheetLayoutView="85" workbookViewId="0">
      <selection activeCell="M17" sqref="M17"/>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6.21875" style="345" customWidth="1"/>
    <col min="8" max="8" width="12.21875" style="345" customWidth="1"/>
    <col min="9" max="9" width="16.7773437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f>F65</f>
        <v>1343</v>
      </c>
      <c r="C2" s="852"/>
      <c r="D2" s="852"/>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f>ROUND(IF(D3="",B2*10000/'数据-汇总表'!E3,B2*10000/D3),0)</f>
        <v>10894</v>
      </c>
      <c r="C3" s="193" t="s">
        <v>1869</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4.4">
      <c r="A4" s="343" t="s">
        <v>1769</v>
      </c>
      <c r="B4" s="344"/>
      <c r="C4" s="3448" t="s">
        <v>1770</v>
      </c>
      <c r="D4" s="3449"/>
      <c r="E4" s="3450" t="s">
        <v>1771</v>
      </c>
      <c r="F4" s="3451"/>
      <c r="G4" s="3448" t="s">
        <v>1772</v>
      </c>
      <c r="H4" s="3449"/>
      <c r="I4" s="3448" t="s">
        <v>1773</v>
      </c>
      <c r="J4" s="3449"/>
      <c r="K4" s="535" t="s">
        <v>1774</v>
      </c>
      <c r="L4" s="2484"/>
      <c r="M4" s="2485"/>
      <c r="N4" s="2485"/>
      <c r="O4" s="2485"/>
      <c r="P4" s="3452" t="s">
        <v>1775</v>
      </c>
      <c r="Q4" s="3453"/>
      <c r="R4" s="3435" t="s">
        <v>1771</v>
      </c>
      <c r="S4" s="3436"/>
      <c r="T4" s="3435" t="s">
        <v>1772</v>
      </c>
      <c r="U4" s="3436"/>
      <c r="V4" s="3460" t="s">
        <v>1773</v>
      </c>
      <c r="W4" s="3460"/>
      <c r="X4" s="1262"/>
      <c r="Y4" s="3435" t="s">
        <v>1775</v>
      </c>
      <c r="Z4" s="3436"/>
      <c r="AA4" s="3430" t="s">
        <v>1771</v>
      </c>
      <c r="AB4" s="3431" t="s">
        <v>1772</v>
      </c>
      <c r="AC4" s="3430" t="s">
        <v>1773</v>
      </c>
    </row>
    <row r="5" spans="1:29" ht="69.599999999999994" customHeight="1">
      <c r="A5" s="346"/>
      <c r="B5" s="347"/>
      <c r="C5" s="3441" t="s">
        <v>1673</v>
      </c>
      <c r="D5" s="3442"/>
      <c r="E5" s="3439" t="str">
        <f>土地案例!A15</f>
        <v>北京市海淀区温泉镇中心区F16地块0901商业用地</v>
      </c>
      <c r="F5" s="3440"/>
      <c r="G5" s="3441" t="str">
        <f>土地案例!A39</f>
        <v>北京市通州经济开发区西区南扩区 三、五、六期棚户区改造项目 FZX-1102-6002地块 F3其他类多功能用地</v>
      </c>
      <c r="H5" s="3442"/>
      <c r="I5" s="3441" t="str">
        <f>土地案例!A40</f>
        <v>北京市通州经济开发区西区南扩区三、五、六期棚户区改造项目FZX-1102-6219地块F3其他类多功能用地</v>
      </c>
      <c r="J5" s="3442"/>
      <c r="K5" s="535"/>
      <c r="L5" s="2484"/>
      <c r="M5" s="2485"/>
      <c r="N5" s="2485"/>
      <c r="O5" s="2485"/>
      <c r="P5" s="3454"/>
      <c r="Q5" s="3455"/>
      <c r="R5" s="3437"/>
      <c r="S5" s="3438"/>
      <c r="T5" s="3437"/>
      <c r="U5" s="3438"/>
      <c r="V5" s="3460"/>
      <c r="W5" s="3460"/>
      <c r="X5" s="1262"/>
      <c r="Y5" s="3437"/>
      <c r="Z5" s="3438"/>
      <c r="AA5" s="3431"/>
      <c r="AB5" s="3431"/>
      <c r="AC5" s="3431"/>
    </row>
    <row r="6" spans="1:29" ht="15" thickBot="1">
      <c r="A6" s="348"/>
      <c r="B6" s="349"/>
      <c r="C6" s="3443" t="s">
        <v>1677</v>
      </c>
      <c r="D6" s="3444"/>
      <c r="E6" s="3445" t="s">
        <v>1677</v>
      </c>
      <c r="F6" s="3446"/>
      <c r="G6" s="3443" t="s">
        <v>1677</v>
      </c>
      <c r="H6" s="3444"/>
      <c r="I6" s="3443" t="s">
        <v>1677</v>
      </c>
      <c r="J6" s="3444"/>
      <c r="K6" s="535" t="s">
        <v>1678</v>
      </c>
      <c r="L6" s="2484"/>
      <c r="M6" s="2485"/>
      <c r="N6" s="2485"/>
      <c r="O6" s="2485"/>
      <c r="P6" s="3456"/>
      <c r="Q6" s="3457"/>
      <c r="R6" s="3437"/>
      <c r="S6" s="3438"/>
      <c r="T6" s="3458"/>
      <c r="U6" s="3459"/>
      <c r="V6" s="3460"/>
      <c r="W6" s="3460"/>
      <c r="X6" s="1262"/>
      <c r="Y6" s="3458"/>
      <c r="Z6" s="3459"/>
      <c r="AA6" s="3432"/>
      <c r="AB6" s="3432"/>
      <c r="AC6" s="3432"/>
    </row>
    <row r="7" spans="1:29" s="102" customFormat="1" ht="15" thickBot="1">
      <c r="A7" s="350" t="s">
        <v>1679</v>
      </c>
      <c r="B7" s="351"/>
      <c r="C7" s="352">
        <f>'数据-取费表'!B2</f>
        <v>45728</v>
      </c>
      <c r="D7" s="353">
        <v>100</v>
      </c>
      <c r="E7" s="354" t="str">
        <f>土地案例!L15</f>
        <v>2024-05-28</v>
      </c>
      <c r="F7" s="355">
        <f>SUMIF(69:69,YEAR(E7)&amp;"-"&amp;INT((MONTH(E7)+2)/3),70:70)</f>
        <v>100</v>
      </c>
      <c r="G7" s="1819">
        <f>土地案例!L39</f>
        <v>44795.000497685185</v>
      </c>
      <c r="H7" s="353">
        <f>SUMIF(69:69,YEAR(G7)&amp;"-"&amp;INT((MONTH(G7)+2)/3),70:70)</f>
        <v>100</v>
      </c>
      <c r="I7" s="1819">
        <f>土地案例!L40</f>
        <v>44796.000497685185</v>
      </c>
      <c r="J7" s="353">
        <f>SUMIF(69:69,YEAR(I7)&amp;"-"&amp;INT((MONTH(I7)+2)/3),70:70)</f>
        <v>100</v>
      </c>
      <c r="K7" s="38"/>
      <c r="L7" s="2486"/>
      <c r="M7" s="2437"/>
      <c r="N7" s="2437"/>
      <c r="O7" s="2437"/>
      <c r="P7" s="3433" t="s">
        <v>1680</v>
      </c>
      <c r="Q7" s="3461"/>
      <c r="R7" s="662" t="s">
        <v>14</v>
      </c>
      <c r="S7" s="663">
        <f t="shared" ref="S7:S15" si="0">F7</f>
        <v>100</v>
      </c>
      <c r="T7" s="662" t="s">
        <v>14</v>
      </c>
      <c r="U7" s="663">
        <f t="shared" ref="U7:U15" si="1">H7</f>
        <v>100</v>
      </c>
      <c r="V7" s="662" t="s">
        <v>14</v>
      </c>
      <c r="W7" s="663">
        <f t="shared" ref="W7:W15" si="2">J7</f>
        <v>100</v>
      </c>
      <c r="X7" s="664"/>
      <c r="Y7" s="3433" t="s">
        <v>1680</v>
      </c>
      <c r="Z7" s="3434"/>
      <c r="AA7" s="50">
        <f>D7/F7</f>
        <v>1</v>
      </c>
      <c r="AB7" s="50">
        <f>D7/H7</f>
        <v>1</v>
      </c>
      <c r="AC7" s="50">
        <f>D7/J7</f>
        <v>1</v>
      </c>
    </row>
    <row r="8" spans="1:29" s="102" customFormat="1" ht="15" thickBot="1">
      <c r="A8" s="350" t="s">
        <v>1681</v>
      </c>
      <c r="B8" s="351"/>
      <c r="C8" s="356" t="s">
        <v>1682</v>
      </c>
      <c r="D8" s="353">
        <v>100</v>
      </c>
      <c r="E8" s="356" t="s">
        <v>4043</v>
      </c>
      <c r="F8" s="355">
        <f>SUMIF(72:72,E8,73:73)-SUMIF(72:72,C8,73:73)+100</f>
        <v>100</v>
      </c>
      <c r="G8" s="356" t="s">
        <v>4043</v>
      </c>
      <c r="H8" s="353">
        <f>SUMIF(72:72,G8,73:73)-SUMIF(72:72,C8,73:73)+100</f>
        <v>100</v>
      </c>
      <c r="I8" s="356" t="s">
        <v>4043</v>
      </c>
      <c r="J8" s="353">
        <f>SUMIF(72:72,I8,73:73)-SUMIF(72:72,C8,73:73)+100</f>
        <v>100</v>
      </c>
      <c r="K8" s="38"/>
      <c r="L8" s="2486"/>
      <c r="M8" s="2437"/>
      <c r="N8" s="2437"/>
      <c r="O8" s="2437"/>
      <c r="P8" s="3433" t="s">
        <v>1683</v>
      </c>
      <c r="Q8" s="3434"/>
      <c r="R8" s="662" t="s">
        <v>14</v>
      </c>
      <c r="S8" s="663">
        <f t="shared" si="0"/>
        <v>100</v>
      </c>
      <c r="T8" s="662" t="s">
        <v>14</v>
      </c>
      <c r="U8" s="663">
        <f t="shared" si="1"/>
        <v>100</v>
      </c>
      <c r="V8" s="662" t="s">
        <v>14</v>
      </c>
      <c r="W8" s="663">
        <f t="shared" si="2"/>
        <v>100</v>
      </c>
      <c r="X8" s="664"/>
      <c r="Y8" s="3433" t="s">
        <v>1683</v>
      </c>
      <c r="Z8" s="3434"/>
      <c r="AA8" s="50">
        <f t="shared" ref="AA8:AA45" si="3">D8/F8</f>
        <v>1</v>
      </c>
      <c r="AB8" s="50">
        <f t="shared" ref="AB8:AB45" si="4">D8/H8</f>
        <v>1</v>
      </c>
      <c r="AC8" s="50">
        <f t="shared" ref="AC8:AC45" si="5">D8/J8</f>
        <v>1</v>
      </c>
    </row>
    <row r="9" spans="1:29" s="102" customFormat="1" ht="27.6">
      <c r="A9" s="357" t="s">
        <v>1684</v>
      </c>
      <c r="B9" s="60" t="s">
        <v>1685</v>
      </c>
      <c r="C9" s="1822" t="s">
        <v>4054</v>
      </c>
      <c r="D9" s="59">
        <v>100</v>
      </c>
      <c r="E9" s="1822" t="s">
        <v>3570</v>
      </c>
      <c r="F9" s="59">
        <f>SUMIF(74:74,E9,75:75)-SUMIF(74:74,C9,75:75)+100</f>
        <v>102</v>
      </c>
      <c r="G9" s="1822" t="s">
        <v>3514</v>
      </c>
      <c r="H9" s="59">
        <f>SUMIF(74:74,G9,75:75)-SUMIF(74:74,C9,75:75)+100</f>
        <v>100</v>
      </c>
      <c r="I9" s="1822" t="s">
        <v>3514</v>
      </c>
      <c r="J9" s="59">
        <f>SUMIF(74:74,I9,75:75)-SUMIF(74:74,C9,75:75)+100</f>
        <v>100</v>
      </c>
      <c r="K9" s="38"/>
      <c r="L9" s="2486"/>
      <c r="M9" s="2437"/>
      <c r="N9" s="2437"/>
      <c r="O9" s="2538"/>
      <c r="P9" s="3465" t="s">
        <v>1686</v>
      </c>
      <c r="Q9" s="528" t="str">
        <f t="shared" ref="Q9:Q15" si="6">B9</f>
        <v>用途</v>
      </c>
      <c r="R9" s="662" t="s">
        <v>14</v>
      </c>
      <c r="S9" s="663">
        <f t="shared" si="0"/>
        <v>102</v>
      </c>
      <c r="T9" s="662" t="s">
        <v>14</v>
      </c>
      <c r="U9" s="663">
        <f t="shared" si="1"/>
        <v>100</v>
      </c>
      <c r="V9" s="662" t="s">
        <v>14</v>
      </c>
      <c r="W9" s="663">
        <f t="shared" si="2"/>
        <v>100</v>
      </c>
      <c r="X9" s="664"/>
      <c r="Y9" s="3377" t="s">
        <v>1687</v>
      </c>
      <c r="Z9" s="50" t="str">
        <f t="shared" ref="Z9:Z15" si="7">Q9</f>
        <v>用途</v>
      </c>
      <c r="AA9" s="50">
        <f t="shared" si="3"/>
        <v>0.98039215686274506</v>
      </c>
      <c r="AB9" s="50">
        <f t="shared" si="4"/>
        <v>1</v>
      </c>
      <c r="AC9" s="50">
        <f t="shared" si="5"/>
        <v>1</v>
      </c>
    </row>
    <row r="10" spans="1:29" s="364" customFormat="1" ht="28.8">
      <c r="A10" s="361"/>
      <c r="B10" s="362" t="s">
        <v>1688</v>
      </c>
      <c r="C10" s="369">
        <f>项目基本情况!E15</f>
        <v>35.17</v>
      </c>
      <c r="D10" s="117">
        <v>100</v>
      </c>
      <c r="E10" s="401" t="s">
        <v>4066</v>
      </c>
      <c r="F10" s="117">
        <f>ROUND(100/'数据-取费表'!G16,0)</f>
        <v>110</v>
      </c>
      <c r="G10" s="400" t="s">
        <v>4066</v>
      </c>
      <c r="H10" s="117">
        <f>ROUND(100/'数据-取费表'!G16,0)</f>
        <v>110</v>
      </c>
      <c r="I10" s="400" t="s">
        <v>4066</v>
      </c>
      <c r="J10" s="117">
        <f>ROUND(100/'数据-取费表'!G16,0)</f>
        <v>110</v>
      </c>
      <c r="K10" s="590"/>
      <c r="L10" s="2487"/>
      <c r="M10" s="2488"/>
      <c r="N10" s="2488"/>
      <c r="O10" s="2539"/>
      <c r="P10" s="3465"/>
      <c r="Q10" s="528" t="str">
        <f t="shared" si="6"/>
        <v>土地使用年限（年）</v>
      </c>
      <c r="R10" s="662" t="s">
        <v>14</v>
      </c>
      <c r="S10" s="663">
        <f t="shared" si="0"/>
        <v>110</v>
      </c>
      <c r="T10" s="662" t="s">
        <v>14</v>
      </c>
      <c r="U10" s="663">
        <f t="shared" si="1"/>
        <v>110</v>
      </c>
      <c r="V10" s="662" t="s">
        <v>14</v>
      </c>
      <c r="W10" s="663">
        <f t="shared" si="2"/>
        <v>110</v>
      </c>
      <c r="X10" s="664"/>
      <c r="Y10" s="3377"/>
      <c r="Z10" s="50" t="str">
        <f t="shared" si="7"/>
        <v>土地使用年限（年）</v>
      </c>
      <c r="AA10" s="50">
        <f t="shared" si="3"/>
        <v>0.90909090909090906</v>
      </c>
      <c r="AB10" s="50">
        <f t="shared" si="4"/>
        <v>0.90909090909090906</v>
      </c>
      <c r="AC10" s="50">
        <f t="shared" si="5"/>
        <v>0.90909090909090906</v>
      </c>
    </row>
    <row r="11" spans="1:29" ht="15">
      <c r="A11" s="365"/>
      <c r="B11" s="362" t="s">
        <v>1689</v>
      </c>
      <c r="C11" s="366">
        <v>1</v>
      </c>
      <c r="D11" s="117">
        <v>100</v>
      </c>
      <c r="E11" s="366">
        <f>土地案例!R15</f>
        <v>1</v>
      </c>
      <c r="F11" s="117">
        <f>LOOKUP(E11,79:79,80:80)-LOOKUP(C11,79:79,80:80)+100</f>
        <v>100</v>
      </c>
      <c r="G11" s="367">
        <v>2.2000000000000002</v>
      </c>
      <c r="H11" s="117">
        <f>LOOKUP(G11,79:79,80:80)-LOOKUP(C11,79:79,80:80)+100</f>
        <v>98</v>
      </c>
      <c r="I11" s="366">
        <v>2.2000000000000002</v>
      </c>
      <c r="J11" s="117">
        <f>LOOKUP(I11,79:79,80:80)-LOOKUP(C11,79:79,80:80)+100</f>
        <v>98</v>
      </c>
      <c r="K11" s="591">
        <v>2</v>
      </c>
      <c r="L11" s="2489"/>
      <c r="M11" s="2485"/>
      <c r="N11" s="2485"/>
      <c r="O11" s="2540"/>
      <c r="P11" s="3465"/>
      <c r="Q11" s="528" t="str">
        <f t="shared" si="6"/>
        <v>容积率</v>
      </c>
      <c r="R11" s="662" t="s">
        <v>14</v>
      </c>
      <c r="S11" s="663">
        <f t="shared" si="0"/>
        <v>100</v>
      </c>
      <c r="T11" s="662" t="s">
        <v>14</v>
      </c>
      <c r="U11" s="663">
        <f t="shared" si="1"/>
        <v>98</v>
      </c>
      <c r="V11" s="662" t="s">
        <v>14</v>
      </c>
      <c r="W11" s="663">
        <f t="shared" si="2"/>
        <v>98</v>
      </c>
      <c r="X11" s="664"/>
      <c r="Y11" s="3377"/>
      <c r="Z11" s="50" t="str">
        <f t="shared" si="7"/>
        <v>容积率</v>
      </c>
      <c r="AA11" s="50">
        <f t="shared" si="3"/>
        <v>1</v>
      </c>
      <c r="AB11" s="50">
        <f t="shared" si="4"/>
        <v>1.0204081632653061</v>
      </c>
      <c r="AC11" s="50">
        <f t="shared" si="5"/>
        <v>1.0204081632653061</v>
      </c>
    </row>
    <row r="12" spans="1:29" s="102" customFormat="1" ht="15" hidden="1">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6"/>
      <c r="M12" s="2437"/>
      <c r="N12" s="2437"/>
      <c r="O12" s="2538"/>
      <c r="P12" s="3465"/>
      <c r="Q12" s="528" t="str">
        <f t="shared" si="6"/>
        <v>配建</v>
      </c>
      <c r="R12" s="662" t="s">
        <v>14</v>
      </c>
      <c r="S12" s="663">
        <f t="shared" si="0"/>
        <v>100</v>
      </c>
      <c r="T12" s="662" t="s">
        <v>14</v>
      </c>
      <c r="U12" s="663">
        <f t="shared" si="1"/>
        <v>100</v>
      </c>
      <c r="V12" s="662" t="s">
        <v>14</v>
      </c>
      <c r="W12" s="663">
        <f t="shared" si="2"/>
        <v>100</v>
      </c>
      <c r="X12" s="664"/>
      <c r="Y12" s="3377"/>
      <c r="Z12" s="50" t="str">
        <f t="shared" si="7"/>
        <v>配建</v>
      </c>
      <c r="AA12" s="50">
        <f>D12/F12</f>
        <v>1</v>
      </c>
      <c r="AB12" s="50">
        <f>D12/H12</f>
        <v>1</v>
      </c>
      <c r="AC12" s="50">
        <f>D12/J12</f>
        <v>1</v>
      </c>
    </row>
    <row r="13" spans="1:29" ht="15" hidden="1">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90"/>
      <c r="M13" s="2485"/>
      <c r="N13" s="2485"/>
      <c r="O13" s="2540"/>
      <c r="P13" s="3465"/>
      <c r="Q13" s="528">
        <f t="shared" si="6"/>
        <v>111</v>
      </c>
      <c r="R13" s="662" t="s">
        <v>14</v>
      </c>
      <c r="S13" s="663">
        <f t="shared" si="0"/>
        <v>100</v>
      </c>
      <c r="T13" s="662" t="s">
        <v>14</v>
      </c>
      <c r="U13" s="663">
        <f t="shared" si="1"/>
        <v>100</v>
      </c>
      <c r="V13" s="662" t="s">
        <v>14</v>
      </c>
      <c r="W13" s="663">
        <f t="shared" si="2"/>
        <v>100</v>
      </c>
      <c r="X13" s="664"/>
      <c r="Y13" s="3377"/>
      <c r="Z13" s="50">
        <f t="shared" si="7"/>
        <v>111</v>
      </c>
      <c r="AA13" s="50">
        <f>D13/F13</f>
        <v>1</v>
      </c>
      <c r="AB13" s="50">
        <f>D13/H13</f>
        <v>1</v>
      </c>
      <c r="AC13" s="50">
        <f>D13/J13</f>
        <v>1</v>
      </c>
    </row>
    <row r="14" spans="1:29" ht="15.6" hidden="1"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90"/>
      <c r="M14" s="2485"/>
      <c r="N14" s="2485"/>
      <c r="O14" s="2540"/>
      <c r="P14" s="3465"/>
      <c r="Q14" s="528">
        <f t="shared" si="6"/>
        <v>111</v>
      </c>
      <c r="R14" s="662" t="s">
        <v>14</v>
      </c>
      <c r="S14" s="663">
        <f t="shared" si="0"/>
        <v>100</v>
      </c>
      <c r="T14" s="662" t="s">
        <v>14</v>
      </c>
      <c r="U14" s="663">
        <f t="shared" si="1"/>
        <v>100</v>
      </c>
      <c r="V14" s="662" t="s">
        <v>14</v>
      </c>
      <c r="W14" s="663">
        <f t="shared" si="2"/>
        <v>100</v>
      </c>
      <c r="X14" s="664"/>
      <c r="Y14" s="3377"/>
      <c r="Z14" s="50">
        <f t="shared" si="7"/>
        <v>111</v>
      </c>
      <c r="AA14" s="50">
        <f>D14/F14</f>
        <v>1</v>
      </c>
      <c r="AB14" s="50">
        <f>D14/H14</f>
        <v>1</v>
      </c>
      <c r="AC14" s="50">
        <f>D14/J14</f>
        <v>1</v>
      </c>
    </row>
    <row r="15" spans="1:29" ht="15" hidden="1">
      <c r="A15" s="377" t="s">
        <v>1690</v>
      </c>
      <c r="B15" s="58" t="s">
        <v>1257</v>
      </c>
      <c r="C15" s="1747">
        <f>估价对象房地状况!C15</f>
        <v>0</v>
      </c>
      <c r="D15" s="378">
        <v>100</v>
      </c>
      <c r="E15" s="379"/>
      <c r="F15" s="378">
        <f>SUMIF(87:87,E16,88:88)-SUMIF(87:87,C16,88:88)+100</f>
        <v>100</v>
      </c>
      <c r="G15" s="379"/>
      <c r="H15" s="378">
        <f>SUMIF(87:87,G16,88:88)-SUMIF(87:87,C16,88:88)+100</f>
        <v>100</v>
      </c>
      <c r="I15" s="381"/>
      <c r="J15" s="378">
        <f>SUMIF(87:87,I16,88:88)-SUMIF(87:87,C16,88:88)+100</f>
        <v>100</v>
      </c>
      <c r="K15" s="591">
        <v>2</v>
      </c>
      <c r="L15" s="2490"/>
      <c r="M15" s="2485"/>
      <c r="N15" s="2485"/>
      <c r="O15" s="2540"/>
      <c r="P15" s="3466" t="s">
        <v>1691</v>
      </c>
      <c r="Q15" s="1260" t="str">
        <f t="shared" si="6"/>
        <v>居住社区成熟度</v>
      </c>
      <c r="R15" s="665" t="s">
        <v>14</v>
      </c>
      <c r="S15" s="666">
        <f t="shared" si="0"/>
        <v>100</v>
      </c>
      <c r="T15" s="665" t="s">
        <v>14</v>
      </c>
      <c r="U15" s="666">
        <f t="shared" si="1"/>
        <v>100</v>
      </c>
      <c r="V15" s="665" t="s">
        <v>14</v>
      </c>
      <c r="W15" s="666">
        <f t="shared" si="2"/>
        <v>100</v>
      </c>
      <c r="X15" s="1262"/>
      <c r="Y15" s="3466" t="s">
        <v>1691</v>
      </c>
      <c r="Z15" s="1261" t="str">
        <f t="shared" si="7"/>
        <v>居住社区成熟度</v>
      </c>
      <c r="AA15" s="1261">
        <f t="shared" si="3"/>
        <v>1</v>
      </c>
      <c r="AB15" s="1261">
        <f t="shared" si="4"/>
        <v>1</v>
      </c>
      <c r="AC15" s="1261">
        <f t="shared" si="5"/>
        <v>1</v>
      </c>
    </row>
    <row r="16" spans="1:29" ht="15" hidden="1">
      <c r="A16" s="365"/>
      <c r="B16" s="383"/>
      <c r="C16" s="384"/>
      <c r="D16" s="385"/>
      <c r="E16" s="384"/>
      <c r="F16" s="385"/>
      <c r="G16" s="384"/>
      <c r="H16" s="387"/>
      <c r="I16" s="384"/>
      <c r="J16" s="385"/>
      <c r="K16" s="590"/>
      <c r="L16" s="2490"/>
      <c r="M16" s="2485"/>
      <c r="N16" s="2485"/>
      <c r="O16" s="2540"/>
      <c r="P16" s="3467"/>
      <c r="Q16" s="1260"/>
      <c r="R16" s="665"/>
      <c r="S16" s="666"/>
      <c r="T16" s="665"/>
      <c r="U16" s="666"/>
      <c r="V16" s="665"/>
      <c r="W16" s="666"/>
      <c r="X16" s="1262"/>
      <c r="Y16" s="3467"/>
      <c r="Z16" s="1261"/>
      <c r="AA16" s="1261">
        <v>1</v>
      </c>
      <c r="AB16" s="1261">
        <v>1</v>
      </c>
      <c r="AC16" s="1261">
        <v>1</v>
      </c>
    </row>
    <row r="17" spans="1:29" ht="15">
      <c r="A17" s="365"/>
      <c r="B17" s="388" t="s">
        <v>1777</v>
      </c>
      <c r="C17" s="1803">
        <f>估价对象房地状况!C16</f>
        <v>0</v>
      </c>
      <c r="D17" s="387">
        <v>100</v>
      </c>
      <c r="E17" s="389"/>
      <c r="F17" s="387">
        <f>SUMIF(89:89,E18,90:90)-SUMIF(89:89,C18,90:90)+100</f>
        <v>100</v>
      </c>
      <c r="G17" s="389"/>
      <c r="H17" s="392">
        <f>SUMIF(89:89,G18,90:90)-SUMIF(89:89,C18,90:90)+100</f>
        <v>100</v>
      </c>
      <c r="I17" s="391"/>
      <c r="J17" s="392">
        <f>SUMIF(89:89,I18,90:90)-SUMIF(89:89,C18,90:90)+100</f>
        <v>100</v>
      </c>
      <c r="K17" s="591">
        <v>2</v>
      </c>
      <c r="L17" s="2490"/>
      <c r="M17" s="2485"/>
      <c r="N17" s="2485"/>
      <c r="O17" s="2540"/>
      <c r="P17" s="3467"/>
      <c r="Q17" s="1260" t="str">
        <f>B17</f>
        <v>商业繁华度</v>
      </c>
      <c r="R17" s="665" t="s">
        <v>14</v>
      </c>
      <c r="S17" s="666">
        <f>F17</f>
        <v>100</v>
      </c>
      <c r="T17" s="665" t="s">
        <v>14</v>
      </c>
      <c r="U17" s="666">
        <f>H17</f>
        <v>100</v>
      </c>
      <c r="V17" s="665" t="s">
        <v>14</v>
      </c>
      <c r="W17" s="666">
        <f>J17</f>
        <v>100</v>
      </c>
      <c r="X17" s="1262"/>
      <c r="Y17" s="3467"/>
      <c r="Z17" s="1261" t="str">
        <f>Q17</f>
        <v>商业繁华度</v>
      </c>
      <c r="AA17" s="1261">
        <f t="shared" si="3"/>
        <v>1</v>
      </c>
      <c r="AB17" s="1261">
        <f t="shared" si="4"/>
        <v>1</v>
      </c>
      <c r="AC17" s="1261">
        <f t="shared" si="5"/>
        <v>1</v>
      </c>
    </row>
    <row r="18" spans="1:29" ht="15">
      <c r="A18" s="365"/>
      <c r="B18" s="393"/>
      <c r="C18" s="1752" t="s">
        <v>3496</v>
      </c>
      <c r="D18" s="387"/>
      <c r="E18" s="1752" t="s">
        <v>3496</v>
      </c>
      <c r="F18" s="387"/>
      <c r="G18" s="1752" t="s">
        <v>3496</v>
      </c>
      <c r="H18" s="385"/>
      <c r="I18" s="1752" t="s">
        <v>3496</v>
      </c>
      <c r="J18" s="385"/>
      <c r="K18" s="590"/>
      <c r="L18" s="2490"/>
      <c r="M18" s="2485"/>
      <c r="N18" s="2485"/>
      <c r="O18" s="2540"/>
      <c r="P18" s="3467"/>
      <c r="Q18" s="1260"/>
      <c r="R18" s="665"/>
      <c r="S18" s="666"/>
      <c r="T18" s="665"/>
      <c r="U18" s="666"/>
      <c r="V18" s="665"/>
      <c r="W18" s="666"/>
      <c r="X18" s="1262"/>
      <c r="Y18" s="3467"/>
      <c r="Z18" s="1261"/>
      <c r="AA18" s="1261">
        <v>1</v>
      </c>
      <c r="AB18" s="1261">
        <v>1</v>
      </c>
      <c r="AC18" s="1261">
        <v>1</v>
      </c>
    </row>
    <row r="19" spans="1:29" ht="15">
      <c r="A19" s="365"/>
      <c r="B19" s="388" t="s">
        <v>1811</v>
      </c>
      <c r="C19" s="1803">
        <f>估价对象房地状况!C17</f>
        <v>0</v>
      </c>
      <c r="D19" s="392">
        <v>100</v>
      </c>
      <c r="E19" s="394"/>
      <c r="F19" s="392">
        <f>SUMIF(91:91,E20,92:92)-SUMIF(91:91,C20,92:92)+100</f>
        <v>100</v>
      </c>
      <c r="G19" s="394"/>
      <c r="H19" s="387">
        <f>SUMIF(91:91,G20,92:92)-SUMIF(91:91,C20,92:92)+100</f>
        <v>100</v>
      </c>
      <c r="I19" s="396"/>
      <c r="J19" s="387">
        <f>SUMIF(91:91,I20,92:92)-SUMIF(91:91,C20,92:92)+100</f>
        <v>100</v>
      </c>
      <c r="K19" s="591">
        <v>2</v>
      </c>
      <c r="L19" s="2490"/>
      <c r="M19" s="2485"/>
      <c r="N19" s="2485"/>
      <c r="O19" s="2540"/>
      <c r="P19" s="3467"/>
      <c r="Q19" s="1260" t="str">
        <f>B19</f>
        <v>办公集聚程度</v>
      </c>
      <c r="R19" s="665" t="s">
        <v>14</v>
      </c>
      <c r="S19" s="666">
        <f>F19</f>
        <v>100</v>
      </c>
      <c r="T19" s="665" t="s">
        <v>14</v>
      </c>
      <c r="U19" s="666">
        <f>H19</f>
        <v>100</v>
      </c>
      <c r="V19" s="665" t="s">
        <v>14</v>
      </c>
      <c r="W19" s="666">
        <f>J19</f>
        <v>100</v>
      </c>
      <c r="X19" s="1262"/>
      <c r="Y19" s="3467"/>
      <c r="Z19" s="1261" t="str">
        <f>Q19</f>
        <v>办公集聚程度</v>
      </c>
      <c r="AA19" s="1261">
        <f t="shared" si="3"/>
        <v>1</v>
      </c>
      <c r="AB19" s="1261">
        <f t="shared" si="4"/>
        <v>1</v>
      </c>
      <c r="AC19" s="1261">
        <f t="shared" si="5"/>
        <v>1</v>
      </c>
    </row>
    <row r="20" spans="1:29" ht="15">
      <c r="A20" s="365"/>
      <c r="B20" s="393"/>
      <c r="C20" s="1752" t="s">
        <v>3496</v>
      </c>
      <c r="D20" s="385"/>
      <c r="E20" s="1752" t="s">
        <v>3496</v>
      </c>
      <c r="F20" s="385"/>
      <c r="G20" s="1752" t="s">
        <v>3496</v>
      </c>
      <c r="H20" s="385"/>
      <c r="I20" s="1752" t="s">
        <v>3496</v>
      </c>
      <c r="J20" s="385"/>
      <c r="K20" s="590"/>
      <c r="L20" s="2490"/>
      <c r="M20" s="2485"/>
      <c r="N20" s="2485"/>
      <c r="O20" s="2540"/>
      <c r="P20" s="3467"/>
      <c r="Q20" s="1260"/>
      <c r="R20" s="665"/>
      <c r="S20" s="666"/>
      <c r="T20" s="665"/>
      <c r="U20" s="666"/>
      <c r="V20" s="665"/>
      <c r="W20" s="666"/>
      <c r="X20" s="1262"/>
      <c r="Y20" s="3467"/>
      <c r="Z20" s="1261"/>
      <c r="AA20" s="1261">
        <v>1</v>
      </c>
      <c r="AB20" s="1261">
        <v>1</v>
      </c>
      <c r="AC20" s="1261">
        <v>1</v>
      </c>
    </row>
    <row r="21" spans="1:29" ht="15">
      <c r="A21" s="365"/>
      <c r="B21" s="388" t="s">
        <v>1833</v>
      </c>
      <c r="C21" s="1751">
        <f>估价对象房地状况!C18</f>
        <v>0</v>
      </c>
      <c r="D21" s="387">
        <v>100</v>
      </c>
      <c r="E21" s="389"/>
      <c r="F21" s="392">
        <f>SUMIF(93:93,E22,94:94)-SUMIF(93:93,C22,94:94)+100</f>
        <v>100</v>
      </c>
      <c r="G21" s="389"/>
      <c r="H21" s="387">
        <f>SUMIF(93:93,G22,94:94)-SUMIF(93:93,C22,94:94)+100</f>
        <v>100</v>
      </c>
      <c r="I21" s="391"/>
      <c r="J21" s="387">
        <f>SUMIF(93:93,I22,94:94)-SUMIF(93:93,C22,94:94)+100</f>
        <v>100</v>
      </c>
      <c r="K21" s="591">
        <v>2</v>
      </c>
      <c r="L21" s="2490"/>
      <c r="M21" s="2485"/>
      <c r="N21" s="2485"/>
      <c r="O21" s="2540"/>
      <c r="P21" s="3467"/>
      <c r="Q21" s="1260" t="str">
        <f>B21</f>
        <v>交通便捷度</v>
      </c>
      <c r="R21" s="665" t="s">
        <v>14</v>
      </c>
      <c r="S21" s="666">
        <f>F21</f>
        <v>100</v>
      </c>
      <c r="T21" s="665" t="s">
        <v>14</v>
      </c>
      <c r="U21" s="666">
        <f>H21</f>
        <v>100</v>
      </c>
      <c r="V21" s="665" t="s">
        <v>14</v>
      </c>
      <c r="W21" s="666">
        <f>J21</f>
        <v>100</v>
      </c>
      <c r="X21" s="1262"/>
      <c r="Y21" s="3467"/>
      <c r="Z21" s="1261" t="str">
        <f>Q21</f>
        <v>交通便捷度</v>
      </c>
      <c r="AA21" s="1261">
        <f t="shared" si="3"/>
        <v>1</v>
      </c>
      <c r="AB21" s="1261">
        <f t="shared" si="4"/>
        <v>1</v>
      </c>
      <c r="AC21" s="1261">
        <f t="shared" si="5"/>
        <v>1</v>
      </c>
    </row>
    <row r="22" spans="1:29" ht="15">
      <c r="A22" s="365"/>
      <c r="B22" s="584"/>
      <c r="C22" s="1752" t="s">
        <v>3496</v>
      </c>
      <c r="D22" s="387"/>
      <c r="E22" s="1752" t="s">
        <v>3496</v>
      </c>
      <c r="F22" s="385"/>
      <c r="G22" s="1752" t="s">
        <v>3496</v>
      </c>
      <c r="H22" s="385"/>
      <c r="I22" s="1752" t="s">
        <v>3496</v>
      </c>
      <c r="J22" s="385"/>
      <c r="K22" s="590"/>
      <c r="L22" s="2490"/>
      <c r="M22" s="2485"/>
      <c r="N22" s="2485"/>
      <c r="O22" s="2540"/>
      <c r="P22" s="3467"/>
      <c r="Q22" s="1260"/>
      <c r="R22" s="665"/>
      <c r="S22" s="666"/>
      <c r="T22" s="665"/>
      <c r="U22" s="666"/>
      <c r="V22" s="665"/>
      <c r="W22" s="666"/>
      <c r="X22" s="1262"/>
      <c r="Y22" s="3467"/>
      <c r="Z22" s="1261"/>
      <c r="AA22" s="1261">
        <v>1</v>
      </c>
      <c r="AB22" s="1261">
        <v>1</v>
      </c>
      <c r="AC22" s="1261">
        <v>1</v>
      </c>
    </row>
    <row r="23" spans="1:29" ht="28.8">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2</v>
      </c>
      <c r="L23" s="2490"/>
      <c r="M23" s="2485"/>
      <c r="N23" s="2485"/>
      <c r="O23" s="2540"/>
      <c r="P23" s="3467"/>
      <c r="Q23" s="1260" t="str">
        <f t="shared" ref="Q23:Q37" si="8">B23</f>
        <v>区域土地利用方向</v>
      </c>
      <c r="R23" s="665" t="s">
        <v>14</v>
      </c>
      <c r="S23" s="666">
        <f>F23</f>
        <v>100</v>
      </c>
      <c r="T23" s="665" t="s">
        <v>14</v>
      </c>
      <c r="U23" s="666">
        <f>H23</f>
        <v>100</v>
      </c>
      <c r="V23" s="665" t="s">
        <v>14</v>
      </c>
      <c r="W23" s="666">
        <f>J23</f>
        <v>100</v>
      </c>
      <c r="X23" s="1262"/>
      <c r="Y23" s="3467"/>
      <c r="Z23" s="1261" t="str">
        <f>Q23</f>
        <v>区域土地利用方向</v>
      </c>
      <c r="AA23" s="1261">
        <f t="shared" si="3"/>
        <v>1</v>
      </c>
      <c r="AB23" s="1261">
        <f t="shared" si="4"/>
        <v>1</v>
      </c>
      <c r="AC23" s="1261">
        <f t="shared" si="5"/>
        <v>1</v>
      </c>
    </row>
    <row r="24" spans="1:29" ht="15">
      <c r="A24" s="346"/>
      <c r="B24" s="393"/>
      <c r="C24" s="540" t="s">
        <v>3497</v>
      </c>
      <c r="D24" s="385"/>
      <c r="E24" s="540" t="s">
        <v>3497</v>
      </c>
      <c r="F24" s="385"/>
      <c r="G24" s="540" t="s">
        <v>3497</v>
      </c>
      <c r="H24" s="385"/>
      <c r="I24" s="540" t="s">
        <v>3497</v>
      </c>
      <c r="J24" s="385"/>
      <c r="K24" s="696"/>
      <c r="L24" s="2490"/>
      <c r="M24" s="2485"/>
      <c r="N24" s="2485"/>
      <c r="O24" s="2540"/>
      <c r="P24" s="3467"/>
      <c r="Q24" s="1260"/>
      <c r="R24" s="665"/>
      <c r="S24" s="666"/>
      <c r="T24" s="665"/>
      <c r="U24" s="666"/>
      <c r="V24" s="665"/>
      <c r="W24" s="666"/>
      <c r="X24" s="1262"/>
      <c r="Y24" s="3467"/>
      <c r="Z24" s="1261"/>
      <c r="AA24" s="1261"/>
      <c r="AB24" s="1261"/>
      <c r="AC24" s="1261"/>
    </row>
    <row r="25" spans="1:29" ht="28.8">
      <c r="A25" s="346"/>
      <c r="B25" s="584" t="s">
        <v>1872</v>
      </c>
      <c r="C25" s="1803">
        <f>估价对象房地状况!C20</f>
        <v>0</v>
      </c>
      <c r="D25" s="387">
        <v>100</v>
      </c>
      <c r="E25" s="389"/>
      <c r="F25" s="387">
        <f>SUMIF(97:97,E26,98:98)-SUMIF(97:97,C26,98:98)+100</f>
        <v>100</v>
      </c>
      <c r="G25" s="389"/>
      <c r="H25" s="387">
        <f>SUMIF(97:97,G26,98:98)-SUMIF(97:97,C26,98:98)+100</f>
        <v>100</v>
      </c>
      <c r="I25" s="391"/>
      <c r="J25" s="387">
        <f>SUMIF(97:97,I26,98:98)-SUMIF(97:97,C26,98:98)+100</f>
        <v>100</v>
      </c>
      <c r="K25" s="591">
        <v>2</v>
      </c>
      <c r="L25" s="2490"/>
      <c r="M25" s="2485"/>
      <c r="N25" s="2485"/>
      <c r="O25" s="2540"/>
      <c r="P25" s="3467"/>
      <c r="Q25" s="1260" t="str">
        <f t="shared" si="8"/>
        <v>自然及人文环境状况</v>
      </c>
      <c r="R25" s="665" t="s">
        <v>14</v>
      </c>
      <c r="S25" s="666">
        <f>F25</f>
        <v>100</v>
      </c>
      <c r="T25" s="665" t="s">
        <v>14</v>
      </c>
      <c r="U25" s="666">
        <f>H25</f>
        <v>100</v>
      </c>
      <c r="V25" s="665" t="s">
        <v>14</v>
      </c>
      <c r="W25" s="666">
        <f>J25</f>
        <v>100</v>
      </c>
      <c r="X25" s="1262"/>
      <c r="Y25" s="3467"/>
      <c r="Z25" s="1261" t="str">
        <f>Q25</f>
        <v>自然及人文环境状况</v>
      </c>
      <c r="AA25" s="1261">
        <f t="shared" si="3"/>
        <v>1</v>
      </c>
      <c r="AB25" s="1261">
        <f t="shared" si="4"/>
        <v>1</v>
      </c>
      <c r="AC25" s="1261">
        <f t="shared" si="5"/>
        <v>1</v>
      </c>
    </row>
    <row r="26" spans="1:29" ht="15">
      <c r="A26" s="346"/>
      <c r="B26" s="393"/>
      <c r="C26" s="384" t="s">
        <v>3497</v>
      </c>
      <c r="D26" s="385"/>
      <c r="E26" s="1755" t="s">
        <v>3497</v>
      </c>
      <c r="F26" s="385"/>
      <c r="G26" s="1755" t="s">
        <v>3497</v>
      </c>
      <c r="H26" s="385"/>
      <c r="I26" s="1755" t="s">
        <v>3497</v>
      </c>
      <c r="J26" s="385"/>
      <c r="K26" s="590"/>
      <c r="L26" s="2490"/>
      <c r="M26" s="2485"/>
      <c r="N26" s="2485"/>
      <c r="O26" s="2540"/>
      <c r="P26" s="3467"/>
      <c r="Q26" s="1260"/>
      <c r="R26" s="665"/>
      <c r="S26" s="666"/>
      <c r="T26" s="665"/>
      <c r="U26" s="666"/>
      <c r="V26" s="665"/>
      <c r="W26" s="666"/>
      <c r="X26" s="1262"/>
      <c r="Y26" s="3467"/>
      <c r="Z26" s="1261"/>
      <c r="AA26" s="1261">
        <v>1</v>
      </c>
      <c r="AB26" s="1261">
        <v>1</v>
      </c>
      <c r="AC26" s="1261">
        <v>1</v>
      </c>
    </row>
    <row r="27" spans="1:29" s="102" customFormat="1" ht="15">
      <c r="A27" s="441"/>
      <c r="B27" s="584" t="s">
        <v>1778</v>
      </c>
      <c r="C27" s="1751">
        <f>估价对象房地状况!C21</f>
        <v>0</v>
      </c>
      <c r="D27" s="387">
        <v>100</v>
      </c>
      <c r="E27" s="389"/>
      <c r="F27" s="387">
        <f>SUMIF(99:99,E28,100:100)-SUMIF(99:99,C28,100:100)+100</f>
        <v>100</v>
      </c>
      <c r="G27" s="389"/>
      <c r="H27" s="387">
        <f>SUMIF(99:99,G28,100:100)-SUMIF(99:99,C28,100:100)+100</f>
        <v>100</v>
      </c>
      <c r="I27" s="391"/>
      <c r="J27" s="387">
        <f>SUMIF(99:99,I28,100:100)-SUMIF(99:99,C28,100:100)+100</f>
        <v>100</v>
      </c>
      <c r="K27" s="591">
        <v>2</v>
      </c>
      <c r="L27" s="2486"/>
      <c r="M27" s="2437"/>
      <c r="N27" s="2437"/>
      <c r="O27" s="2538"/>
      <c r="P27" s="3467"/>
      <c r="Q27" s="528" t="str">
        <f t="shared" si="8"/>
        <v>公共配套设施</v>
      </c>
      <c r="R27" s="662" t="s">
        <v>14</v>
      </c>
      <c r="S27" s="663">
        <f>F27</f>
        <v>100</v>
      </c>
      <c r="T27" s="662" t="s">
        <v>14</v>
      </c>
      <c r="U27" s="663">
        <f>H27</f>
        <v>100</v>
      </c>
      <c r="V27" s="662" t="s">
        <v>14</v>
      </c>
      <c r="W27" s="663">
        <f>J27</f>
        <v>100</v>
      </c>
      <c r="X27" s="664"/>
      <c r="Y27" s="3467"/>
      <c r="Z27" s="50" t="str">
        <f>Q27</f>
        <v>公共配套设施</v>
      </c>
      <c r="AA27" s="1261">
        <f>D27/F27</f>
        <v>1</v>
      </c>
      <c r="AB27" s="1261">
        <f>D27/H27</f>
        <v>1</v>
      </c>
      <c r="AC27" s="1261">
        <f>D27/J27</f>
        <v>1</v>
      </c>
    </row>
    <row r="28" spans="1:29" s="102" customFormat="1" ht="15">
      <c r="A28" s="441"/>
      <c r="B28" s="393"/>
      <c r="C28" s="1823" t="s">
        <v>3497</v>
      </c>
      <c r="D28" s="385"/>
      <c r="E28" s="1823" t="s">
        <v>3497</v>
      </c>
      <c r="F28" s="385"/>
      <c r="G28" s="1823" t="s">
        <v>3497</v>
      </c>
      <c r="H28" s="385"/>
      <c r="I28" s="1823" t="s">
        <v>3497</v>
      </c>
      <c r="J28" s="385"/>
      <c r="K28" s="590"/>
      <c r="L28" s="2486"/>
      <c r="M28" s="2437"/>
      <c r="N28" s="2437"/>
      <c r="O28" s="2538"/>
      <c r="P28" s="3467"/>
      <c r="Q28" s="528"/>
      <c r="R28" s="662"/>
      <c r="S28" s="663"/>
      <c r="T28" s="662"/>
      <c r="U28" s="663"/>
      <c r="V28" s="662"/>
      <c r="W28" s="663"/>
      <c r="X28" s="664"/>
      <c r="Y28" s="3467"/>
      <c r="Z28" s="50"/>
      <c r="AA28" s="1261">
        <v>1</v>
      </c>
      <c r="AB28" s="1261">
        <v>1</v>
      </c>
      <c r="AC28" s="1261">
        <v>1</v>
      </c>
    </row>
    <row r="29" spans="1:29" s="102" customFormat="1" ht="15">
      <c r="A29" s="441"/>
      <c r="B29" s="584" t="s">
        <v>1779</v>
      </c>
      <c r="C29" s="1751">
        <f>估价对象房地状况!C22</f>
        <v>0</v>
      </c>
      <c r="D29" s="387">
        <v>100</v>
      </c>
      <c r="E29" s="389"/>
      <c r="F29" s="387">
        <f>SUMIF(101:101,E30,102:102)-SUMIF(101:101,C30,102:102)+100</f>
        <v>100</v>
      </c>
      <c r="G29" s="389"/>
      <c r="H29" s="387">
        <f>SUMIF(101:101,G30,102:102)-SUMIF(101:101,C30,102:102)+100</f>
        <v>100</v>
      </c>
      <c r="I29" s="391"/>
      <c r="J29" s="387">
        <f>SUMIF(101:101,I30,102:102)-SUMIF(101:101,C30,102:102)+100</f>
        <v>100</v>
      </c>
      <c r="K29" s="591">
        <v>2</v>
      </c>
      <c r="L29" s="2486"/>
      <c r="M29" s="2437"/>
      <c r="N29" s="2437"/>
      <c r="O29" s="2538"/>
      <c r="P29" s="3467"/>
      <c r="Q29" s="528" t="str">
        <f t="shared" ref="Q29" si="9">B29</f>
        <v>基础设施水平</v>
      </c>
      <c r="R29" s="662" t="s">
        <v>14</v>
      </c>
      <c r="S29" s="663">
        <f>F29</f>
        <v>100</v>
      </c>
      <c r="T29" s="662" t="s">
        <v>14</v>
      </c>
      <c r="U29" s="663">
        <f>H29</f>
        <v>100</v>
      </c>
      <c r="V29" s="662" t="s">
        <v>14</v>
      </c>
      <c r="W29" s="663">
        <f>J29</f>
        <v>100</v>
      </c>
      <c r="X29" s="664"/>
      <c r="Y29" s="3467"/>
      <c r="Z29" s="50" t="str">
        <f>Q29</f>
        <v>基础设施水平</v>
      </c>
      <c r="AA29" s="1261">
        <f>D29/F29</f>
        <v>1</v>
      </c>
      <c r="AB29" s="1261">
        <f>D29/H29</f>
        <v>1</v>
      </c>
      <c r="AC29" s="1261">
        <f>D29/J29</f>
        <v>1</v>
      </c>
    </row>
    <row r="30" spans="1:29" s="102" customFormat="1" ht="15.6" thickBot="1">
      <c r="A30" s="441"/>
      <c r="B30" s="393"/>
      <c r="C30" s="1823" t="s">
        <v>4056</v>
      </c>
      <c r="D30" s="385"/>
      <c r="E30" s="1823" t="s">
        <v>4056</v>
      </c>
      <c r="F30" s="385"/>
      <c r="G30" s="1823" t="s">
        <v>4056</v>
      </c>
      <c r="H30" s="385"/>
      <c r="I30" s="1823" t="s">
        <v>4056</v>
      </c>
      <c r="J30" s="385"/>
      <c r="K30" s="590"/>
      <c r="L30" s="2486"/>
      <c r="M30" s="2437"/>
      <c r="N30" s="2437"/>
      <c r="O30" s="2538"/>
      <c r="P30" s="3467"/>
      <c r="Q30" s="528"/>
      <c r="R30" s="662"/>
      <c r="S30" s="663"/>
      <c r="T30" s="662"/>
      <c r="U30" s="663"/>
      <c r="V30" s="662"/>
      <c r="W30" s="663"/>
      <c r="X30" s="664"/>
      <c r="Y30" s="3467"/>
      <c r="Z30" s="50"/>
      <c r="AA30" s="1261">
        <v>1</v>
      </c>
      <c r="AB30" s="1261">
        <v>1</v>
      </c>
      <c r="AC30" s="1261">
        <v>1</v>
      </c>
    </row>
    <row r="31" spans="1:29" ht="15" hidden="1">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90"/>
      <c r="M31" s="2485"/>
      <c r="N31" s="2485"/>
      <c r="O31" s="2540"/>
      <c r="P31" s="3467"/>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67"/>
      <c r="Z31" s="1261" t="str">
        <f t="shared" ref="Z31:Z45" si="13">Q31</f>
        <v>临街状况</v>
      </c>
      <c r="AA31" s="1261">
        <f t="shared" si="3"/>
        <v>1</v>
      </c>
      <c r="AB31" s="1261">
        <f t="shared" si="4"/>
        <v>1</v>
      </c>
      <c r="AC31" s="1261">
        <f t="shared" si="5"/>
        <v>1</v>
      </c>
    </row>
    <row r="32" spans="1:29" ht="28.8" hidden="1">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90"/>
      <c r="M32" s="2485"/>
      <c r="N32" s="2485"/>
      <c r="O32" s="2540"/>
      <c r="P32" s="3467"/>
      <c r="Q32" s="1260" t="str">
        <f t="shared" si="8"/>
        <v>毗邻道路的类型与等级</v>
      </c>
      <c r="R32" s="665" t="s">
        <v>14</v>
      </c>
      <c r="S32" s="666">
        <f t="shared" si="10"/>
        <v>100</v>
      </c>
      <c r="T32" s="665" t="s">
        <v>14</v>
      </c>
      <c r="U32" s="666">
        <f t="shared" si="11"/>
        <v>100</v>
      </c>
      <c r="V32" s="665" t="s">
        <v>14</v>
      </c>
      <c r="W32" s="666">
        <f t="shared" si="12"/>
        <v>100</v>
      </c>
      <c r="X32" s="1262"/>
      <c r="Y32" s="3467"/>
      <c r="Z32" s="1261" t="str">
        <f t="shared" si="13"/>
        <v>毗邻道路的类型与等级</v>
      </c>
      <c r="AA32" s="1261">
        <f t="shared" si="3"/>
        <v>1</v>
      </c>
      <c r="AB32" s="1261">
        <f t="shared" si="4"/>
        <v>1</v>
      </c>
      <c r="AC32" s="1261">
        <f t="shared" si="5"/>
        <v>1</v>
      </c>
    </row>
    <row r="33" spans="1:29" ht="15" hidden="1">
      <c r="A33" s="365"/>
      <c r="B33" s="393"/>
      <c r="C33" s="384"/>
      <c r="D33" s="385"/>
      <c r="E33" s="1755"/>
      <c r="F33" s="385"/>
      <c r="G33" s="1755"/>
      <c r="H33" s="385"/>
      <c r="I33" s="384"/>
      <c r="J33" s="385"/>
      <c r="K33" s="537"/>
      <c r="L33" s="2490"/>
      <c r="M33" s="2485"/>
      <c r="N33" s="2485"/>
      <c r="O33" s="2540"/>
      <c r="P33" s="3467"/>
      <c r="Q33" s="1260"/>
      <c r="R33" s="665"/>
      <c r="S33" s="666"/>
      <c r="T33" s="665"/>
      <c r="U33" s="666"/>
      <c r="V33" s="665"/>
      <c r="W33" s="666"/>
      <c r="X33" s="1262"/>
      <c r="Y33" s="3467"/>
      <c r="Z33" s="1261"/>
      <c r="AA33" s="1261">
        <v>1</v>
      </c>
      <c r="AB33" s="1261">
        <v>1</v>
      </c>
      <c r="AC33" s="1261">
        <v>1</v>
      </c>
    </row>
    <row r="34" spans="1:29" ht="15.6" hidden="1" thickBot="1">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90"/>
      <c r="M34" s="2485"/>
      <c r="N34" s="2485"/>
      <c r="O34" s="2540"/>
      <c r="P34" s="3467"/>
      <c r="Q34" s="1260" t="str">
        <f t="shared" si="8"/>
        <v>土地级别</v>
      </c>
      <c r="R34" s="665" t="s">
        <v>14</v>
      </c>
      <c r="S34" s="666">
        <f t="shared" si="10"/>
        <v>100</v>
      </c>
      <c r="T34" s="665" t="s">
        <v>14</v>
      </c>
      <c r="U34" s="666">
        <f t="shared" si="11"/>
        <v>100</v>
      </c>
      <c r="V34" s="665" t="s">
        <v>14</v>
      </c>
      <c r="W34" s="666">
        <f t="shared" si="12"/>
        <v>100</v>
      </c>
      <c r="X34" s="1262"/>
      <c r="Y34" s="3467"/>
      <c r="Z34" s="1261" t="str">
        <f t="shared" si="13"/>
        <v>土地级别</v>
      </c>
      <c r="AA34" s="1261">
        <f t="shared" si="3"/>
        <v>1</v>
      </c>
      <c r="AB34" s="1261">
        <f t="shared" si="4"/>
        <v>1</v>
      </c>
      <c r="AC34" s="1261">
        <f t="shared" si="5"/>
        <v>1</v>
      </c>
    </row>
    <row r="35" spans="1:29" ht="15" hidden="1">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90"/>
      <c r="M35" s="2485"/>
      <c r="N35" s="2485"/>
      <c r="O35" s="2540"/>
      <c r="P35" s="3467"/>
      <c r="Q35" s="1260">
        <f t="shared" si="8"/>
        <v>111</v>
      </c>
      <c r="R35" s="665" t="s">
        <v>14</v>
      </c>
      <c r="S35" s="666">
        <f t="shared" si="10"/>
        <v>100</v>
      </c>
      <c r="T35" s="665" t="s">
        <v>14</v>
      </c>
      <c r="U35" s="666">
        <f t="shared" si="11"/>
        <v>100</v>
      </c>
      <c r="V35" s="665" t="s">
        <v>14</v>
      </c>
      <c r="W35" s="666">
        <f t="shared" si="12"/>
        <v>100</v>
      </c>
      <c r="X35" s="1262"/>
      <c r="Y35" s="3467"/>
      <c r="Z35" s="1261">
        <f t="shared" si="13"/>
        <v>111</v>
      </c>
      <c r="AA35" s="1261">
        <f t="shared" si="3"/>
        <v>1</v>
      </c>
      <c r="AB35" s="1261">
        <f t="shared" si="4"/>
        <v>1</v>
      </c>
      <c r="AC35" s="1261">
        <f t="shared" si="5"/>
        <v>1</v>
      </c>
    </row>
    <row r="36" spans="1:29" ht="15" hidden="1">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90"/>
      <c r="M36" s="2485"/>
      <c r="N36" s="2485"/>
      <c r="O36" s="2540"/>
      <c r="P36" s="3490" t="s">
        <v>1696</v>
      </c>
      <c r="Q36" s="1260">
        <f t="shared" si="8"/>
        <v>111</v>
      </c>
      <c r="R36" s="665" t="s">
        <v>14</v>
      </c>
      <c r="S36" s="666">
        <f t="shared" si="10"/>
        <v>100</v>
      </c>
      <c r="T36" s="665" t="s">
        <v>14</v>
      </c>
      <c r="U36" s="666">
        <f t="shared" si="11"/>
        <v>100</v>
      </c>
      <c r="V36" s="665" t="s">
        <v>14</v>
      </c>
      <c r="W36" s="666">
        <f t="shared" si="12"/>
        <v>100</v>
      </c>
      <c r="X36" s="1262"/>
      <c r="Y36" s="3471" t="s">
        <v>1696</v>
      </c>
      <c r="Z36" s="1261">
        <f t="shared" si="13"/>
        <v>111</v>
      </c>
      <c r="AA36" s="1261">
        <f t="shared" si="3"/>
        <v>1</v>
      </c>
      <c r="AB36" s="1261">
        <f t="shared" si="4"/>
        <v>1</v>
      </c>
      <c r="AC36" s="1261">
        <f t="shared" si="5"/>
        <v>1</v>
      </c>
    </row>
    <row r="37" spans="1:29" s="406" customFormat="1" ht="15.6" hidden="1"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9"/>
      <c r="M37" s="2491"/>
      <c r="N37" s="2491"/>
      <c r="O37" s="2541"/>
      <c r="P37" s="3471"/>
      <c r="Q37" s="1260">
        <f t="shared" si="8"/>
        <v>111</v>
      </c>
      <c r="R37" s="667" t="s">
        <v>14</v>
      </c>
      <c r="S37" s="668">
        <f t="shared" si="10"/>
        <v>100</v>
      </c>
      <c r="T37" s="667" t="s">
        <v>14</v>
      </c>
      <c r="U37" s="668">
        <f t="shared" si="11"/>
        <v>100</v>
      </c>
      <c r="V37" s="667" t="s">
        <v>14</v>
      </c>
      <c r="W37" s="668">
        <f t="shared" si="12"/>
        <v>100</v>
      </c>
      <c r="X37" s="669"/>
      <c r="Y37" s="3471"/>
      <c r="Z37" s="670">
        <f t="shared" si="13"/>
        <v>111</v>
      </c>
      <c r="AA37" s="1261">
        <f t="shared" si="3"/>
        <v>1</v>
      </c>
      <c r="AB37" s="1261">
        <f t="shared" si="4"/>
        <v>1</v>
      </c>
      <c r="AC37" s="1261">
        <f t="shared" si="5"/>
        <v>1</v>
      </c>
    </row>
    <row r="38" spans="1:29" ht="15.6">
      <c r="A38" s="407" t="s">
        <v>1694</v>
      </c>
      <c r="B38" s="393" t="s">
        <v>1874</v>
      </c>
      <c r="C38" s="597">
        <f>'数据-基础表'!A3</f>
        <v>21560.34</v>
      </c>
      <c r="D38" s="403">
        <v>100</v>
      </c>
      <c r="E38" s="597">
        <f>土地案例!N15</f>
        <v>8286.49</v>
      </c>
      <c r="F38" s="403">
        <f>LOOKUP(E38,116:116,117:117)-LOOKUP(C38,116:116,117:117)+100</f>
        <v>99</v>
      </c>
      <c r="G38" s="597">
        <f>土地案例!N39</f>
        <v>10000</v>
      </c>
      <c r="H38" s="403">
        <f>LOOKUP(G38,116:116,117:117)-LOOKUP(C38,116:116,117:117)+100</f>
        <v>99.5</v>
      </c>
      <c r="I38" s="460">
        <f>土地案例!O40</f>
        <v>12100</v>
      </c>
      <c r="J38" s="403">
        <f>LOOKUP(I38,116:116,117:117)-LOOKUP(C38,116:116,117:117)+100</f>
        <v>99.5</v>
      </c>
      <c r="K38" s="537"/>
      <c r="L38" s="2490"/>
      <c r="M38" s="2485"/>
      <c r="N38" s="2485"/>
      <c r="O38" s="2540"/>
      <c r="P38" s="3471"/>
      <c r="Q38" s="1260" t="str">
        <f>B38</f>
        <v>宗地面积</v>
      </c>
      <c r="R38" s="665" t="s">
        <v>14</v>
      </c>
      <c r="S38" s="666">
        <f t="shared" si="10"/>
        <v>99</v>
      </c>
      <c r="T38" s="665" t="s">
        <v>14</v>
      </c>
      <c r="U38" s="666">
        <f t="shared" si="11"/>
        <v>99.5</v>
      </c>
      <c r="V38" s="665" t="s">
        <v>14</v>
      </c>
      <c r="W38" s="666">
        <f t="shared" si="12"/>
        <v>99.5</v>
      </c>
      <c r="X38" s="1262"/>
      <c r="Y38" s="3471"/>
      <c r="Z38" s="1261" t="str">
        <f t="shared" si="13"/>
        <v>宗地面积</v>
      </c>
      <c r="AA38" s="1261">
        <f t="shared" si="3"/>
        <v>1.0101010101010102</v>
      </c>
      <c r="AB38" s="1261">
        <f t="shared" si="4"/>
        <v>1.0050251256281406</v>
      </c>
      <c r="AC38" s="1261">
        <f t="shared" si="5"/>
        <v>1.0050251256281406</v>
      </c>
    </row>
    <row r="39" spans="1:29" ht="15">
      <c r="A39" s="407"/>
      <c r="B39" s="362" t="s">
        <v>1875</v>
      </c>
      <c r="C39" s="1757" t="s">
        <v>4057</v>
      </c>
      <c r="D39" s="372">
        <v>100</v>
      </c>
      <c r="E39" s="1757" t="s">
        <v>4057</v>
      </c>
      <c r="F39" s="372">
        <f>SUMIF(118:118,E39,119:119)-SUMIF(118:118,C39,119:119)+100</f>
        <v>100</v>
      </c>
      <c r="G39" s="1757" t="s">
        <v>4057</v>
      </c>
      <c r="H39" s="372">
        <f>SUMIF(118:118,G39,119:119)-SUMIF(118:118,C39,119:119)+100</f>
        <v>100</v>
      </c>
      <c r="I39" s="1757" t="s">
        <v>4057</v>
      </c>
      <c r="J39" s="372">
        <f>SUMIF(118:118,I39,119:119)-SUMIF(118:118,C39,119:119)+100</f>
        <v>100</v>
      </c>
      <c r="K39" s="536">
        <v>1</v>
      </c>
      <c r="L39" s="2490"/>
      <c r="M39" s="2485"/>
      <c r="N39" s="2485"/>
      <c r="O39" s="2540"/>
      <c r="P39" s="3471"/>
      <c r="Q39" s="1260" t="str">
        <f t="shared" ref="Q39:Q45" si="14">B39</f>
        <v>宗地形状</v>
      </c>
      <c r="R39" s="665" t="s">
        <v>14</v>
      </c>
      <c r="S39" s="666">
        <f t="shared" si="10"/>
        <v>100</v>
      </c>
      <c r="T39" s="665" t="s">
        <v>14</v>
      </c>
      <c r="U39" s="666">
        <f t="shared" si="11"/>
        <v>100</v>
      </c>
      <c r="V39" s="665" t="s">
        <v>14</v>
      </c>
      <c r="W39" s="666">
        <f t="shared" si="12"/>
        <v>100</v>
      </c>
      <c r="X39" s="1262"/>
      <c r="Y39" s="3471"/>
      <c r="Z39" s="1261" t="str">
        <f t="shared" si="13"/>
        <v>宗地形状</v>
      </c>
      <c r="AA39" s="1261">
        <f t="shared" si="3"/>
        <v>1</v>
      </c>
      <c r="AB39" s="1261">
        <f t="shared" si="4"/>
        <v>1</v>
      </c>
      <c r="AC39" s="1261">
        <f t="shared" si="5"/>
        <v>1</v>
      </c>
    </row>
    <row r="40" spans="1:29" ht="15">
      <c r="A40" s="407"/>
      <c r="B40" s="362" t="s">
        <v>1876</v>
      </c>
      <c r="C40" s="1757" t="s">
        <v>4058</v>
      </c>
      <c r="D40" s="372">
        <v>100</v>
      </c>
      <c r="E40" s="1757" t="s">
        <v>4058</v>
      </c>
      <c r="F40" s="372">
        <f>SUMIF(120:120,E40,121:121)-SUMIF(120:120,C40,121:121)+100</f>
        <v>100</v>
      </c>
      <c r="G40" s="1757" t="s">
        <v>4058</v>
      </c>
      <c r="H40" s="372">
        <f>SUMIF(120:120,G40,121:121)-SUMIF(120:120,C40,121:121)+100</f>
        <v>100</v>
      </c>
      <c r="I40" s="1757" t="s">
        <v>4058</v>
      </c>
      <c r="J40" s="372">
        <f>SUMIF(120:120,I40,121:121)-SUMIF(120:120,C40,121:121)+100</f>
        <v>100</v>
      </c>
      <c r="K40" s="536">
        <v>1</v>
      </c>
      <c r="L40" s="2490"/>
      <c r="M40" s="2485"/>
      <c r="N40" s="2485"/>
      <c r="O40" s="2540"/>
      <c r="P40" s="3471"/>
      <c r="Q40" s="1260" t="str">
        <f t="shared" si="14"/>
        <v>临街宽度及深度</v>
      </c>
      <c r="R40" s="665" t="s">
        <v>14</v>
      </c>
      <c r="S40" s="666">
        <f t="shared" si="10"/>
        <v>100</v>
      </c>
      <c r="T40" s="665" t="s">
        <v>14</v>
      </c>
      <c r="U40" s="666">
        <f t="shared" si="11"/>
        <v>100</v>
      </c>
      <c r="V40" s="665" t="s">
        <v>14</v>
      </c>
      <c r="W40" s="666">
        <f t="shared" si="12"/>
        <v>100</v>
      </c>
      <c r="X40" s="1262"/>
      <c r="Y40" s="3471"/>
      <c r="Z40" s="1261" t="str">
        <f t="shared" si="13"/>
        <v>临街宽度及深度</v>
      </c>
      <c r="AA40" s="1261">
        <f t="shared" si="3"/>
        <v>1</v>
      </c>
      <c r="AB40" s="1261">
        <f t="shared" si="4"/>
        <v>1</v>
      </c>
      <c r="AC40" s="1261">
        <f t="shared" si="5"/>
        <v>1</v>
      </c>
    </row>
    <row r="41" spans="1:29" s="102" customFormat="1" ht="15">
      <c r="A41" s="408"/>
      <c r="B41" s="362" t="s">
        <v>1877</v>
      </c>
      <c r="C41" s="1825" t="s">
        <v>4059</v>
      </c>
      <c r="D41" s="117">
        <v>100</v>
      </c>
      <c r="E41" s="1825" t="s">
        <v>4059</v>
      </c>
      <c r="F41" s="372">
        <f>SUMIF(122:122,E41,123:123)-SUMIF(122:122,C41,123:123)+100</f>
        <v>100</v>
      </c>
      <c r="G41" s="1825" t="s">
        <v>4059</v>
      </c>
      <c r="H41" s="372">
        <f>SUMIF(122:122,G41,123:123)-SUMIF(122:122,C41,123:123)+100</f>
        <v>100</v>
      </c>
      <c r="I41" s="1825" t="s">
        <v>4059</v>
      </c>
      <c r="J41" s="372">
        <f>SUMIF(122:122,I41,123:123)-SUMIF(122:122,C41,123:123)+100</f>
        <v>100</v>
      </c>
      <c r="K41" s="536">
        <v>1</v>
      </c>
      <c r="L41" s="2486"/>
      <c r="M41" s="2437"/>
      <c r="N41" s="2437"/>
      <c r="O41" s="2538"/>
      <c r="P41" s="3471"/>
      <c r="Q41" s="1260" t="str">
        <f t="shared" si="14"/>
        <v>宗地开发程度</v>
      </c>
      <c r="R41" s="662" t="s">
        <v>14</v>
      </c>
      <c r="S41" s="663">
        <f t="shared" si="10"/>
        <v>100</v>
      </c>
      <c r="T41" s="662" t="s">
        <v>14</v>
      </c>
      <c r="U41" s="663">
        <f t="shared" si="11"/>
        <v>100</v>
      </c>
      <c r="V41" s="662" t="s">
        <v>14</v>
      </c>
      <c r="W41" s="663">
        <f t="shared" si="12"/>
        <v>100</v>
      </c>
      <c r="X41" s="664"/>
      <c r="Y41" s="3471"/>
      <c r="Z41" s="50" t="str">
        <f t="shared" si="13"/>
        <v>宗地开发程度</v>
      </c>
      <c r="AA41" s="50">
        <f t="shared" si="3"/>
        <v>1</v>
      </c>
      <c r="AB41" s="50">
        <f t="shared" si="4"/>
        <v>1</v>
      </c>
      <c r="AC41" s="50">
        <f t="shared" si="5"/>
        <v>1</v>
      </c>
    </row>
    <row r="42" spans="1:29" ht="15.6" thickBot="1">
      <c r="A42" s="407"/>
      <c r="B42" s="362" t="s">
        <v>1878</v>
      </c>
      <c r="C42" s="1757" t="s">
        <v>3498</v>
      </c>
      <c r="D42" s="372">
        <v>100</v>
      </c>
      <c r="E42" s="1757" t="s">
        <v>3498</v>
      </c>
      <c r="F42" s="372">
        <f>SUMIF(124:124,E42,125:125)-SUMIF(124:124,C42,125:125)+100</f>
        <v>100</v>
      </c>
      <c r="G42" s="1757" t="s">
        <v>3498</v>
      </c>
      <c r="H42" s="372">
        <f>SUMIF(124:124,G42,125:125)-SUMIF(124:124,C42,125:125)+100</f>
        <v>100</v>
      </c>
      <c r="I42" s="1757" t="s">
        <v>3498</v>
      </c>
      <c r="J42" s="372">
        <f>SUMIF(124:124,I42,125:125)-SUMIF(124:124,C42,125:125)+100</f>
        <v>100</v>
      </c>
      <c r="K42" s="536">
        <v>1</v>
      </c>
      <c r="L42" s="2490"/>
      <c r="M42" s="2485"/>
      <c r="N42" s="2485"/>
      <c r="O42" s="2540"/>
      <c r="P42" s="3471" t="s">
        <v>1696</v>
      </c>
      <c r="Q42" s="1260" t="str">
        <f t="shared" si="14"/>
        <v>工程地质条件</v>
      </c>
      <c r="R42" s="665" t="s">
        <v>14</v>
      </c>
      <c r="S42" s="666">
        <f t="shared" si="10"/>
        <v>100</v>
      </c>
      <c r="T42" s="665" t="s">
        <v>14</v>
      </c>
      <c r="U42" s="666">
        <f t="shared" si="11"/>
        <v>100</v>
      </c>
      <c r="V42" s="665" t="s">
        <v>14</v>
      </c>
      <c r="W42" s="666">
        <f t="shared" si="12"/>
        <v>100</v>
      </c>
      <c r="X42" s="1262"/>
      <c r="Y42" s="3471" t="s">
        <v>1696</v>
      </c>
      <c r="Z42" s="1261" t="str">
        <f t="shared" si="13"/>
        <v>工程地质条件</v>
      </c>
      <c r="AA42" s="1261">
        <f t="shared" si="3"/>
        <v>1</v>
      </c>
      <c r="AB42" s="1261">
        <f t="shared" si="4"/>
        <v>1</v>
      </c>
      <c r="AC42" s="1261">
        <f t="shared" si="5"/>
        <v>1</v>
      </c>
    </row>
    <row r="43" spans="1:29" ht="15" hidden="1">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90"/>
      <c r="M43" s="2485"/>
      <c r="N43" s="2485"/>
      <c r="O43" s="2540"/>
      <c r="P43" s="3471"/>
      <c r="Q43" s="1260">
        <f t="shared" si="14"/>
        <v>111</v>
      </c>
      <c r="R43" s="665" t="s">
        <v>14</v>
      </c>
      <c r="S43" s="666">
        <f t="shared" si="10"/>
        <v>100</v>
      </c>
      <c r="T43" s="665" t="s">
        <v>14</v>
      </c>
      <c r="U43" s="666">
        <f t="shared" si="11"/>
        <v>100</v>
      </c>
      <c r="V43" s="665" t="s">
        <v>14</v>
      </c>
      <c r="W43" s="666">
        <f t="shared" si="12"/>
        <v>100</v>
      </c>
      <c r="X43" s="1262"/>
      <c r="Y43" s="3471"/>
      <c r="Z43" s="1261">
        <f t="shared" si="13"/>
        <v>111</v>
      </c>
      <c r="AA43" s="1261">
        <f t="shared" si="3"/>
        <v>1</v>
      </c>
      <c r="AB43" s="1261">
        <f t="shared" si="4"/>
        <v>1</v>
      </c>
      <c r="AC43" s="1261">
        <f t="shared" si="5"/>
        <v>1</v>
      </c>
    </row>
    <row r="44" spans="1:29" ht="15" hidden="1">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90"/>
      <c r="M44" s="2485"/>
      <c r="N44" s="2485"/>
      <c r="O44" s="2540"/>
      <c r="P44" s="3471"/>
      <c r="Q44" s="1260">
        <f t="shared" si="14"/>
        <v>111</v>
      </c>
      <c r="R44" s="665" t="s">
        <v>14</v>
      </c>
      <c r="S44" s="666">
        <f t="shared" si="10"/>
        <v>100</v>
      </c>
      <c r="T44" s="665" t="s">
        <v>14</v>
      </c>
      <c r="U44" s="666">
        <f t="shared" si="11"/>
        <v>100</v>
      </c>
      <c r="V44" s="665" t="s">
        <v>14</v>
      </c>
      <c r="W44" s="666">
        <f t="shared" si="12"/>
        <v>100</v>
      </c>
      <c r="X44" s="1262"/>
      <c r="Y44" s="3471"/>
      <c r="Z44" s="1261">
        <f t="shared" si="13"/>
        <v>111</v>
      </c>
      <c r="AA44" s="1261">
        <f t="shared" si="3"/>
        <v>1</v>
      </c>
      <c r="AB44" s="1261">
        <f t="shared" si="4"/>
        <v>1</v>
      </c>
      <c r="AC44" s="1261">
        <f t="shared" si="5"/>
        <v>1</v>
      </c>
    </row>
    <row r="45" spans="1:29" s="406" customFormat="1" ht="15.6" hidden="1" thickBot="1">
      <c r="A45" s="404"/>
      <c r="B45" s="1065">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9"/>
      <c r="M45" s="2491"/>
      <c r="N45" s="2491"/>
      <c r="O45" s="2541"/>
      <c r="P45" s="3471"/>
      <c r="Q45" s="1260">
        <f t="shared" si="14"/>
        <v>111</v>
      </c>
      <c r="R45" s="667" t="s">
        <v>14</v>
      </c>
      <c r="S45" s="668">
        <f t="shared" si="10"/>
        <v>100</v>
      </c>
      <c r="T45" s="667" t="s">
        <v>14</v>
      </c>
      <c r="U45" s="668">
        <f t="shared" si="11"/>
        <v>100</v>
      </c>
      <c r="V45" s="667" t="s">
        <v>14</v>
      </c>
      <c r="W45" s="668">
        <f t="shared" si="12"/>
        <v>100</v>
      </c>
      <c r="X45" s="669"/>
      <c r="Y45" s="3471"/>
      <c r="Z45" s="670">
        <f t="shared" si="13"/>
        <v>111</v>
      </c>
      <c r="AA45" s="1261">
        <f t="shared" si="3"/>
        <v>1</v>
      </c>
      <c r="AB45" s="1261">
        <f t="shared" si="4"/>
        <v>1</v>
      </c>
      <c r="AC45" s="1261">
        <f t="shared" si="5"/>
        <v>1</v>
      </c>
    </row>
    <row r="46" spans="1:29" ht="14.4">
      <c r="A46" s="414" t="s">
        <v>1844</v>
      </c>
      <c r="B46" s="1827" t="s">
        <v>1879</v>
      </c>
      <c r="C46" s="600" t="s">
        <v>0</v>
      </c>
      <c r="D46" s="416"/>
      <c r="E46" s="417">
        <f>土地案例!Y15</f>
        <v>19309</v>
      </c>
      <c r="F46" s="418"/>
      <c r="G46" s="419">
        <f>土地案例!Y39</f>
        <v>19784</v>
      </c>
      <c r="H46" s="420"/>
      <c r="I46" s="417">
        <f>土地案例!Y40</f>
        <v>19764</v>
      </c>
      <c r="J46" s="420"/>
      <c r="K46" s="672"/>
      <c r="L46" s="2492"/>
      <c r="M46" s="2485"/>
      <c r="N46" s="2485"/>
      <c r="O46" s="2485"/>
      <c r="P46" s="3465" t="str">
        <f>A46</f>
        <v>成交单价</v>
      </c>
      <c r="Q46" s="3465"/>
      <c r="R46" s="3460">
        <f>E46</f>
        <v>19309</v>
      </c>
      <c r="S46" s="3460"/>
      <c r="T46" s="3460">
        <f>G46</f>
        <v>19784</v>
      </c>
      <c r="U46" s="3460"/>
      <c r="V46" s="3460">
        <f>I46</f>
        <v>19764</v>
      </c>
      <c r="W46" s="3460"/>
      <c r="X46" s="383"/>
      <c r="Y46" s="671"/>
      <c r="Z46" s="383"/>
      <c r="AA46" s="383"/>
      <c r="AB46" s="383"/>
      <c r="AC46" s="383"/>
    </row>
    <row r="47" spans="1:29" ht="15" thickBot="1">
      <c r="A47" s="421" t="s">
        <v>1793</v>
      </c>
      <c r="B47" s="601"/>
      <c r="C47" s="424">
        <f>R48</f>
        <v>18085</v>
      </c>
      <c r="D47" s="2138" t="s">
        <v>2135</v>
      </c>
      <c r="E47" s="424">
        <f>R47</f>
        <v>17383</v>
      </c>
      <c r="F47" s="2139"/>
      <c r="G47" s="423">
        <f>T47</f>
        <v>18445</v>
      </c>
      <c r="H47" s="2139"/>
      <c r="I47" s="424">
        <f>V47</f>
        <v>18426</v>
      </c>
      <c r="J47" s="2139"/>
      <c r="K47" s="2141">
        <f>F47+H47+J47</f>
        <v>0</v>
      </c>
      <c r="L47" s="2492"/>
      <c r="M47" s="2485"/>
      <c r="N47" s="2485"/>
      <c r="O47" s="2485"/>
      <c r="P47" s="3465" t="str">
        <f>A47</f>
        <v>比较价值（元/平方米）</v>
      </c>
      <c r="Q47" s="3465"/>
      <c r="R47" s="3492">
        <f>ROUND(PRODUCT(R46,AA7:AA45),0)</f>
        <v>17383</v>
      </c>
      <c r="S47" s="3492"/>
      <c r="T47" s="3492">
        <f>ROUND(PRODUCT(T46,AB7:AB45),0)</f>
        <v>18445</v>
      </c>
      <c r="U47" s="3492"/>
      <c r="V47" s="3492">
        <f>ROUND(PRODUCT(V46,AC7:AC45),0)</f>
        <v>18426</v>
      </c>
      <c r="W47" s="3492"/>
      <c r="X47" s="383"/>
      <c r="Y47" s="383"/>
      <c r="Z47" s="383"/>
      <c r="AA47" s="383"/>
      <c r="AB47" s="383"/>
      <c r="AC47" s="383"/>
    </row>
    <row r="48" spans="1:29" ht="15" thickBot="1">
      <c r="A48" s="425" t="s">
        <v>1880</v>
      </c>
      <c r="B48" s="426"/>
      <c r="C48" s="427">
        <f>R48</f>
        <v>18085</v>
      </c>
      <c r="D48" s="427"/>
      <c r="E48" s="427"/>
      <c r="F48" s="427"/>
      <c r="G48" s="427"/>
      <c r="H48" s="427"/>
      <c r="I48" s="427"/>
      <c r="J48" s="427"/>
      <c r="K48" s="673"/>
      <c r="L48" s="2492"/>
      <c r="M48" s="2485"/>
      <c r="N48" s="2485"/>
      <c r="O48" s="2485"/>
      <c r="P48" s="3462" t="str">
        <f>A48</f>
        <v>估价对象XX用房的比较价值（楼面单价，元/平方米）</v>
      </c>
      <c r="Q48" s="3463"/>
      <c r="R48" s="3493">
        <f>ROUND(IF(D47="简单平均",AVERAGE(R47:W47),R47*F47+T47*H47+V47*J47),0)</f>
        <v>18085</v>
      </c>
      <c r="S48" s="3493"/>
      <c r="T48" s="3493"/>
      <c r="U48" s="3493"/>
      <c r="V48" s="3493"/>
      <c r="W48" s="3493"/>
      <c r="X48" s="383"/>
      <c r="Y48" s="383"/>
      <c r="Z48" s="383"/>
      <c r="AA48" s="383"/>
      <c r="AB48" s="383"/>
      <c r="AC48" s="383"/>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0" t="s">
        <v>1795</v>
      </c>
      <c r="D51" s="431"/>
      <c r="E51" s="432">
        <f>IF(E46&lt;E47,E47/E46-1,E46/E47-1)</f>
        <v>0.11079790600011497</v>
      </c>
      <c r="F51" s="433" t="str">
        <f>IF(OR(E51&gt;=0.3,E51&lt;=-0.3),"超过30%","")</f>
        <v/>
      </c>
      <c r="G51" s="432">
        <f>IF(G46&lt;G47,G47/G46-1,G46/G47-1)</f>
        <v>7.2594198969910595E-2</v>
      </c>
      <c r="H51" s="433" t="str">
        <f>IF(OR(G51&gt;=0.3,G51&lt;=-0.3),"超过30%","")</f>
        <v/>
      </c>
      <c r="I51" s="432">
        <f>IF(I46&lt;I47,I47/I46-1,I46/I47-1)</f>
        <v>7.2614783458156973E-2</v>
      </c>
      <c r="J51" s="433"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0" t="s">
        <v>1796</v>
      </c>
      <c r="D52" s="434"/>
      <c r="E52" s="432">
        <f>IF(E47&lt;G47,G47/E47-1,E47/G47-1)</f>
        <v>6.1094172467353269E-2</v>
      </c>
      <c r="F52" s="433" t="str">
        <f>IF(OR(E52&gt;=0.2,E52&lt;=-0.2),"超过20%","")</f>
        <v/>
      </c>
      <c r="G52" s="432">
        <f>IF(G47&lt;I47,I47/G47-1,G47/I47-1)</f>
        <v>1.0311516335612669E-3</v>
      </c>
      <c r="H52" s="433" t="str">
        <f>IF(OR(G52&gt;=0.2,G52&lt;=-0.2),"超过20%","")</f>
        <v/>
      </c>
      <c r="I52" s="432">
        <f>IF(I47&lt;E47,E47/I47-1,I47/E47-1)</f>
        <v>6.0001150549387372E-2</v>
      </c>
      <c r="J52" s="433"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5" customFormat="1" ht="13.5" customHeight="1">
      <c r="A53" s="2495"/>
      <c r="B53" s="2495"/>
      <c r="C53" s="430" t="s">
        <v>1797</v>
      </c>
      <c r="D53" s="434"/>
      <c r="E53" s="432">
        <f>IF(E46&lt;G46,G46/E46-1,E46/G46-1)</f>
        <v>2.4599927494950435E-2</v>
      </c>
      <c r="F53" s="433" t="str">
        <f>IF(OR(E53&gt;=0.3,E53&lt;=-0.3),"超过30%","")</f>
        <v/>
      </c>
      <c r="G53" s="432">
        <f>IF(G46&lt;I46,I46/G46-1,G46/I46-1)</f>
        <v>1.0119409026512205E-3</v>
      </c>
      <c r="H53" s="433" t="str">
        <f>IF(OR(G53&gt;=0.3,G53&lt;=-0.3),"超过30%","")</f>
        <v/>
      </c>
      <c r="I53" s="432">
        <f>IF(I46&lt;E46,E46/I46-1,I46/E46-1)</f>
        <v>2.3564141074110534E-2</v>
      </c>
      <c r="J53" s="433"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5" customFormat="1" ht="14.4"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2" t="s">
        <v>1881</v>
      </c>
      <c r="B55" s="603" t="s">
        <v>1882</v>
      </c>
      <c r="C55" s="1828" t="s">
        <v>1883</v>
      </c>
      <c r="D55" s="1829" t="s">
        <v>1884</v>
      </c>
      <c r="E55" s="604" t="s">
        <v>1885</v>
      </c>
      <c r="F55" s="835" t="s">
        <v>1886</v>
      </c>
      <c r="G55" s="3448" t="s">
        <v>1887</v>
      </c>
      <c r="H55" s="3494"/>
      <c r="I55" s="125"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0" customFormat="1">
      <c r="A56" s="606" t="s">
        <v>1890</v>
      </c>
      <c r="B56" s="607">
        <f>C48</f>
        <v>18085</v>
      </c>
      <c r="C56" s="608">
        <v>1</v>
      </c>
      <c r="D56" s="888">
        <v>1</v>
      </c>
      <c r="E56" s="608">
        <f>'数据-汇总表'!E8+'数据-汇总表'!E9</f>
        <v>742.75</v>
      </c>
      <c r="F56" s="831">
        <f t="shared" ref="F56:F64" si="15">ROUND(B56*E56/10000,0)</f>
        <v>1343</v>
      </c>
      <c r="G56" s="3447"/>
      <c r="H56" s="3465"/>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0" customFormat="1">
      <c r="A57" s="611" t="s">
        <v>1891</v>
      </c>
      <c r="B57" s="208">
        <f>ROUND($C$48*C57*D57,0)</f>
        <v>0</v>
      </c>
      <c r="C57" s="161">
        <f t="shared" ref="C57:C64" si="16">IF($C$55="北京市系数",I57,J57)</f>
        <v>0</v>
      </c>
      <c r="D57" s="889">
        <v>0.25</v>
      </c>
      <c r="E57" s="612"/>
      <c r="F57" s="831">
        <f t="shared" si="15"/>
        <v>0</v>
      </c>
      <c r="G57" s="2748" t="s">
        <v>1892</v>
      </c>
      <c r="H57" s="832">
        <f>项目基本情况!B37</f>
        <v>0</v>
      </c>
      <c r="I57" s="836">
        <f>SUMIF(修正!A57:A68,H57,修正!B57:B68)</f>
        <v>0</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0" customFormat="1">
      <c r="A58" s="611" t="s">
        <v>1893</v>
      </c>
      <c r="B58" s="208">
        <f t="shared" ref="B58:B64" si="17">ROUND($C$48*C58*D58,0)</f>
        <v>0</v>
      </c>
      <c r="C58" s="161">
        <f t="shared" si="16"/>
        <v>0</v>
      </c>
      <c r="D58" s="889">
        <v>0.25</v>
      </c>
      <c r="E58" s="612"/>
      <c r="F58" s="831">
        <f t="shared" si="15"/>
        <v>0</v>
      </c>
      <c r="G58" s="2749"/>
      <c r="H58" s="832">
        <f>项目基本情况!B37</f>
        <v>0</v>
      </c>
      <c r="I58" s="836">
        <f>SUMIF(修正!A57:A68,H58,修正!C57:C68)</f>
        <v>0</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0" customFormat="1">
      <c r="A59" s="611" t="s">
        <v>1894</v>
      </c>
      <c r="B59" s="208">
        <f t="shared" si="17"/>
        <v>0</v>
      </c>
      <c r="C59" s="161">
        <f t="shared" si="16"/>
        <v>0</v>
      </c>
      <c r="D59" s="889">
        <v>0.25</v>
      </c>
      <c r="E59" s="612"/>
      <c r="F59" s="831">
        <f t="shared" si="15"/>
        <v>0</v>
      </c>
      <c r="G59" s="2749"/>
      <c r="H59" s="832">
        <f>项目基本情况!B37</f>
        <v>0</v>
      </c>
      <c r="I59" s="836">
        <f>SUMIF(修正!A57:A68,H59,修正!D57:D68)</f>
        <v>0</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0" customFormat="1">
      <c r="A60" s="611" t="s">
        <v>1895</v>
      </c>
      <c r="B60" s="208">
        <f t="shared" si="17"/>
        <v>904</v>
      </c>
      <c r="C60" s="161">
        <f t="shared" si="16"/>
        <v>0.2</v>
      </c>
      <c r="D60" s="889">
        <v>0.25</v>
      </c>
      <c r="E60" s="207">
        <f>'数据-汇总表'!E11</f>
        <v>0</v>
      </c>
      <c r="F60" s="831">
        <f t="shared" si="15"/>
        <v>0</v>
      </c>
      <c r="G60" s="1832" t="s">
        <v>1896</v>
      </c>
      <c r="H60" s="832" t="str">
        <f>项目基本情况!C37</f>
        <v>八级</v>
      </c>
      <c r="I60" s="836">
        <f>SUMIF(修正!A57:A68,H60,修正!E57:E68)</f>
        <v>0.2</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0" customFormat="1">
      <c r="A61" s="611" t="s">
        <v>1897</v>
      </c>
      <c r="B61" s="208">
        <f t="shared" si="17"/>
        <v>904</v>
      </c>
      <c r="C61" s="161">
        <f t="shared" si="16"/>
        <v>0.2</v>
      </c>
      <c r="D61" s="889">
        <v>0.25</v>
      </c>
      <c r="E61" s="207">
        <f>'数据-汇总表'!E12</f>
        <v>0</v>
      </c>
      <c r="F61" s="831">
        <f t="shared" si="15"/>
        <v>0</v>
      </c>
      <c r="G61" s="837" t="s">
        <v>1898</v>
      </c>
      <c r="H61" s="832" t="str">
        <f>IF(G61="商业",项目基本情况!B37,IF(G61="办公",项目基本情况!C37,IF(G61="住宅",项目基本情况!D37,项目基本情况!E37)))</f>
        <v>八级</v>
      </c>
      <c r="I61" s="836">
        <f>SUMIF(修正!A57:A68,H61,修正!F57:F68)</f>
        <v>0.2</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0" customFormat="1">
      <c r="A62" s="611" t="s">
        <v>1899</v>
      </c>
      <c r="B62" s="208">
        <f t="shared" si="17"/>
        <v>0</v>
      </c>
      <c r="C62" s="161">
        <f t="shared" si="16"/>
        <v>0</v>
      </c>
      <c r="D62" s="889">
        <v>0.25</v>
      </c>
      <c r="E62" s="207">
        <f>'数据-汇总表'!E13</f>
        <v>0</v>
      </c>
      <c r="F62" s="831">
        <f t="shared" si="15"/>
        <v>0</v>
      </c>
      <c r="G62" s="837" t="s">
        <v>1900</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0" customFormat="1">
      <c r="A63" s="611" t="s">
        <v>1901</v>
      </c>
      <c r="B63" s="208">
        <f t="shared" si="17"/>
        <v>0</v>
      </c>
      <c r="C63" s="161">
        <f t="shared" si="16"/>
        <v>0</v>
      </c>
      <c r="D63" s="889">
        <v>0.25</v>
      </c>
      <c r="E63" s="207">
        <f>'数据-汇总表'!E14</f>
        <v>0</v>
      </c>
      <c r="F63" s="831">
        <f t="shared" si="15"/>
        <v>0</v>
      </c>
      <c r="G63" s="1832" t="s">
        <v>1892</v>
      </c>
      <c r="H63" s="832">
        <f>项目基本情况!B37</f>
        <v>0</v>
      </c>
      <c r="I63" s="836">
        <f>SUMIF(修正!A57:A68,H63,修正!G57:G68)</f>
        <v>0</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0" customFormat="1" ht="14.4" thickBot="1">
      <c r="A64" s="611" t="s">
        <v>1902</v>
      </c>
      <c r="B64" s="208">
        <f t="shared" si="17"/>
        <v>452</v>
      </c>
      <c r="C64" s="161">
        <f t="shared" si="16"/>
        <v>0.1</v>
      </c>
      <c r="D64" s="889">
        <v>0.25</v>
      </c>
      <c r="E64" s="207">
        <f>'数据-汇总表'!E15</f>
        <v>0</v>
      </c>
      <c r="F64" s="831">
        <f t="shared" si="15"/>
        <v>0</v>
      </c>
      <c r="G64" s="1833" t="s">
        <v>1896</v>
      </c>
      <c r="H64" s="842" t="str">
        <f>项目基本情况!C37</f>
        <v>八级</v>
      </c>
      <c r="I64" s="838">
        <f>SUMIF(修正!A57:A68,H64,修正!G57:G68)</f>
        <v>0.1</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0" customFormat="1" thickBot="1">
      <c r="A65" s="613" t="s">
        <v>1903</v>
      </c>
      <c r="B65" s="614" t="s">
        <v>22</v>
      </c>
      <c r="C65" s="614" t="s">
        <v>23</v>
      </c>
      <c r="D65" s="614" t="s">
        <v>392</v>
      </c>
      <c r="E65" s="614">
        <f>IF(B46="楼面地价",SUM(E56:E64),'数据-汇总表'!D3)</f>
        <v>742.75</v>
      </c>
      <c r="F65" s="615">
        <f>IF(B46="楼面地价",SUM(F56:F64),ROUND(C48*E65/10000,0))</f>
        <v>1343</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3"/>
      <c r="B66" s="654"/>
      <c r="C66" s="655"/>
      <c r="D66" s="383"/>
      <c r="E66" s="383"/>
      <c r="F66" s="383"/>
      <c r="G66" s="383"/>
      <c r="H66" s="383"/>
      <c r="I66" s="383"/>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3"/>
      <c r="B67" s="654"/>
      <c r="C67" s="654" t="str">
        <f>YEAR(C7)&amp;"-"&amp;MONTH(C7)&amp;"-1"</f>
        <v>2025-3-1</v>
      </c>
      <c r="D67" s="654">
        <f>EDATE(C67,-3)</f>
        <v>45627</v>
      </c>
      <c r="E67" s="654">
        <f>EDATE(D67,-3)</f>
        <v>45536</v>
      </c>
      <c r="F67" s="654">
        <f t="shared" ref="F67:O67" si="18">EDATE(E67,-3)</f>
        <v>45444</v>
      </c>
      <c r="G67" s="654">
        <f t="shared" si="18"/>
        <v>45352</v>
      </c>
      <c r="H67" s="654">
        <f t="shared" si="18"/>
        <v>45261</v>
      </c>
      <c r="I67" s="654">
        <f t="shared" si="18"/>
        <v>45170</v>
      </c>
      <c r="J67" s="654">
        <f t="shared" si="18"/>
        <v>45078</v>
      </c>
      <c r="K67" s="654">
        <f t="shared" si="18"/>
        <v>44986</v>
      </c>
      <c r="L67" s="654">
        <f t="shared" si="18"/>
        <v>44896</v>
      </c>
      <c r="M67" s="654">
        <f t="shared" si="18"/>
        <v>44805</v>
      </c>
      <c r="N67" s="654">
        <f t="shared" si="18"/>
        <v>44713</v>
      </c>
      <c r="O67" s="654">
        <f t="shared" si="18"/>
        <v>44621</v>
      </c>
      <c r="P67" s="2485"/>
      <c r="Q67" s="2485"/>
      <c r="R67" s="2485"/>
      <c r="S67" s="2485"/>
      <c r="T67" s="2485"/>
      <c r="U67" s="2485"/>
      <c r="V67" s="2485"/>
      <c r="W67" s="2485"/>
      <c r="X67" s="2485"/>
      <c r="Y67" s="2485"/>
      <c r="Z67" s="2485"/>
      <c r="AA67" s="2485"/>
      <c r="AB67" s="2485"/>
      <c r="AC67" s="2485"/>
    </row>
    <row r="68" spans="1:29" ht="22.2" thickBot="1">
      <c r="A68" s="656" t="s">
        <v>1798</v>
      </c>
      <c r="B68" s="383"/>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0" customFormat="1" ht="14.4">
      <c r="A69" s="1627" t="s">
        <v>1904</v>
      </c>
      <c r="B69" s="1044"/>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78" t="str">
        <f>"北京市平均增长率"&amp;TEXT(SUMIF(基准地价修正!N25:N29,A70,基准地价修正!P25:P29),"0.00%")</f>
        <v>北京市平均增长率0.00%</v>
      </c>
      <c r="C70" s="528">
        <v>100</v>
      </c>
      <c r="D70" s="6">
        <f>C70+$C$71</f>
        <v>100</v>
      </c>
      <c r="E70" s="6">
        <f t="shared" ref="E70:O70" si="20">D70+$C$71</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6"/>
      <c r="Q70" s="2437"/>
      <c r="R70" s="2437"/>
      <c r="S70" s="2437"/>
      <c r="T70" s="2437"/>
      <c r="U70" s="2437"/>
      <c r="V70" s="2437"/>
      <c r="W70" s="2437"/>
      <c r="X70" s="2437"/>
      <c r="Y70" s="2437"/>
      <c r="Z70" s="2437"/>
      <c r="AA70" s="2437"/>
      <c r="AB70" s="2437"/>
      <c r="AC70" s="2437"/>
    </row>
    <row r="71" spans="1:29" s="102" customFormat="1" ht="15" thickBot="1">
      <c r="A71" s="447" t="s">
        <v>1716</v>
      </c>
      <c r="B71" s="448"/>
      <c r="C71" s="449">
        <v>0</v>
      </c>
      <c r="D71" s="450"/>
      <c r="E71" s="450"/>
      <c r="F71" s="450"/>
      <c r="G71" s="450"/>
      <c r="H71" s="450"/>
      <c r="I71" s="450"/>
      <c r="J71" s="450"/>
      <c r="K71" s="450"/>
      <c r="L71" s="450"/>
      <c r="M71" s="451"/>
      <c r="N71" s="450"/>
      <c r="O71" s="887"/>
      <c r="P71" s="2506"/>
      <c r="Q71" s="2506"/>
      <c r="R71" s="2437"/>
      <c r="S71" s="2437"/>
      <c r="T71" s="2437"/>
      <c r="U71" s="2437"/>
      <c r="V71" s="2437"/>
      <c r="W71" s="2437"/>
      <c r="X71" s="2437"/>
      <c r="Y71" s="2437"/>
      <c r="Z71" s="2437"/>
      <c r="AA71" s="2437"/>
      <c r="AB71" s="2437"/>
      <c r="AC71" s="2437"/>
    </row>
    <row r="72" spans="1:29" s="102" customFormat="1" ht="14.4">
      <c r="A72" s="453" t="s">
        <v>1681</v>
      </c>
      <c r="B72" s="442"/>
      <c r="C72" s="454" t="s">
        <v>1776</v>
      </c>
      <c r="D72" s="31"/>
      <c r="E72" s="31"/>
      <c r="F72" s="31"/>
      <c r="G72" s="31"/>
      <c r="H72" s="31"/>
      <c r="I72" s="31"/>
      <c r="J72" s="31"/>
      <c r="K72" s="31"/>
      <c r="L72" s="455"/>
      <c r="M72" s="456"/>
      <c r="N72" s="2518"/>
      <c r="O72" s="2518"/>
      <c r="P72" s="2542"/>
      <c r="Q72" s="2506"/>
      <c r="R72" s="2437"/>
      <c r="S72" s="2437"/>
      <c r="T72" s="2437"/>
      <c r="U72" s="2437"/>
      <c r="V72" s="2437"/>
      <c r="W72" s="2437"/>
      <c r="X72" s="2437"/>
      <c r="Y72" s="2437"/>
      <c r="Z72" s="2437"/>
      <c r="AA72" s="2437"/>
      <c r="AB72" s="2437"/>
      <c r="AC72" s="2437"/>
    </row>
    <row r="73" spans="1:29" s="102" customFormat="1" ht="14.4" thickBot="1">
      <c r="A73" s="453"/>
      <c r="B73" s="442"/>
      <c r="C73" s="561">
        <v>100</v>
      </c>
      <c r="D73" s="444"/>
      <c r="E73" s="444"/>
      <c r="F73" s="444"/>
      <c r="G73" s="444"/>
      <c r="H73" s="444"/>
      <c r="I73" s="444"/>
      <c r="J73" s="444"/>
      <c r="K73" s="444"/>
      <c r="L73" s="444"/>
      <c r="M73" s="446"/>
      <c r="N73" s="2518"/>
      <c r="O73" s="2518"/>
      <c r="P73" s="2506"/>
      <c r="Q73" s="2506"/>
      <c r="R73" s="2437"/>
      <c r="S73" s="2437"/>
      <c r="T73" s="2437"/>
      <c r="U73" s="2437"/>
      <c r="V73" s="2437"/>
      <c r="W73" s="2437"/>
      <c r="X73" s="2437"/>
      <c r="Y73" s="2437"/>
      <c r="Z73" s="2437"/>
      <c r="AA73" s="2437"/>
      <c r="AB73" s="2437"/>
      <c r="AC73" s="2437"/>
    </row>
    <row r="74" spans="1:29" ht="28.8">
      <c r="A74" s="377" t="s">
        <v>1719</v>
      </c>
      <c r="B74" s="458" t="s">
        <v>1685</v>
      </c>
      <c r="C74" s="3194" t="s">
        <v>4044</v>
      </c>
      <c r="D74" s="3194" t="s">
        <v>4055</v>
      </c>
      <c r="E74" s="460" t="s">
        <v>4045</v>
      </c>
      <c r="F74" s="460"/>
      <c r="G74" s="460"/>
      <c r="H74" s="460"/>
      <c r="I74" s="460"/>
      <c r="J74" s="460"/>
      <c r="K74" s="461"/>
      <c r="L74" s="462"/>
      <c r="M74" s="463"/>
      <c r="N74" s="2519"/>
      <c r="O74" s="2519"/>
      <c r="P74" s="2518"/>
      <c r="Q74" s="2506"/>
      <c r="R74" s="2485"/>
      <c r="S74" s="2485"/>
      <c r="T74" s="2485"/>
      <c r="U74" s="2485"/>
      <c r="V74" s="2485"/>
      <c r="W74" s="2485"/>
      <c r="X74" s="2485"/>
      <c r="Y74" s="2485"/>
      <c r="Z74" s="2485"/>
      <c r="AA74" s="2485"/>
      <c r="AB74" s="2485"/>
      <c r="AC74" s="2485"/>
    </row>
    <row r="75" spans="1:29" ht="14.4" thickBot="1">
      <c r="A75" s="365"/>
      <c r="B75" s="464"/>
      <c r="C75" s="465">
        <v>100</v>
      </c>
      <c r="D75" s="465">
        <v>102</v>
      </c>
      <c r="E75" s="465">
        <v>100</v>
      </c>
      <c r="F75" s="465"/>
      <c r="G75" s="465"/>
      <c r="H75" s="465"/>
      <c r="I75" s="465"/>
      <c r="J75" s="465"/>
      <c r="K75" s="465"/>
      <c r="L75" s="465"/>
      <c r="M75" s="466"/>
      <c r="N75" s="2520"/>
      <c r="O75" s="2520"/>
      <c r="P75" s="2518"/>
      <c r="Q75" s="2506"/>
      <c r="R75" s="2485"/>
      <c r="S75" s="2485"/>
      <c r="T75" s="2485"/>
      <c r="U75" s="2485"/>
      <c r="V75" s="2485"/>
      <c r="W75" s="2485"/>
      <c r="X75" s="2485"/>
      <c r="Y75" s="2485"/>
      <c r="Z75" s="2485"/>
      <c r="AA75" s="2485"/>
      <c r="AB75" s="2485"/>
      <c r="AC75" s="2485"/>
    </row>
    <row r="76" spans="1:29" ht="29.4" thickTop="1">
      <c r="A76" s="365"/>
      <c r="B76" s="467" t="s">
        <v>1688</v>
      </c>
      <c r="C76" s="468"/>
      <c r="D76" s="468"/>
      <c r="E76" s="468"/>
      <c r="F76" s="468"/>
      <c r="G76" s="468"/>
      <c r="H76" s="468"/>
      <c r="I76" s="468"/>
      <c r="J76" s="468"/>
      <c r="K76" s="469"/>
      <c r="L76" s="470"/>
      <c r="M76" s="471"/>
      <c r="N76" s="2519"/>
      <c r="O76" s="2519"/>
      <c r="P76" s="2518"/>
      <c r="Q76" s="2506"/>
      <c r="R76" s="2485"/>
      <c r="S76" s="2485"/>
      <c r="T76" s="2485"/>
      <c r="U76" s="2485"/>
      <c r="V76" s="2485"/>
      <c r="W76" s="2485"/>
      <c r="X76" s="2485"/>
      <c r="Y76" s="2485"/>
      <c r="Z76" s="2485"/>
      <c r="AA76" s="2485"/>
      <c r="AB76" s="2485"/>
      <c r="AC76" s="2485"/>
    </row>
    <row r="77" spans="1:29" ht="14.4" thickBot="1">
      <c r="A77" s="365"/>
      <c r="B77" s="472"/>
      <c r="C77" s="473"/>
      <c r="D77" s="473"/>
      <c r="E77" s="473"/>
      <c r="F77" s="473"/>
      <c r="G77" s="473"/>
      <c r="H77" s="473"/>
      <c r="I77" s="473"/>
      <c r="J77" s="473"/>
      <c r="K77" s="473"/>
      <c r="L77" s="473"/>
      <c r="M77" s="474"/>
      <c r="N77" s="2520"/>
      <c r="O77" s="2520"/>
      <c r="P77" s="2518"/>
      <c r="Q77" s="2506"/>
      <c r="R77" s="2485"/>
      <c r="S77" s="2485"/>
      <c r="T77" s="2485"/>
      <c r="U77" s="2485"/>
      <c r="V77" s="2485"/>
      <c r="W77" s="2485"/>
      <c r="X77" s="2485"/>
      <c r="Y77" s="2485"/>
      <c r="Z77" s="2485"/>
      <c r="AA77" s="2485"/>
      <c r="AB77" s="2485"/>
      <c r="AC77" s="2485"/>
    </row>
    <row r="78" spans="1:29" ht="15" thickTop="1">
      <c r="A78" s="365"/>
      <c r="B78" s="475" t="s">
        <v>1689</v>
      </c>
      <c r="C78" s="476" t="str">
        <f>C79&amp;"（含）"&amp;"-"&amp;D79</f>
        <v>0（含）-1</v>
      </c>
      <c r="D78" s="476" t="str">
        <f t="shared" ref="D78:L78" si="21">D79&amp;"（含）"&amp;"-"&amp;E79</f>
        <v>1（含）-2</v>
      </c>
      <c r="E78" s="476" t="str">
        <f t="shared" si="21"/>
        <v>2（含）-3</v>
      </c>
      <c r="F78" s="476" t="str">
        <f t="shared" si="21"/>
        <v>3（含）-4</v>
      </c>
      <c r="G78" s="476" t="str">
        <f t="shared" si="21"/>
        <v>4（含）-5</v>
      </c>
      <c r="H78" s="476" t="str">
        <f t="shared" si="21"/>
        <v>5（含）-6</v>
      </c>
      <c r="I78" s="476" t="str">
        <f t="shared" si="21"/>
        <v>6（含）-7</v>
      </c>
      <c r="J78" s="476" t="str">
        <f t="shared" si="21"/>
        <v>7（含）-8</v>
      </c>
      <c r="K78" s="476" t="str">
        <f t="shared" si="21"/>
        <v>8（含）-9</v>
      </c>
      <c r="L78" s="476" t="str">
        <f t="shared" si="21"/>
        <v>9（含）-10</v>
      </c>
      <c r="M78" s="385" t="str">
        <f>M79&amp;"（含）"&amp;"-"&amp;P79</f>
        <v>10（含）-</v>
      </c>
      <c r="N78" s="2520"/>
      <c r="O78" s="2520"/>
      <c r="P78" s="2518"/>
      <c r="Q78" s="2506"/>
      <c r="R78" s="2485"/>
      <c r="S78" s="2485"/>
      <c r="T78" s="2485"/>
      <c r="U78" s="2485"/>
      <c r="V78" s="2485"/>
      <c r="W78" s="2485"/>
      <c r="X78" s="2485"/>
      <c r="Y78" s="2485"/>
      <c r="Z78" s="2485"/>
      <c r="AA78" s="2485"/>
      <c r="AB78" s="2485"/>
      <c r="AC78" s="2485"/>
    </row>
    <row r="79" spans="1:29">
      <c r="A79" s="365"/>
      <c r="B79" s="477"/>
      <c r="C79" s="478">
        <v>0</v>
      </c>
      <c r="D79" s="478">
        <v>1</v>
      </c>
      <c r="E79" s="478">
        <v>2</v>
      </c>
      <c r="F79" s="478">
        <v>3</v>
      </c>
      <c r="G79" s="478">
        <v>4</v>
      </c>
      <c r="H79" s="478">
        <v>5</v>
      </c>
      <c r="I79" s="478">
        <v>6</v>
      </c>
      <c r="J79" s="478">
        <v>7</v>
      </c>
      <c r="K79" s="478">
        <v>8</v>
      </c>
      <c r="L79" s="478">
        <v>9</v>
      </c>
      <c r="M79" s="478">
        <v>10</v>
      </c>
      <c r="N79" s="2519"/>
      <c r="O79" s="2519"/>
      <c r="P79" s="2518"/>
      <c r="Q79" s="2506"/>
      <c r="R79" s="2485"/>
      <c r="S79" s="2485"/>
      <c r="T79" s="2485"/>
      <c r="U79" s="2485"/>
      <c r="V79" s="2485"/>
      <c r="W79" s="2485"/>
      <c r="X79" s="2485"/>
      <c r="Y79" s="2485"/>
      <c r="Z79" s="2485"/>
      <c r="AA79" s="2485"/>
      <c r="AB79" s="2485"/>
      <c r="AC79" s="2485"/>
    </row>
    <row r="80" spans="1:29" ht="14.4" thickBot="1">
      <c r="A80" s="365"/>
      <c r="B80" s="464"/>
      <c r="C80" s="473">
        <v>100</v>
      </c>
      <c r="D80" s="473">
        <f t="shared" ref="D80:M80" si="22">IF($B$46="单位面积地价",C80+$K11,C80-$K11)</f>
        <v>98</v>
      </c>
      <c r="E80" s="473">
        <f t="shared" si="22"/>
        <v>96</v>
      </c>
      <c r="F80" s="473">
        <f t="shared" si="22"/>
        <v>94</v>
      </c>
      <c r="G80" s="473">
        <f t="shared" si="22"/>
        <v>92</v>
      </c>
      <c r="H80" s="473">
        <f t="shared" si="22"/>
        <v>90</v>
      </c>
      <c r="I80" s="473">
        <f t="shared" si="22"/>
        <v>88</v>
      </c>
      <c r="J80" s="473">
        <f t="shared" si="22"/>
        <v>86</v>
      </c>
      <c r="K80" s="473">
        <f t="shared" si="22"/>
        <v>84</v>
      </c>
      <c r="L80" s="473">
        <f t="shared" si="22"/>
        <v>82</v>
      </c>
      <c r="M80" s="473">
        <f t="shared" si="22"/>
        <v>80</v>
      </c>
      <c r="N80" s="2520"/>
      <c r="O80" s="2520"/>
      <c r="P80" s="2518"/>
      <c r="Q80" s="2506"/>
      <c r="R80" s="2485"/>
      <c r="S80" s="2485"/>
      <c r="T80" s="2485"/>
      <c r="U80" s="2485"/>
      <c r="V80" s="2485"/>
      <c r="W80" s="2485"/>
      <c r="X80" s="2485"/>
      <c r="Y80" s="2485"/>
      <c r="Z80" s="2485"/>
      <c r="AA80" s="2485"/>
      <c r="AB80" s="2485"/>
      <c r="AC80" s="2485"/>
    </row>
    <row r="81" spans="1:29" s="406" customFormat="1" ht="14.4" thickTop="1">
      <c r="A81" s="482"/>
      <c r="B81" s="467" t="str">
        <f>B12</f>
        <v>配建</v>
      </c>
      <c r="C81" s="483"/>
      <c r="D81" s="483"/>
      <c r="E81" s="483"/>
      <c r="F81" s="483"/>
      <c r="G81" s="483"/>
      <c r="H81" s="484"/>
      <c r="I81" s="484"/>
      <c r="J81" s="484"/>
      <c r="K81" s="484"/>
      <c r="L81" s="485"/>
      <c r="M81" s="486"/>
      <c r="N81" s="2521"/>
      <c r="O81" s="2521"/>
      <c r="P81" s="2521"/>
      <c r="Q81" s="2513"/>
      <c r="R81" s="2491"/>
      <c r="S81" s="2491"/>
      <c r="T81" s="2491"/>
      <c r="U81" s="2491"/>
      <c r="V81" s="2491"/>
      <c r="W81" s="2491"/>
      <c r="X81" s="2491"/>
      <c r="Y81" s="2491"/>
      <c r="Z81" s="2491"/>
      <c r="AA81" s="2491"/>
      <c r="AB81" s="2491"/>
      <c r="AC81" s="2491"/>
    </row>
    <row r="82" spans="1:29" s="406" customFormat="1" ht="14.4" thickBot="1">
      <c r="A82" s="482"/>
      <c r="B82" s="472"/>
      <c r="C82" s="489"/>
      <c r="D82" s="465"/>
      <c r="E82" s="465"/>
      <c r="F82" s="465"/>
      <c r="G82" s="465"/>
      <c r="H82" s="465"/>
      <c r="I82" s="465"/>
      <c r="J82" s="465"/>
      <c r="K82" s="465"/>
      <c r="L82" s="465"/>
      <c r="M82" s="466"/>
      <c r="N82" s="2520"/>
      <c r="O82" s="2520"/>
      <c r="P82" s="2521"/>
      <c r="Q82" s="2513"/>
      <c r="R82" s="2491"/>
      <c r="S82" s="2491"/>
      <c r="T82" s="2491"/>
      <c r="U82" s="2491"/>
      <c r="V82" s="2491"/>
      <c r="W82" s="2491"/>
      <c r="X82" s="2491"/>
      <c r="Y82" s="2491"/>
      <c r="Z82" s="2491"/>
      <c r="AA82" s="2491"/>
      <c r="AB82" s="2491"/>
      <c r="AC82" s="2491"/>
    </row>
    <row r="83" spans="1:29" s="406" customFormat="1" ht="14.4" thickTop="1">
      <c r="A83" s="482"/>
      <c r="B83" s="467">
        <f>B13</f>
        <v>111</v>
      </c>
      <c r="C83" s="483"/>
      <c r="D83" s="483"/>
      <c r="E83" s="483"/>
      <c r="F83" s="483"/>
      <c r="G83" s="483"/>
      <c r="H83" s="484"/>
      <c r="I83" s="484"/>
      <c r="J83" s="484"/>
      <c r="K83" s="484"/>
      <c r="L83" s="485"/>
      <c r="M83" s="486"/>
      <c r="N83" s="2521"/>
      <c r="O83" s="2521"/>
      <c r="P83" s="2491"/>
      <c r="Q83" s="2515"/>
      <c r="R83" s="2491"/>
      <c r="S83" s="2491"/>
      <c r="T83" s="2491"/>
      <c r="U83" s="2491"/>
      <c r="V83" s="2491"/>
      <c r="W83" s="2491"/>
      <c r="X83" s="2491"/>
      <c r="Y83" s="2491"/>
      <c r="Z83" s="2491"/>
      <c r="AA83" s="2491"/>
      <c r="AB83" s="2491"/>
      <c r="AC83" s="2491"/>
    </row>
    <row r="84" spans="1:29" s="406" customFormat="1" ht="14.4" thickBot="1">
      <c r="A84" s="482"/>
      <c r="B84" s="472"/>
      <c r="C84" s="489"/>
      <c r="D84" s="489"/>
      <c r="E84" s="489"/>
      <c r="F84" s="489"/>
      <c r="G84" s="489"/>
      <c r="H84" s="491"/>
      <c r="I84" s="491"/>
      <c r="J84" s="491"/>
      <c r="K84" s="491"/>
      <c r="L84" s="491"/>
      <c r="M84" s="492"/>
      <c r="N84" s="2521"/>
      <c r="O84" s="2521"/>
      <c r="P84" s="2521"/>
      <c r="Q84" s="2513"/>
      <c r="R84" s="2491"/>
      <c r="S84" s="2491"/>
      <c r="T84" s="2491"/>
      <c r="U84" s="2491"/>
      <c r="V84" s="2491"/>
      <c r="W84" s="2491"/>
      <c r="X84" s="2491"/>
      <c r="Y84" s="2491"/>
      <c r="Z84" s="2491"/>
      <c r="AA84" s="2491"/>
      <c r="AB84" s="2491"/>
      <c r="AC84" s="2491"/>
    </row>
    <row r="85" spans="1:29" s="406" customFormat="1" ht="14.4" thickTop="1">
      <c r="A85" s="482"/>
      <c r="B85" s="475">
        <f>B14</f>
        <v>111</v>
      </c>
      <c r="C85" s="31"/>
      <c r="D85" s="31"/>
      <c r="E85" s="31"/>
      <c r="F85" s="31"/>
      <c r="G85" s="31"/>
      <c r="H85" s="493"/>
      <c r="I85" s="493"/>
      <c r="J85" s="493"/>
      <c r="K85" s="493"/>
      <c r="L85" s="494"/>
      <c r="M85" s="495"/>
      <c r="N85" s="2521"/>
      <c r="O85" s="2521"/>
      <c r="P85" s="2546"/>
      <c r="Q85" s="2513"/>
      <c r="R85" s="2491"/>
      <c r="S85" s="2491"/>
      <c r="T85" s="2491"/>
      <c r="U85" s="2491"/>
      <c r="V85" s="2491"/>
      <c r="W85" s="2491"/>
      <c r="X85" s="2491"/>
      <c r="Y85" s="2491"/>
      <c r="Z85" s="2491"/>
      <c r="AA85" s="2491"/>
      <c r="AB85" s="2491"/>
      <c r="AC85" s="2491"/>
    </row>
    <row r="86" spans="1:29" s="406" customFormat="1" ht="14.4" thickBot="1">
      <c r="A86" s="497"/>
      <c r="B86" s="498"/>
      <c r="C86" s="499"/>
      <c r="D86" s="499"/>
      <c r="E86" s="499"/>
      <c r="F86" s="499"/>
      <c r="G86" s="499"/>
      <c r="H86" s="500"/>
      <c r="I86" s="500"/>
      <c r="J86" s="500"/>
      <c r="K86" s="500"/>
      <c r="L86" s="500"/>
      <c r="M86" s="501"/>
      <c r="N86" s="2521"/>
      <c r="O86" s="2521"/>
      <c r="P86" s="2521"/>
      <c r="Q86" s="2513"/>
      <c r="R86" s="2491"/>
      <c r="S86" s="2491"/>
      <c r="T86" s="2491"/>
      <c r="U86" s="2491"/>
      <c r="V86" s="2491"/>
      <c r="W86" s="2491"/>
      <c r="X86" s="2491"/>
      <c r="Y86" s="2491"/>
      <c r="Z86" s="2491"/>
      <c r="AA86" s="2491"/>
      <c r="AB86" s="2491"/>
      <c r="AC86" s="2491"/>
    </row>
    <row r="87" spans="1:29" ht="14.4">
      <c r="A87" s="377" t="s">
        <v>1690</v>
      </c>
      <c r="B87" s="458" t="s">
        <v>1720</v>
      </c>
      <c r="C87" s="502" t="s">
        <v>1721</v>
      </c>
      <c r="D87" s="502" t="s">
        <v>1722</v>
      </c>
      <c r="E87" s="502" t="s">
        <v>1723</v>
      </c>
      <c r="F87" s="502" t="s">
        <v>1724</v>
      </c>
      <c r="G87" s="502" t="s">
        <v>1725</v>
      </c>
      <c r="H87" s="459"/>
      <c r="I87" s="459"/>
      <c r="J87" s="459"/>
      <c r="K87" s="503"/>
      <c r="L87" s="504"/>
      <c r="M87" s="505"/>
      <c r="N87" s="2519"/>
      <c r="O87" s="2519"/>
      <c r="P87" s="2543"/>
      <c r="Q87" s="2506"/>
      <c r="R87" s="2485"/>
      <c r="S87" s="2485"/>
      <c r="T87" s="2485"/>
      <c r="U87" s="2485"/>
      <c r="V87" s="2485"/>
      <c r="W87" s="2485"/>
      <c r="X87" s="2485"/>
      <c r="Y87" s="2485"/>
      <c r="Z87" s="2485"/>
      <c r="AA87" s="2485"/>
      <c r="AB87" s="2485"/>
      <c r="AC87" s="2485"/>
    </row>
    <row r="88" spans="1:29" ht="14.4" thickBot="1">
      <c r="A88" s="365"/>
      <c r="B88" s="472"/>
      <c r="C88" s="473">
        <v>100</v>
      </c>
      <c r="D88" s="473">
        <f>C88-$K15</f>
        <v>98</v>
      </c>
      <c r="E88" s="473">
        <f>D88-$K15</f>
        <v>96</v>
      </c>
      <c r="F88" s="473">
        <f>E88-$K15</f>
        <v>94</v>
      </c>
      <c r="G88" s="473">
        <f>F88-$K15</f>
        <v>92</v>
      </c>
      <c r="H88" s="473"/>
      <c r="I88" s="473"/>
      <c r="J88" s="473"/>
      <c r="K88" s="473"/>
      <c r="L88" s="473"/>
      <c r="M88" s="474"/>
      <c r="N88" s="2520"/>
      <c r="O88" s="2520"/>
      <c r="P88" s="2518"/>
      <c r="Q88" s="2506"/>
      <c r="R88" s="2485"/>
      <c r="S88" s="2485"/>
      <c r="T88" s="2485"/>
      <c r="U88" s="2485"/>
      <c r="V88" s="2485"/>
      <c r="W88" s="2485"/>
      <c r="X88" s="2485"/>
      <c r="Y88" s="2485"/>
      <c r="Z88" s="2485"/>
      <c r="AA88" s="2485"/>
      <c r="AB88" s="2485"/>
      <c r="AC88" s="2485"/>
    </row>
    <row r="89" spans="1:29" ht="15" thickTop="1">
      <c r="A89" s="365"/>
      <c r="B89" s="467" t="s">
        <v>1906</v>
      </c>
      <c r="C89" s="507" t="s">
        <v>1721</v>
      </c>
      <c r="D89" s="507" t="s">
        <v>1722</v>
      </c>
      <c r="E89" s="507" t="s">
        <v>1723</v>
      </c>
      <c r="F89" s="507" t="s">
        <v>1724</v>
      </c>
      <c r="G89" s="507" t="s">
        <v>1725</v>
      </c>
      <c r="H89" s="468"/>
      <c r="I89" s="468"/>
      <c r="J89" s="468"/>
      <c r="K89" s="469"/>
      <c r="L89" s="470"/>
      <c r="M89" s="471"/>
      <c r="N89" s="2519"/>
      <c r="O89" s="2519"/>
      <c r="P89" s="2518"/>
      <c r="Q89" s="2506"/>
      <c r="R89" s="2485"/>
      <c r="S89" s="2485"/>
      <c r="T89" s="2485"/>
      <c r="U89" s="2485"/>
      <c r="V89" s="2485"/>
      <c r="W89" s="2485"/>
      <c r="X89" s="2485"/>
      <c r="Y89" s="2485"/>
      <c r="Z89" s="2485"/>
      <c r="AA89" s="2485"/>
      <c r="AB89" s="2485"/>
      <c r="AC89" s="2485"/>
    </row>
    <row r="90" spans="1:29" ht="14.4" thickBot="1">
      <c r="A90" s="365"/>
      <c r="B90" s="472"/>
      <c r="C90" s="473">
        <v>100</v>
      </c>
      <c r="D90" s="473">
        <f>C90-$K17</f>
        <v>98</v>
      </c>
      <c r="E90" s="473">
        <f>D90-$K17</f>
        <v>96</v>
      </c>
      <c r="F90" s="473">
        <f>E90-$K17</f>
        <v>94</v>
      </c>
      <c r="G90" s="473">
        <f>F90-$K17</f>
        <v>92</v>
      </c>
      <c r="H90" s="473"/>
      <c r="I90" s="473"/>
      <c r="J90" s="473"/>
      <c r="K90" s="473"/>
      <c r="L90" s="473"/>
      <c r="M90" s="474"/>
      <c r="N90" s="2520"/>
      <c r="O90" s="2520"/>
      <c r="P90" s="2518"/>
      <c r="Q90" s="2506"/>
      <c r="R90" s="2485"/>
      <c r="S90" s="2485"/>
      <c r="T90" s="2485"/>
      <c r="U90" s="2485"/>
      <c r="V90" s="2485"/>
      <c r="W90" s="2485"/>
      <c r="X90" s="2485"/>
      <c r="Y90" s="2485"/>
      <c r="Z90" s="2485"/>
      <c r="AA90" s="2485"/>
      <c r="AB90" s="2485"/>
      <c r="AC90" s="2485"/>
    </row>
    <row r="91" spans="1:29" ht="15" thickTop="1">
      <c r="A91" s="365"/>
      <c r="B91" s="467" t="s">
        <v>1821</v>
      </c>
      <c r="C91" s="507" t="s">
        <v>1721</v>
      </c>
      <c r="D91" s="507" t="s">
        <v>1722</v>
      </c>
      <c r="E91" s="507" t="s">
        <v>1723</v>
      </c>
      <c r="F91" s="507" t="s">
        <v>1724</v>
      </c>
      <c r="G91" s="507" t="s">
        <v>1725</v>
      </c>
      <c r="H91" s="468"/>
      <c r="I91" s="468"/>
      <c r="J91" s="468"/>
      <c r="K91" s="469"/>
      <c r="L91" s="470"/>
      <c r="M91" s="471"/>
      <c r="N91" s="2519"/>
      <c r="O91" s="2519"/>
      <c r="P91" s="2518"/>
      <c r="Q91" s="2506"/>
      <c r="R91" s="2485"/>
      <c r="S91" s="2485"/>
      <c r="T91" s="2485"/>
      <c r="U91" s="2485"/>
      <c r="V91" s="2485"/>
      <c r="W91" s="2485"/>
      <c r="X91" s="2485"/>
      <c r="Y91" s="2485"/>
      <c r="Z91" s="2485"/>
      <c r="AA91" s="2485"/>
      <c r="AB91" s="2485"/>
      <c r="AC91" s="2485"/>
    </row>
    <row r="92" spans="1:29" ht="14.4" thickBot="1">
      <c r="A92" s="365"/>
      <c r="B92" s="472"/>
      <c r="C92" s="473">
        <v>100</v>
      </c>
      <c r="D92" s="473">
        <f>C92-$K19</f>
        <v>98</v>
      </c>
      <c r="E92" s="473">
        <f>D92-$K19</f>
        <v>96</v>
      </c>
      <c r="F92" s="473">
        <f>E92-$K19</f>
        <v>94</v>
      </c>
      <c r="G92" s="473">
        <f>F92-$K19</f>
        <v>92</v>
      </c>
      <c r="H92" s="473"/>
      <c r="I92" s="473"/>
      <c r="J92" s="473"/>
      <c r="K92" s="473"/>
      <c r="L92" s="473"/>
      <c r="M92" s="474"/>
      <c r="N92" s="2520"/>
      <c r="O92" s="2520"/>
      <c r="P92" s="2518"/>
      <c r="Q92" s="2506"/>
      <c r="R92" s="2485"/>
      <c r="S92" s="2485"/>
      <c r="T92" s="2485"/>
      <c r="U92" s="2485"/>
      <c r="V92" s="2485"/>
      <c r="W92" s="2485"/>
      <c r="X92" s="2485"/>
      <c r="Y92" s="2485"/>
      <c r="Z92" s="2485"/>
      <c r="AA92" s="2485"/>
      <c r="AB92" s="2485"/>
      <c r="AC92" s="2485"/>
    </row>
    <row r="93" spans="1:29" ht="15" thickTop="1">
      <c r="A93" s="365"/>
      <c r="B93" s="467" t="s">
        <v>1726</v>
      </c>
      <c r="C93" s="507" t="s">
        <v>1721</v>
      </c>
      <c r="D93" s="507" t="s">
        <v>1722</v>
      </c>
      <c r="E93" s="507" t="s">
        <v>1723</v>
      </c>
      <c r="F93" s="507" t="s">
        <v>1724</v>
      </c>
      <c r="G93" s="507" t="s">
        <v>1725</v>
      </c>
      <c r="H93" s="468"/>
      <c r="I93" s="468"/>
      <c r="J93" s="468"/>
      <c r="K93" s="469"/>
      <c r="L93" s="470"/>
      <c r="M93" s="471"/>
      <c r="N93" s="2519"/>
      <c r="O93" s="2519"/>
      <c r="P93" s="2518"/>
      <c r="Q93" s="2506"/>
      <c r="R93" s="2485"/>
      <c r="S93" s="2485"/>
      <c r="T93" s="2485"/>
      <c r="U93" s="2485"/>
      <c r="V93" s="2485"/>
      <c r="W93" s="2485"/>
      <c r="X93" s="2485"/>
      <c r="Y93" s="2485"/>
      <c r="Z93" s="2485"/>
      <c r="AA93" s="2485"/>
      <c r="AB93" s="2485"/>
      <c r="AC93" s="2485"/>
    </row>
    <row r="94" spans="1:29" ht="14.4" thickBot="1">
      <c r="A94" s="365"/>
      <c r="B94" s="472"/>
      <c r="C94" s="473">
        <v>100</v>
      </c>
      <c r="D94" s="473">
        <f>C94-$K21</f>
        <v>98</v>
      </c>
      <c r="E94" s="473">
        <f>D94-$K21</f>
        <v>96</v>
      </c>
      <c r="F94" s="473">
        <f>E94-$K21</f>
        <v>94</v>
      </c>
      <c r="G94" s="473">
        <f>F94-$K21</f>
        <v>92</v>
      </c>
      <c r="H94" s="473"/>
      <c r="I94" s="473"/>
      <c r="J94" s="473"/>
      <c r="K94" s="473"/>
      <c r="L94" s="473"/>
      <c r="M94" s="474"/>
      <c r="N94" s="2520"/>
      <c r="O94" s="2520"/>
      <c r="P94" s="2518"/>
      <c r="Q94" s="2506"/>
      <c r="R94" s="2485"/>
      <c r="S94" s="2485"/>
      <c r="T94" s="2485"/>
      <c r="U94" s="2485"/>
      <c r="V94" s="2485"/>
      <c r="W94" s="2485"/>
      <c r="X94" s="2485"/>
      <c r="Y94" s="2485"/>
      <c r="Z94" s="2485"/>
      <c r="AA94" s="2485"/>
      <c r="AB94" s="2485"/>
      <c r="AC94" s="2485"/>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8"/>
      <c r="O95" s="2518"/>
      <c r="P95" s="2518"/>
      <c r="Q95" s="2506"/>
      <c r="R95" s="2437"/>
      <c r="S95" s="2437"/>
      <c r="T95" s="2437"/>
      <c r="U95" s="2437"/>
      <c r="V95" s="2437"/>
      <c r="W95" s="2437"/>
      <c r="X95" s="2437"/>
      <c r="Y95" s="2437"/>
      <c r="Z95" s="2437"/>
      <c r="AA95" s="2437"/>
      <c r="AB95" s="2437"/>
      <c r="AC95" s="2437"/>
    </row>
    <row r="96" spans="1:29" s="102" customFormat="1" ht="14.4" thickBot="1">
      <c r="A96" s="368"/>
      <c r="B96" s="472"/>
      <c r="C96" s="510">
        <v>100</v>
      </c>
      <c r="D96" s="473">
        <f>C96-$K23</f>
        <v>98</v>
      </c>
      <c r="E96" s="473">
        <f>D96-$K23</f>
        <v>96</v>
      </c>
      <c r="F96" s="473">
        <f>E96-$K23</f>
        <v>94</v>
      </c>
      <c r="G96" s="473">
        <f>F96-$K23</f>
        <v>92</v>
      </c>
      <c r="H96" s="473"/>
      <c r="I96" s="473"/>
      <c r="J96" s="473"/>
      <c r="K96" s="473"/>
      <c r="L96" s="473"/>
      <c r="M96" s="474"/>
      <c r="N96" s="2520"/>
      <c r="O96" s="2520"/>
      <c r="P96" s="2518"/>
      <c r="Q96" s="2506"/>
      <c r="R96" s="2437"/>
      <c r="S96" s="2437"/>
      <c r="T96" s="2437"/>
      <c r="U96" s="2437"/>
      <c r="V96" s="2437"/>
      <c r="W96" s="2437"/>
      <c r="X96" s="2437"/>
      <c r="Y96" s="2437"/>
      <c r="Z96" s="2437"/>
      <c r="AA96" s="2437"/>
      <c r="AB96" s="2437"/>
      <c r="AC96" s="2437"/>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8"/>
      <c r="O97" s="2518"/>
      <c r="P97" s="2518"/>
      <c r="Q97" s="2506"/>
      <c r="R97" s="2437"/>
      <c r="S97" s="2437"/>
      <c r="T97" s="2437"/>
      <c r="U97" s="2437"/>
      <c r="V97" s="2437"/>
      <c r="W97" s="2437"/>
      <c r="X97" s="2437"/>
      <c r="Y97" s="2437"/>
      <c r="Z97" s="2437"/>
      <c r="AA97" s="2437"/>
      <c r="AB97" s="2437"/>
      <c r="AC97" s="2437"/>
    </row>
    <row r="98" spans="1:29" s="102" customFormat="1" ht="14.4" thickBot="1">
      <c r="A98" s="368"/>
      <c r="B98" s="472"/>
      <c r="C98" s="473">
        <v>100</v>
      </c>
      <c r="D98" s="473">
        <f>C98-$K25</f>
        <v>98</v>
      </c>
      <c r="E98" s="473">
        <f>D98-$K25</f>
        <v>96</v>
      </c>
      <c r="F98" s="473">
        <f>E98-$K25</f>
        <v>94</v>
      </c>
      <c r="G98" s="473">
        <f>F98-$K25</f>
        <v>92</v>
      </c>
      <c r="H98" s="473"/>
      <c r="I98" s="473"/>
      <c r="J98" s="473"/>
      <c r="K98" s="473"/>
      <c r="L98" s="473"/>
      <c r="M98" s="474"/>
      <c r="N98" s="2520"/>
      <c r="O98" s="2520"/>
      <c r="P98" s="2518"/>
      <c r="Q98" s="2506"/>
      <c r="R98" s="2437"/>
      <c r="S98" s="2437"/>
      <c r="T98" s="2437"/>
      <c r="U98" s="2437"/>
      <c r="V98" s="2437"/>
      <c r="W98" s="2437"/>
      <c r="X98" s="2437"/>
      <c r="Y98" s="2437"/>
      <c r="Z98" s="2437"/>
      <c r="AA98" s="2437"/>
      <c r="AB98" s="2437"/>
      <c r="AC98" s="2437"/>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21"/>
      <c r="O99" s="2521"/>
      <c r="P99" s="2521"/>
      <c r="Q99" s="2513"/>
      <c r="R99" s="2491"/>
      <c r="S99" s="2491"/>
      <c r="T99" s="2491"/>
      <c r="U99" s="2491"/>
      <c r="V99" s="2491"/>
      <c r="W99" s="2491"/>
      <c r="X99" s="2491"/>
      <c r="Y99" s="2491"/>
      <c r="Z99" s="2491"/>
      <c r="AA99" s="2491"/>
      <c r="AB99" s="2491"/>
      <c r="AC99" s="2491"/>
    </row>
    <row r="100" spans="1:29" s="406" customFormat="1" ht="14.4" thickBot="1">
      <c r="A100" s="482"/>
      <c r="B100" s="472"/>
      <c r="C100" s="473">
        <v>100</v>
      </c>
      <c r="D100" s="473">
        <f>C100-$K27</f>
        <v>98</v>
      </c>
      <c r="E100" s="473">
        <f>D100-$K27</f>
        <v>96</v>
      </c>
      <c r="F100" s="473">
        <f>E100-$K27</f>
        <v>94</v>
      </c>
      <c r="G100" s="473">
        <f>F100-$K27</f>
        <v>92</v>
      </c>
      <c r="H100" s="532"/>
      <c r="I100" s="532"/>
      <c r="J100" s="532"/>
      <c r="K100" s="532"/>
      <c r="L100" s="532"/>
      <c r="M100" s="533"/>
      <c r="N100" s="2521"/>
      <c r="O100" s="2521"/>
      <c r="P100" s="2521"/>
      <c r="Q100" s="2513"/>
      <c r="R100" s="2491"/>
      <c r="S100" s="2491"/>
      <c r="T100" s="2491"/>
      <c r="U100" s="2491"/>
      <c r="V100" s="2491"/>
      <c r="W100" s="2491"/>
      <c r="X100" s="2491"/>
      <c r="Y100" s="2491"/>
      <c r="Z100" s="2491"/>
      <c r="AA100" s="2491"/>
      <c r="AB100" s="2491"/>
      <c r="AC100" s="2491"/>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3"/>
      <c r="N101" s="2521"/>
      <c r="O101" s="2521"/>
      <c r="P101" s="2521"/>
      <c r="Q101" s="2513"/>
      <c r="R101" s="2491"/>
      <c r="S101" s="2491"/>
      <c r="T101" s="2491"/>
      <c r="U101" s="2491"/>
      <c r="V101" s="2491"/>
      <c r="W101" s="2491"/>
      <c r="X101" s="2491"/>
      <c r="Y101" s="2491"/>
      <c r="Z101" s="2491"/>
      <c r="AA101" s="2491"/>
      <c r="AB101" s="2491"/>
      <c r="AC101" s="2491"/>
    </row>
    <row r="102" spans="1:29" s="406" customFormat="1" ht="14.4" thickBot="1">
      <c r="A102" s="482"/>
      <c r="B102" s="475"/>
      <c r="C102" s="473">
        <v>100</v>
      </c>
      <c r="D102" s="473">
        <f>C102-$K29</f>
        <v>98</v>
      </c>
      <c r="E102" s="473">
        <f>D102-$K29</f>
        <v>96</v>
      </c>
      <c r="F102" s="473">
        <f>E102-$K29</f>
        <v>94</v>
      </c>
      <c r="G102" s="473">
        <f>F102-$K29</f>
        <v>92</v>
      </c>
      <c r="H102" s="477"/>
      <c r="I102" s="477"/>
      <c r="J102" s="477"/>
      <c r="K102" s="477"/>
      <c r="L102" s="477"/>
      <c r="M102" s="1063"/>
      <c r="N102" s="2521"/>
      <c r="O102" s="2521"/>
      <c r="P102" s="2521"/>
      <c r="Q102" s="2513"/>
      <c r="R102" s="2491"/>
      <c r="S102" s="2491"/>
      <c r="T102" s="2491"/>
      <c r="U102" s="2491"/>
      <c r="V102" s="2491"/>
      <c r="W102" s="2491"/>
      <c r="X102" s="2491"/>
      <c r="Y102" s="2491"/>
      <c r="Z102" s="2491"/>
      <c r="AA102" s="2491"/>
      <c r="AB102" s="2491"/>
      <c r="AC102" s="2491"/>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9"/>
      <c r="O103" s="2519"/>
      <c r="P103" s="2518"/>
      <c r="Q103" s="2506"/>
      <c r="R103" s="2485"/>
      <c r="S103" s="2485"/>
      <c r="T103" s="2485"/>
      <c r="U103" s="2485"/>
      <c r="V103" s="2485"/>
      <c r="W103" s="2485"/>
      <c r="X103" s="2485"/>
      <c r="Y103" s="2485"/>
      <c r="Z103" s="2485"/>
      <c r="AA103" s="2485"/>
      <c r="AB103" s="2485"/>
      <c r="AC103" s="2485"/>
    </row>
    <row r="104" spans="1:29" ht="14.4" thickBot="1">
      <c r="A104" s="365"/>
      <c r="B104" s="472"/>
      <c r="C104" s="473">
        <v>100</v>
      </c>
      <c r="D104" s="473">
        <f t="shared" ref="D104:M104" si="23">C104-$K31</f>
        <v>100</v>
      </c>
      <c r="E104" s="473">
        <f t="shared" si="23"/>
        <v>100</v>
      </c>
      <c r="F104" s="473">
        <f t="shared" si="23"/>
        <v>100</v>
      </c>
      <c r="G104" s="473">
        <f t="shared" si="23"/>
        <v>100</v>
      </c>
      <c r="H104" s="473">
        <f t="shared" si="23"/>
        <v>100</v>
      </c>
      <c r="I104" s="473">
        <f t="shared" si="23"/>
        <v>100</v>
      </c>
      <c r="J104" s="473">
        <f t="shared" si="23"/>
        <v>100</v>
      </c>
      <c r="K104" s="473">
        <f t="shared" si="23"/>
        <v>100</v>
      </c>
      <c r="L104" s="473">
        <f t="shared" si="23"/>
        <v>100</v>
      </c>
      <c r="M104" s="473">
        <f t="shared" si="23"/>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5"/>
      <c r="B105" s="467" t="s">
        <v>1815</v>
      </c>
      <c r="C105" s="483"/>
      <c r="D105" s="483"/>
      <c r="E105" s="483"/>
      <c r="F105" s="483"/>
      <c r="G105" s="483"/>
      <c r="H105" s="511"/>
      <c r="I105" s="511"/>
      <c r="J105" s="511"/>
      <c r="K105" s="512"/>
      <c r="L105" s="513"/>
      <c r="M105" s="514"/>
      <c r="N105" s="2519"/>
      <c r="O105" s="2519"/>
      <c r="P105" s="2518"/>
      <c r="Q105" s="2506"/>
      <c r="R105" s="2485"/>
      <c r="S105" s="2485"/>
      <c r="T105" s="2485"/>
      <c r="U105" s="2485"/>
      <c r="V105" s="2485"/>
      <c r="W105" s="2485"/>
      <c r="X105" s="2485"/>
      <c r="Y105" s="2485"/>
      <c r="Z105" s="2485"/>
      <c r="AA105" s="2485"/>
      <c r="AB105" s="2485"/>
      <c r="AC105" s="2485"/>
    </row>
    <row r="106" spans="1:29" ht="14.4" thickBot="1">
      <c r="A106" s="365"/>
      <c r="B106" s="472"/>
      <c r="C106" s="473">
        <v>100</v>
      </c>
      <c r="D106" s="473">
        <f t="shared" ref="D106:M106" si="24">C106-$K32</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3">
        <f t="shared" si="24"/>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5"/>
      <c r="B107" s="467" t="s">
        <v>1873</v>
      </c>
      <c r="C107" s="511"/>
      <c r="D107" s="511"/>
      <c r="E107" s="511"/>
      <c r="F107" s="511"/>
      <c r="G107" s="511"/>
      <c r="H107" s="511"/>
      <c r="I107" s="511"/>
      <c r="J107" s="511"/>
      <c r="K107" s="512"/>
      <c r="L107" s="513"/>
      <c r="M107" s="514"/>
      <c r="N107" s="2519"/>
      <c r="O107" s="2519"/>
      <c r="P107" s="2518"/>
      <c r="Q107" s="2506"/>
      <c r="R107" s="2485"/>
      <c r="S107" s="2485"/>
      <c r="T107" s="2485"/>
      <c r="U107" s="2485"/>
      <c r="V107" s="2485"/>
      <c r="W107" s="2485"/>
      <c r="X107" s="2485"/>
      <c r="Y107" s="2485"/>
      <c r="Z107" s="2485"/>
      <c r="AA107" s="2485"/>
      <c r="AB107" s="2485"/>
      <c r="AC107" s="2485"/>
    </row>
    <row r="108" spans="1:29" ht="14.4" thickBot="1">
      <c r="A108" s="365"/>
      <c r="B108" s="472"/>
      <c r="C108" s="473">
        <v>100</v>
      </c>
      <c r="D108" s="473">
        <f t="shared" ref="D108:M108" si="25">C108-$K34</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3">
        <f t="shared" si="25"/>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5"/>
      <c r="B109" s="475">
        <f>B35</f>
        <v>111</v>
      </c>
      <c r="C109" s="483"/>
      <c r="D109" s="483"/>
      <c r="E109" s="483"/>
      <c r="F109" s="483"/>
      <c r="G109" s="515"/>
      <c r="H109" s="515"/>
      <c r="I109" s="515"/>
      <c r="J109" s="515"/>
      <c r="K109" s="516"/>
      <c r="L109" s="517"/>
      <c r="M109" s="518"/>
      <c r="N109" s="2519"/>
      <c r="O109" s="2519"/>
      <c r="P109" s="2518"/>
      <c r="Q109" s="2506"/>
      <c r="R109" s="2485"/>
      <c r="S109" s="2485"/>
      <c r="T109" s="2485"/>
      <c r="U109" s="2485"/>
      <c r="V109" s="2485"/>
      <c r="W109" s="2485"/>
      <c r="X109" s="2485"/>
      <c r="Y109" s="2485"/>
      <c r="Z109" s="2485"/>
      <c r="AA109" s="2485"/>
      <c r="AB109" s="2485"/>
      <c r="AC109" s="2485"/>
    </row>
    <row r="110" spans="1:29" ht="14.4" thickBot="1">
      <c r="A110" s="365"/>
      <c r="B110" s="498"/>
      <c r="C110" s="489"/>
      <c r="D110" s="489"/>
      <c r="E110" s="489"/>
      <c r="F110" s="489"/>
      <c r="G110" s="519"/>
      <c r="H110" s="519"/>
      <c r="I110" s="519"/>
      <c r="J110" s="519"/>
      <c r="K110" s="519"/>
      <c r="L110" s="519"/>
      <c r="M110" s="520"/>
      <c r="N110" s="2520"/>
      <c r="O110" s="2520"/>
      <c r="P110" s="2518"/>
      <c r="Q110" s="2506"/>
      <c r="R110" s="2485"/>
      <c r="S110" s="2485"/>
      <c r="T110" s="2485"/>
      <c r="U110" s="2485"/>
      <c r="V110" s="2485"/>
      <c r="W110" s="2485"/>
      <c r="X110" s="2485"/>
      <c r="Y110" s="2485"/>
      <c r="Z110" s="2485"/>
      <c r="AA110" s="2485"/>
      <c r="AB110" s="2485"/>
      <c r="AC110" s="2485"/>
    </row>
    <row r="111" spans="1:29" ht="14.4" thickTop="1">
      <c r="A111" s="593"/>
      <c r="B111" s="467">
        <f>B36</f>
        <v>111</v>
      </c>
      <c r="C111" s="31"/>
      <c r="D111" s="31"/>
      <c r="E111" s="31"/>
      <c r="F111" s="31"/>
      <c r="G111" s="511"/>
      <c r="H111" s="511"/>
      <c r="I111" s="511"/>
      <c r="J111" s="511"/>
      <c r="K111" s="512"/>
      <c r="L111" s="513"/>
      <c r="M111" s="514"/>
      <c r="N111" s="2519"/>
      <c r="O111" s="2519"/>
      <c r="P111" s="2518"/>
      <c r="Q111" s="2506"/>
      <c r="R111" s="2485"/>
      <c r="S111" s="2485"/>
      <c r="T111" s="2485"/>
      <c r="U111" s="2485"/>
      <c r="V111" s="2485"/>
      <c r="W111" s="2485"/>
      <c r="X111" s="2485"/>
      <c r="Y111" s="2485"/>
      <c r="Z111" s="2485"/>
      <c r="AA111" s="2485"/>
      <c r="AB111" s="2485"/>
      <c r="AC111" s="2485"/>
    </row>
    <row r="112" spans="1:29" ht="14.4" thickBot="1">
      <c r="A112" s="365"/>
      <c r="B112" s="472"/>
      <c r="C112" s="499"/>
      <c r="D112" s="499"/>
      <c r="E112" s="499"/>
      <c r="F112" s="499"/>
      <c r="G112" s="465"/>
      <c r="H112" s="465"/>
      <c r="I112" s="465"/>
      <c r="J112" s="465"/>
      <c r="K112" s="465"/>
      <c r="L112" s="465"/>
      <c r="M112" s="466"/>
      <c r="N112" s="2520"/>
      <c r="O112" s="2520"/>
      <c r="P112" s="2518"/>
      <c r="Q112" s="2506"/>
      <c r="R112" s="2485"/>
      <c r="S112" s="2485"/>
      <c r="T112" s="2485"/>
      <c r="U112" s="2485"/>
      <c r="V112" s="2485"/>
      <c r="W112" s="2485"/>
      <c r="X112" s="2485"/>
      <c r="Y112" s="2485"/>
      <c r="Z112" s="2485"/>
      <c r="AA112" s="2485"/>
      <c r="AB112" s="2485"/>
      <c r="AC112" s="2485"/>
    </row>
    <row r="113" spans="1:29" s="406" customFormat="1" ht="14.4" thickTop="1">
      <c r="A113" s="404"/>
      <c r="B113" s="521">
        <f>B37</f>
        <v>111</v>
      </c>
      <c r="C113" s="6"/>
      <c r="D113" s="6"/>
      <c r="E113" s="6"/>
      <c r="F113" s="6"/>
      <c r="G113" s="6"/>
      <c r="H113" s="6"/>
      <c r="I113" s="6"/>
      <c r="J113" s="522"/>
      <c r="K113" s="522"/>
      <c r="L113" s="523"/>
      <c r="M113" s="524"/>
      <c r="N113" s="2521"/>
      <c r="O113" s="2521"/>
      <c r="P113" s="2521"/>
      <c r="Q113" s="2513"/>
      <c r="R113" s="2491"/>
      <c r="S113" s="2491"/>
      <c r="T113" s="2491"/>
      <c r="U113" s="2491"/>
      <c r="V113" s="2491"/>
      <c r="W113" s="2491"/>
      <c r="X113" s="2491"/>
      <c r="Y113" s="2491"/>
      <c r="Z113" s="2491"/>
      <c r="AA113" s="2491"/>
      <c r="AB113" s="2491"/>
      <c r="AC113" s="2491"/>
    </row>
    <row r="114" spans="1:29" s="406" customFormat="1" ht="14.4" thickBot="1">
      <c r="A114" s="482"/>
      <c r="B114" s="475"/>
      <c r="C114" s="444"/>
      <c r="D114" s="595"/>
      <c r="E114" s="595"/>
      <c r="F114" s="595"/>
      <c r="G114" s="595"/>
      <c r="H114" s="595"/>
      <c r="I114" s="595"/>
      <c r="J114" s="595"/>
      <c r="K114" s="595"/>
      <c r="L114" s="595"/>
      <c r="M114" s="617"/>
      <c r="N114" s="2520"/>
      <c r="O114" s="2520"/>
      <c r="P114" s="2521"/>
      <c r="Q114" s="2513"/>
      <c r="R114" s="2491"/>
      <c r="S114" s="2491"/>
      <c r="T114" s="2491"/>
      <c r="U114" s="2491"/>
      <c r="V114" s="2491"/>
      <c r="W114" s="2491"/>
      <c r="X114" s="2491"/>
      <c r="Y114" s="2491"/>
      <c r="Z114" s="2491"/>
      <c r="AA114" s="2491"/>
      <c r="AB114" s="2491"/>
      <c r="AC114" s="2491"/>
    </row>
    <row r="115" spans="1:29" ht="27.6">
      <c r="A115" s="377" t="s">
        <v>1694</v>
      </c>
      <c r="B115" s="458" t="s">
        <v>1913</v>
      </c>
      <c r="C115" s="459" t="str">
        <f>C116&amp;"(含)"&amp;"-"&amp;D116</f>
        <v>0(含)-10000</v>
      </c>
      <c r="D115" s="459" t="str">
        <f t="shared" ref="D115:M115" si="26">D116&amp;"(含)"&amp;"-"&amp;E116</f>
        <v>10000(含)-20000</v>
      </c>
      <c r="E115" s="459" t="str">
        <f t="shared" si="26"/>
        <v>20000(含)-30000</v>
      </c>
      <c r="F115" s="459" t="str">
        <f t="shared" si="26"/>
        <v>30000(含)-50000</v>
      </c>
      <c r="G115" s="459" t="str">
        <f t="shared" si="26"/>
        <v>50000(含)-80000</v>
      </c>
      <c r="H115" s="459" t="str">
        <f t="shared" si="26"/>
        <v>80000(含)-100000</v>
      </c>
      <c r="I115" s="459" t="str">
        <f t="shared" si="26"/>
        <v>100000(含)-150000</v>
      </c>
      <c r="J115" s="459" t="str">
        <f t="shared" si="26"/>
        <v>150000(含)-200000</v>
      </c>
      <c r="K115" s="459" t="str">
        <f t="shared" si="26"/>
        <v>200000(含)-300000</v>
      </c>
      <c r="L115" s="459" t="str">
        <f t="shared" si="26"/>
        <v>300000(含)-500000</v>
      </c>
      <c r="M115" s="459" t="str">
        <f t="shared" si="26"/>
        <v>500000(含)-</v>
      </c>
      <c r="N115" s="2519"/>
      <c r="O115" s="2519"/>
      <c r="P115" s="2518"/>
      <c r="Q115" s="2506"/>
      <c r="R115" s="2485"/>
      <c r="S115" s="2485"/>
      <c r="T115" s="2485"/>
      <c r="U115" s="2485"/>
      <c r="V115" s="2485"/>
      <c r="W115" s="2485"/>
      <c r="X115" s="2485"/>
      <c r="Y115" s="2485"/>
      <c r="Z115" s="2485"/>
      <c r="AA115" s="2485"/>
      <c r="AB115" s="2485"/>
      <c r="AC115" s="2485"/>
    </row>
    <row r="116" spans="1:29">
      <c r="A116" s="365"/>
      <c r="B116" s="475"/>
      <c r="C116" s="6">
        <v>0</v>
      </c>
      <c r="D116" s="6">
        <v>10000</v>
      </c>
      <c r="E116" s="6">
        <v>20000</v>
      </c>
      <c r="F116" s="6">
        <v>30000</v>
      </c>
      <c r="G116" s="6">
        <v>50000</v>
      </c>
      <c r="H116" s="6">
        <v>80000</v>
      </c>
      <c r="I116" s="6">
        <v>100000</v>
      </c>
      <c r="J116" s="6">
        <v>150000</v>
      </c>
      <c r="K116" s="6">
        <v>200000</v>
      </c>
      <c r="L116" s="6">
        <v>300000</v>
      </c>
      <c r="M116" s="6">
        <v>500000</v>
      </c>
      <c r="N116" s="2519"/>
      <c r="O116" s="2519"/>
      <c r="P116" s="2518"/>
      <c r="Q116" s="2506"/>
      <c r="R116" s="2485"/>
      <c r="S116" s="2485"/>
      <c r="T116" s="2485"/>
      <c r="U116" s="2485"/>
      <c r="V116" s="2485"/>
      <c r="W116" s="2485"/>
      <c r="X116" s="2485"/>
      <c r="Y116" s="2485"/>
      <c r="Z116" s="2485"/>
      <c r="AA116" s="2485"/>
      <c r="AB116" s="2485"/>
      <c r="AC116" s="2485"/>
    </row>
    <row r="117" spans="1:29" ht="14.4" thickBot="1">
      <c r="A117" s="365"/>
      <c r="B117" s="472"/>
      <c r="C117" s="499">
        <v>100</v>
      </c>
      <c r="D117" s="519">
        <v>100.5</v>
      </c>
      <c r="E117" s="499">
        <v>101</v>
      </c>
      <c r="F117" s="519">
        <v>101.5</v>
      </c>
      <c r="G117" s="499">
        <v>102</v>
      </c>
      <c r="H117" s="519">
        <v>102.5</v>
      </c>
      <c r="I117" s="499">
        <v>103</v>
      </c>
      <c r="J117" s="519">
        <v>103.5</v>
      </c>
      <c r="K117" s="499">
        <v>104</v>
      </c>
      <c r="L117" s="519">
        <v>104.5</v>
      </c>
      <c r="M117" s="499">
        <v>105</v>
      </c>
      <c r="N117" s="2520"/>
      <c r="O117" s="2520"/>
      <c r="P117" s="2518"/>
      <c r="Q117" s="2506"/>
      <c r="R117" s="2485"/>
      <c r="S117" s="2485"/>
      <c r="T117" s="2485"/>
      <c r="U117" s="2485"/>
      <c r="V117" s="2485"/>
      <c r="W117" s="2485"/>
      <c r="X117" s="2485"/>
      <c r="Y117" s="2485"/>
      <c r="Z117" s="2485"/>
      <c r="AA117" s="2485"/>
      <c r="AB117" s="2485"/>
      <c r="AC117" s="2485"/>
    </row>
    <row r="118" spans="1:29" ht="15" thickTop="1">
      <c r="A118" s="407"/>
      <c r="B118" s="467" t="s">
        <v>1914</v>
      </c>
      <c r="C118" s="3195" t="s">
        <v>4046</v>
      </c>
      <c r="D118" s="511"/>
      <c r="E118" s="511"/>
      <c r="F118" s="511"/>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row>
    <row r="119" spans="1:29" ht="14.4" thickBot="1">
      <c r="A119" s="365"/>
      <c r="B119" s="472"/>
      <c r="C119" s="473">
        <v>100</v>
      </c>
      <c r="D119" s="473">
        <f t="shared" ref="D119:M119" si="27">C119-$K39</f>
        <v>99</v>
      </c>
      <c r="E119" s="473">
        <f t="shared" si="27"/>
        <v>98</v>
      </c>
      <c r="F119" s="473">
        <f t="shared" si="27"/>
        <v>97</v>
      </c>
      <c r="G119" s="473">
        <f t="shared" si="27"/>
        <v>96</v>
      </c>
      <c r="H119" s="473">
        <f t="shared" si="27"/>
        <v>95</v>
      </c>
      <c r="I119" s="473">
        <f t="shared" si="27"/>
        <v>94</v>
      </c>
      <c r="J119" s="473">
        <f t="shared" si="27"/>
        <v>93</v>
      </c>
      <c r="K119" s="473">
        <f t="shared" si="27"/>
        <v>92</v>
      </c>
      <c r="L119" s="473">
        <f t="shared" si="27"/>
        <v>91</v>
      </c>
      <c r="M119" s="474">
        <f t="shared" si="27"/>
        <v>90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7"/>
      <c r="B120" s="467" t="s">
        <v>1915</v>
      </c>
      <c r="C120" s="3196" t="s">
        <v>4047</v>
      </c>
      <c r="D120" s="483"/>
      <c r="E120" s="483"/>
      <c r="F120" s="511"/>
      <c r="G120" s="511"/>
      <c r="H120" s="511"/>
      <c r="I120" s="511"/>
      <c r="J120" s="511"/>
      <c r="K120" s="512"/>
      <c r="L120" s="513"/>
      <c r="M120" s="514"/>
      <c r="N120" s="2519"/>
      <c r="O120" s="2519"/>
      <c r="P120" s="2518"/>
      <c r="Q120" s="2506"/>
      <c r="R120" s="2485"/>
      <c r="S120" s="2485"/>
      <c r="T120" s="2485"/>
      <c r="U120" s="2485"/>
      <c r="V120" s="2485"/>
      <c r="W120" s="2485"/>
      <c r="X120" s="2485"/>
      <c r="Y120" s="2485"/>
      <c r="Z120" s="2485"/>
      <c r="AA120" s="2485"/>
      <c r="AB120" s="2485"/>
      <c r="AC120" s="2485"/>
    </row>
    <row r="121" spans="1:29" ht="14.4" thickBot="1">
      <c r="A121" s="365"/>
      <c r="B121" s="472"/>
      <c r="C121" s="473">
        <v>100</v>
      </c>
      <c r="D121" s="473">
        <f t="shared" ref="D121:M121" si="28">C121-$K40</f>
        <v>99</v>
      </c>
      <c r="E121" s="473">
        <f t="shared" si="28"/>
        <v>98</v>
      </c>
      <c r="F121" s="473">
        <f t="shared" si="28"/>
        <v>97</v>
      </c>
      <c r="G121" s="473">
        <f t="shared" si="28"/>
        <v>96</v>
      </c>
      <c r="H121" s="473">
        <f t="shared" si="28"/>
        <v>95</v>
      </c>
      <c r="I121" s="473">
        <f t="shared" si="28"/>
        <v>94</v>
      </c>
      <c r="J121" s="473">
        <f t="shared" si="28"/>
        <v>93</v>
      </c>
      <c r="K121" s="473">
        <f t="shared" si="28"/>
        <v>92</v>
      </c>
      <c r="L121" s="473">
        <f t="shared" si="28"/>
        <v>91</v>
      </c>
      <c r="M121" s="474">
        <f t="shared" si="28"/>
        <v>90</v>
      </c>
      <c r="N121" s="2520"/>
      <c r="O121" s="2520"/>
      <c r="P121" s="2518"/>
      <c r="Q121" s="2506"/>
      <c r="R121" s="2485"/>
      <c r="S121" s="2485"/>
      <c r="T121" s="2485"/>
      <c r="U121" s="2485"/>
      <c r="V121" s="2485"/>
      <c r="W121" s="2485"/>
      <c r="X121" s="2485"/>
      <c r="Y121" s="2485"/>
      <c r="Z121" s="2485"/>
      <c r="AA121" s="2485"/>
      <c r="AB121" s="2485"/>
      <c r="AC121" s="2485"/>
    </row>
    <row r="122" spans="1:29" s="406" customFormat="1" ht="15" thickTop="1">
      <c r="A122" s="404"/>
      <c r="B122" s="467" t="s">
        <v>1916</v>
      </c>
      <c r="C122" s="3196" t="s">
        <v>4048</v>
      </c>
      <c r="D122" s="3196" t="s">
        <v>4049</v>
      </c>
      <c r="E122" s="3196" t="s">
        <v>4050</v>
      </c>
      <c r="F122" s="3196" t="s">
        <v>4051</v>
      </c>
      <c r="G122" s="3196" t="s">
        <v>4052</v>
      </c>
      <c r="H122" s="511"/>
      <c r="I122" s="511"/>
      <c r="J122" s="511"/>
      <c r="K122" s="512"/>
      <c r="L122" s="513"/>
      <c r="M122" s="514"/>
      <c r="N122" s="2521"/>
      <c r="O122" s="2521"/>
      <c r="P122" s="2521"/>
      <c r="Q122" s="2513"/>
      <c r="R122" s="2491"/>
      <c r="S122" s="2491"/>
      <c r="T122" s="2491"/>
      <c r="U122" s="2491"/>
      <c r="V122" s="2491"/>
      <c r="W122" s="2491"/>
      <c r="X122" s="2491"/>
      <c r="Y122" s="2491"/>
      <c r="Z122" s="2491"/>
      <c r="AA122" s="2491"/>
      <c r="AB122" s="2491"/>
      <c r="AC122" s="2491"/>
    </row>
    <row r="123" spans="1:29" s="406" customFormat="1" ht="14.4" thickBot="1">
      <c r="A123" s="482"/>
      <c r="B123" s="472"/>
      <c r="C123" s="473">
        <v>100</v>
      </c>
      <c r="D123" s="473">
        <f t="shared" ref="D123:M123" si="29">C123-$K41</f>
        <v>99</v>
      </c>
      <c r="E123" s="473">
        <f t="shared" si="29"/>
        <v>98</v>
      </c>
      <c r="F123" s="473">
        <f t="shared" si="29"/>
        <v>97</v>
      </c>
      <c r="G123" s="473">
        <f t="shared" si="29"/>
        <v>96</v>
      </c>
      <c r="H123" s="473">
        <f t="shared" si="29"/>
        <v>95</v>
      </c>
      <c r="I123" s="473">
        <f t="shared" si="29"/>
        <v>94</v>
      </c>
      <c r="J123" s="473">
        <f t="shared" si="29"/>
        <v>93</v>
      </c>
      <c r="K123" s="473">
        <f t="shared" si="29"/>
        <v>92</v>
      </c>
      <c r="L123" s="473">
        <f t="shared" si="29"/>
        <v>91</v>
      </c>
      <c r="M123" s="474">
        <f t="shared" si="29"/>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7"/>
      <c r="B124" s="467" t="s">
        <v>1917</v>
      </c>
      <c r="C124" s="3196" t="s">
        <v>4053</v>
      </c>
      <c r="D124" s="483"/>
      <c r="E124" s="511"/>
      <c r="F124" s="511"/>
      <c r="G124" s="511"/>
      <c r="H124" s="511"/>
      <c r="I124" s="511"/>
      <c r="J124" s="511"/>
      <c r="K124" s="512"/>
      <c r="L124" s="513"/>
      <c r="M124" s="514"/>
      <c r="N124" s="2519"/>
      <c r="O124" s="2519"/>
      <c r="P124" s="2518"/>
      <c r="Q124" s="2506"/>
      <c r="R124" s="2485"/>
      <c r="S124" s="2485"/>
      <c r="T124" s="2485"/>
      <c r="U124" s="2485"/>
      <c r="V124" s="2485"/>
      <c r="W124" s="2485"/>
      <c r="X124" s="2485"/>
      <c r="Y124" s="2485"/>
      <c r="Z124" s="2485"/>
      <c r="AA124" s="2485"/>
      <c r="AB124" s="2485"/>
      <c r="AC124" s="2485"/>
    </row>
    <row r="125" spans="1:29" ht="14.4" thickBot="1">
      <c r="A125" s="365"/>
      <c r="B125" s="472"/>
      <c r="C125" s="473">
        <v>100</v>
      </c>
      <c r="D125" s="473">
        <f t="shared" ref="D125:M125" si="30">C125-$K42</f>
        <v>99</v>
      </c>
      <c r="E125" s="473">
        <f t="shared" si="30"/>
        <v>98</v>
      </c>
      <c r="F125" s="473">
        <f t="shared" si="30"/>
        <v>97</v>
      </c>
      <c r="G125" s="473">
        <f t="shared" si="30"/>
        <v>96</v>
      </c>
      <c r="H125" s="473">
        <f t="shared" si="30"/>
        <v>95</v>
      </c>
      <c r="I125" s="473">
        <f t="shared" si="30"/>
        <v>94</v>
      </c>
      <c r="J125" s="473">
        <f t="shared" si="30"/>
        <v>93</v>
      </c>
      <c r="K125" s="473">
        <f t="shared" si="30"/>
        <v>92</v>
      </c>
      <c r="L125" s="473">
        <f t="shared" si="30"/>
        <v>91</v>
      </c>
      <c r="M125" s="474">
        <f t="shared" si="30"/>
        <v>90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7"/>
      <c r="B126" s="467">
        <f>B43</f>
        <v>111</v>
      </c>
      <c r="C126" s="483"/>
      <c r="D126" s="483"/>
      <c r="E126" s="483"/>
      <c r="F126" s="483"/>
      <c r="G126" s="483"/>
      <c r="H126" s="511"/>
      <c r="I126" s="511"/>
      <c r="J126" s="511"/>
      <c r="K126" s="512"/>
      <c r="L126" s="513"/>
      <c r="M126" s="514"/>
      <c r="N126" s="2519"/>
      <c r="O126" s="2519"/>
      <c r="P126" s="2518"/>
      <c r="Q126" s="2506"/>
      <c r="R126" s="2485"/>
      <c r="S126" s="2485"/>
      <c r="T126" s="2485"/>
      <c r="U126" s="2485"/>
      <c r="V126" s="2485"/>
      <c r="W126" s="2485"/>
      <c r="X126" s="2485"/>
      <c r="Y126" s="2485"/>
      <c r="Z126" s="2485"/>
      <c r="AA126" s="2485"/>
      <c r="AB126" s="2485"/>
      <c r="AC126" s="2485"/>
    </row>
    <row r="127" spans="1:29" ht="14.4" thickBot="1">
      <c r="A127" s="365"/>
      <c r="B127" s="472"/>
      <c r="C127" s="489"/>
      <c r="D127" s="489"/>
      <c r="E127" s="489"/>
      <c r="F127" s="489"/>
      <c r="G127" s="465"/>
      <c r="H127" s="465"/>
      <c r="I127" s="465"/>
      <c r="J127" s="465"/>
      <c r="K127" s="465"/>
      <c r="L127" s="465"/>
      <c r="M127" s="466"/>
      <c r="N127" s="2520"/>
      <c r="O127" s="2520"/>
      <c r="P127" s="2518"/>
      <c r="Q127" s="2506"/>
      <c r="R127" s="2485"/>
      <c r="S127" s="2485"/>
      <c r="T127" s="2485"/>
      <c r="U127" s="2485"/>
      <c r="V127" s="2485"/>
      <c r="W127" s="2485"/>
      <c r="X127" s="2485"/>
      <c r="Y127" s="2485"/>
      <c r="Z127" s="2485"/>
      <c r="AA127" s="2485"/>
      <c r="AB127" s="2485"/>
      <c r="AC127" s="2485"/>
    </row>
    <row r="128" spans="1:29" ht="14.4" thickTop="1">
      <c r="A128" s="407"/>
      <c r="B128" s="467">
        <f>B44</f>
        <v>111</v>
      </c>
      <c r="C128" s="31"/>
      <c r="D128" s="31"/>
      <c r="E128" s="31"/>
      <c r="F128" s="31"/>
      <c r="G128" s="511"/>
      <c r="H128" s="511"/>
      <c r="I128" s="511"/>
      <c r="J128" s="511"/>
      <c r="K128" s="512"/>
      <c r="L128" s="513"/>
      <c r="M128" s="514"/>
      <c r="N128" s="2519"/>
      <c r="O128" s="2519"/>
      <c r="P128" s="2518"/>
      <c r="Q128" s="2506"/>
      <c r="R128" s="2485"/>
      <c r="S128" s="2485"/>
      <c r="T128" s="2485"/>
      <c r="U128" s="2485"/>
      <c r="V128" s="2485"/>
      <c r="W128" s="2485"/>
      <c r="X128" s="2485"/>
      <c r="Y128" s="2485"/>
      <c r="Z128" s="2485"/>
      <c r="AA128" s="2485"/>
      <c r="AB128" s="2485"/>
      <c r="AC128" s="2485"/>
    </row>
    <row r="129" spans="1:29" ht="14.4" thickBot="1">
      <c r="A129" s="365"/>
      <c r="B129" s="472"/>
      <c r="C129" s="499"/>
      <c r="D129" s="499"/>
      <c r="E129" s="499"/>
      <c r="F129" s="499"/>
      <c r="G129" s="465"/>
      <c r="H129" s="465"/>
      <c r="I129" s="465"/>
      <c r="J129" s="465"/>
      <c r="K129" s="465"/>
      <c r="L129" s="465"/>
      <c r="M129" s="466"/>
      <c r="N129" s="2520"/>
      <c r="O129" s="2520"/>
      <c r="P129" s="2518"/>
      <c r="Q129" s="2506"/>
      <c r="R129" s="2485"/>
      <c r="S129" s="2485"/>
      <c r="T129" s="2485"/>
      <c r="U129" s="2485"/>
      <c r="V129" s="2485"/>
      <c r="W129" s="2485"/>
      <c r="X129" s="2485"/>
      <c r="Y129" s="2485"/>
      <c r="Z129" s="2485"/>
      <c r="AA129" s="2485"/>
      <c r="AB129" s="2485"/>
      <c r="AC129" s="2485"/>
    </row>
    <row r="130" spans="1:29" s="406" customFormat="1" ht="14.4" thickTop="1">
      <c r="A130" s="404"/>
      <c r="B130" s="467">
        <f>B45</f>
        <v>111</v>
      </c>
      <c r="C130" s="31"/>
      <c r="D130" s="31"/>
      <c r="E130" s="31"/>
      <c r="F130" s="31"/>
      <c r="G130" s="484"/>
      <c r="H130" s="484"/>
      <c r="I130" s="484"/>
      <c r="J130" s="484"/>
      <c r="K130" s="484"/>
      <c r="L130" s="485"/>
      <c r="M130" s="486"/>
      <c r="N130" s="2521"/>
      <c r="O130" s="2521"/>
      <c r="P130" s="2521"/>
      <c r="Q130" s="2513"/>
      <c r="R130" s="2491"/>
      <c r="S130" s="2491"/>
      <c r="T130" s="2491"/>
      <c r="U130" s="2491"/>
      <c r="V130" s="2491"/>
      <c r="W130" s="2491"/>
      <c r="X130" s="2491"/>
      <c r="Y130" s="2491"/>
      <c r="Z130" s="2491"/>
      <c r="AA130" s="2491"/>
      <c r="AB130" s="2491"/>
      <c r="AC130" s="2491"/>
    </row>
    <row r="131" spans="1:29" s="406" customFormat="1" ht="14.4" thickBot="1">
      <c r="A131" s="497"/>
      <c r="B131" s="618"/>
      <c r="C131" s="499"/>
      <c r="D131" s="499"/>
      <c r="E131" s="499"/>
      <c r="F131" s="499"/>
      <c r="G131" s="519"/>
      <c r="H131" s="519"/>
      <c r="I131" s="519"/>
      <c r="J131" s="519"/>
      <c r="K131" s="519"/>
      <c r="L131" s="519"/>
      <c r="M131" s="520"/>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4.4">
      <c r="A4" s="343" t="s">
        <v>1769</v>
      </c>
      <c r="B4" s="344"/>
      <c r="C4" s="3448" t="s">
        <v>1770</v>
      </c>
      <c r="D4" s="3449"/>
      <c r="E4" s="3450" t="s">
        <v>1771</v>
      </c>
      <c r="F4" s="3451"/>
      <c r="G4" s="3448" t="s">
        <v>1772</v>
      </c>
      <c r="H4" s="3449"/>
      <c r="I4" s="3448" t="s">
        <v>1773</v>
      </c>
      <c r="J4" s="3449"/>
      <c r="K4" s="535" t="s">
        <v>1774</v>
      </c>
      <c r="L4" s="2484"/>
      <c r="M4" s="2485"/>
      <c r="N4" s="2485"/>
      <c r="O4" s="2485"/>
      <c r="P4" s="3452" t="s">
        <v>1775</v>
      </c>
      <c r="Q4" s="3453"/>
      <c r="R4" s="3435" t="s">
        <v>1771</v>
      </c>
      <c r="S4" s="3436"/>
      <c r="T4" s="3435" t="s">
        <v>1772</v>
      </c>
      <c r="U4" s="3436"/>
      <c r="V4" s="3460" t="s">
        <v>1773</v>
      </c>
      <c r="W4" s="3460"/>
      <c r="X4" s="1262"/>
      <c r="Y4" s="3435" t="s">
        <v>1775</v>
      </c>
      <c r="Z4" s="3436"/>
      <c r="AA4" s="3430" t="s">
        <v>1771</v>
      </c>
      <c r="AB4" s="3431" t="s">
        <v>1772</v>
      </c>
      <c r="AC4" s="3430" t="s">
        <v>1773</v>
      </c>
    </row>
    <row r="5" spans="1:29">
      <c r="A5" s="346"/>
      <c r="B5" s="347"/>
      <c r="C5" s="3441" t="s">
        <v>1673</v>
      </c>
      <c r="D5" s="3442"/>
      <c r="E5" s="3439" t="s">
        <v>1674</v>
      </c>
      <c r="F5" s="3440"/>
      <c r="G5" s="3441" t="s">
        <v>1675</v>
      </c>
      <c r="H5" s="3442"/>
      <c r="I5" s="3441" t="s">
        <v>1676</v>
      </c>
      <c r="J5" s="3442"/>
      <c r="K5" s="535"/>
      <c r="L5" s="2484"/>
      <c r="M5" s="2485"/>
      <c r="N5" s="2485"/>
      <c r="O5" s="2485"/>
      <c r="P5" s="3454"/>
      <c r="Q5" s="3455"/>
      <c r="R5" s="3437"/>
      <c r="S5" s="3438"/>
      <c r="T5" s="3437"/>
      <c r="U5" s="3438"/>
      <c r="V5" s="3460"/>
      <c r="W5" s="3460"/>
      <c r="X5" s="1262"/>
      <c r="Y5" s="3437"/>
      <c r="Z5" s="3438"/>
      <c r="AA5" s="3431"/>
      <c r="AB5" s="3431"/>
      <c r="AC5" s="3431"/>
    </row>
    <row r="6" spans="1:29" ht="15" thickBot="1">
      <c r="A6" s="348"/>
      <c r="B6" s="349"/>
      <c r="C6" s="3495" t="s">
        <v>1919</v>
      </c>
      <c r="D6" s="3496"/>
      <c r="E6" s="3497" t="s">
        <v>1919</v>
      </c>
      <c r="F6" s="3498"/>
      <c r="G6" s="3495" t="s">
        <v>1919</v>
      </c>
      <c r="H6" s="3496"/>
      <c r="I6" s="3495" t="s">
        <v>1919</v>
      </c>
      <c r="J6" s="3496"/>
      <c r="K6" s="535" t="s">
        <v>1678</v>
      </c>
      <c r="L6" s="2484"/>
      <c r="M6" s="2485"/>
      <c r="N6" s="2485"/>
      <c r="O6" s="2485"/>
      <c r="P6" s="3456"/>
      <c r="Q6" s="3457"/>
      <c r="R6" s="3437"/>
      <c r="S6" s="3438"/>
      <c r="T6" s="3458"/>
      <c r="U6" s="3459"/>
      <c r="V6" s="3460"/>
      <c r="W6" s="3460"/>
      <c r="X6" s="1262"/>
      <c r="Y6" s="3458"/>
      <c r="Z6" s="3459"/>
      <c r="AA6" s="3432"/>
      <c r="AB6" s="3432"/>
      <c r="AC6" s="3432"/>
    </row>
    <row r="7" spans="1:29" s="102" customFormat="1" ht="15" thickBot="1">
      <c r="A7" s="350" t="s">
        <v>1679</v>
      </c>
      <c r="B7" s="351"/>
      <c r="C7" s="352">
        <f>'数据-取费表'!B2</f>
        <v>45728</v>
      </c>
      <c r="D7" s="353">
        <v>100</v>
      </c>
      <c r="E7" s="354"/>
      <c r="F7" s="355">
        <f>SUMIF(65:65,YEAR(E7)&amp;"-"&amp;INT((MONTH(E7)+2)/3),66:66)</f>
        <v>0</v>
      </c>
      <c r="G7" s="1819"/>
      <c r="H7" s="353">
        <f>SUMIF(65:65,YEAR(G7)&amp;"-"&amp;INT((MONTH(G7)+2)/3),66:66)</f>
        <v>0</v>
      </c>
      <c r="I7" s="1819"/>
      <c r="J7" s="353">
        <f>SUMIF(65:65,YEAR(I7)&amp;"-"&amp;INT((MONTH(I7)+2)/3),66:66)</f>
        <v>0</v>
      </c>
      <c r="K7" s="38"/>
      <c r="L7" s="2486"/>
      <c r="M7" s="2437"/>
      <c r="N7" s="2437"/>
      <c r="O7" s="2437"/>
      <c r="P7" s="3433" t="s">
        <v>1680</v>
      </c>
      <c r="Q7" s="3461"/>
      <c r="R7" s="662" t="s">
        <v>14</v>
      </c>
      <c r="S7" s="663">
        <f t="shared" ref="S7:S15" si="0">F7</f>
        <v>0</v>
      </c>
      <c r="T7" s="662" t="s">
        <v>14</v>
      </c>
      <c r="U7" s="663">
        <f t="shared" ref="U7:U15" si="1">H7</f>
        <v>0</v>
      </c>
      <c r="V7" s="662" t="s">
        <v>14</v>
      </c>
      <c r="W7" s="663">
        <f t="shared" ref="W7:W15" si="2">J7</f>
        <v>0</v>
      </c>
      <c r="X7" s="664"/>
      <c r="Y7" s="3433" t="s">
        <v>1680</v>
      </c>
      <c r="Z7" s="3434"/>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6"/>
      <c r="M8" s="2437"/>
      <c r="N8" s="2437"/>
      <c r="O8" s="2437"/>
      <c r="P8" s="3433" t="s">
        <v>1683</v>
      </c>
      <c r="Q8" s="3434"/>
      <c r="R8" s="662" t="s">
        <v>14</v>
      </c>
      <c r="S8" s="663">
        <f t="shared" si="0"/>
        <v>0</v>
      </c>
      <c r="T8" s="662" t="s">
        <v>14</v>
      </c>
      <c r="U8" s="663">
        <f t="shared" si="1"/>
        <v>0</v>
      </c>
      <c r="V8" s="662" t="s">
        <v>14</v>
      </c>
      <c r="W8" s="663">
        <f t="shared" si="2"/>
        <v>0</v>
      </c>
      <c r="X8" s="664"/>
      <c r="Y8" s="3433" t="s">
        <v>1683</v>
      </c>
      <c r="Z8" s="3434"/>
      <c r="AA8" s="50" t="e">
        <f t="shared" ref="AA8:AA40" si="3">D8/F8</f>
        <v>#DIV/0!</v>
      </c>
      <c r="AB8" s="50" t="e">
        <f t="shared" ref="AB8:AB40" si="4">D8/H8</f>
        <v>#DIV/0!</v>
      </c>
      <c r="AC8" s="50" t="e">
        <f t="shared" ref="AC8:AC40" si="5">D8/J8</f>
        <v>#DIV/0!</v>
      </c>
    </row>
    <row r="9" spans="1:29" s="102" customFormat="1" ht="14.4">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65" t="s">
        <v>1686</v>
      </c>
      <c r="Q9" s="528" t="str">
        <f t="shared" ref="Q9:Q15" si="6">B9</f>
        <v>用途</v>
      </c>
      <c r="R9" s="662" t="s">
        <v>14</v>
      </c>
      <c r="S9" s="663">
        <f t="shared" si="0"/>
        <v>100</v>
      </c>
      <c r="T9" s="662" t="s">
        <v>14</v>
      </c>
      <c r="U9" s="663">
        <f t="shared" si="1"/>
        <v>100</v>
      </c>
      <c r="V9" s="662" t="s">
        <v>14</v>
      </c>
      <c r="W9" s="663">
        <f t="shared" si="2"/>
        <v>100</v>
      </c>
      <c r="X9" s="664"/>
      <c r="Y9" s="3377"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110</v>
      </c>
      <c r="G10" s="369"/>
      <c r="H10" s="117">
        <f>ROUND(100/'数据-取费表'!G16,0)</f>
        <v>110</v>
      </c>
      <c r="I10" s="369"/>
      <c r="J10" s="117">
        <f>ROUND(100/'数据-取费表'!G16,0)</f>
        <v>110</v>
      </c>
      <c r="K10" s="590"/>
      <c r="L10" s="2487"/>
      <c r="M10" s="2488"/>
      <c r="N10" s="2488"/>
      <c r="O10" s="2539"/>
      <c r="P10" s="3465"/>
      <c r="Q10" s="528" t="str">
        <f t="shared" si="6"/>
        <v>土地使用年限（年）</v>
      </c>
      <c r="R10" s="662" t="s">
        <v>14</v>
      </c>
      <c r="S10" s="663">
        <f t="shared" si="0"/>
        <v>110</v>
      </c>
      <c r="T10" s="662" t="s">
        <v>14</v>
      </c>
      <c r="U10" s="663">
        <f t="shared" si="1"/>
        <v>110</v>
      </c>
      <c r="V10" s="662" t="s">
        <v>14</v>
      </c>
      <c r="W10" s="663">
        <f t="shared" si="2"/>
        <v>110</v>
      </c>
      <c r="X10" s="664"/>
      <c r="Y10" s="3377"/>
      <c r="Z10" s="50" t="str">
        <f t="shared" si="7"/>
        <v>土地使用年限（年）</v>
      </c>
      <c r="AA10" s="50">
        <f t="shared" si="3"/>
        <v>0.90909090909090906</v>
      </c>
      <c r="AB10" s="50">
        <f t="shared" si="4"/>
        <v>0.90909090909090906</v>
      </c>
      <c r="AC10" s="50">
        <f t="shared" si="5"/>
        <v>0.90909090909090906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9"/>
      <c r="M11" s="2485"/>
      <c r="N11" s="2485"/>
      <c r="O11" s="2540"/>
      <c r="P11" s="3465"/>
      <c r="Q11" s="528" t="str">
        <f t="shared" si="6"/>
        <v>容积率</v>
      </c>
      <c r="R11" s="662" t="s">
        <v>14</v>
      </c>
      <c r="S11" s="663" t="e">
        <f t="shared" si="0"/>
        <v>#N/A</v>
      </c>
      <c r="T11" s="662" t="s">
        <v>14</v>
      </c>
      <c r="U11" s="663" t="e">
        <f t="shared" si="1"/>
        <v>#N/A</v>
      </c>
      <c r="V11" s="662" t="s">
        <v>14</v>
      </c>
      <c r="W11" s="663" t="e">
        <f t="shared" si="2"/>
        <v>#N/A</v>
      </c>
      <c r="X11" s="664"/>
      <c r="Y11" s="3377"/>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6"/>
      <c r="M12" s="2437"/>
      <c r="N12" s="2437"/>
      <c r="O12" s="2538"/>
      <c r="P12" s="3465"/>
      <c r="Q12" s="528">
        <f t="shared" si="6"/>
        <v>111</v>
      </c>
      <c r="R12" s="662" t="s">
        <v>14</v>
      </c>
      <c r="S12" s="663">
        <f t="shared" si="0"/>
        <v>100</v>
      </c>
      <c r="T12" s="662" t="s">
        <v>14</v>
      </c>
      <c r="U12" s="663">
        <f t="shared" si="1"/>
        <v>100</v>
      </c>
      <c r="V12" s="662" t="s">
        <v>14</v>
      </c>
      <c r="W12" s="663">
        <f t="shared" si="2"/>
        <v>100</v>
      </c>
      <c r="X12" s="664"/>
      <c r="Y12" s="3377"/>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90"/>
      <c r="M13" s="2485"/>
      <c r="N13" s="2485"/>
      <c r="O13" s="2540"/>
      <c r="P13" s="3465"/>
      <c r="Q13" s="528">
        <f t="shared" si="6"/>
        <v>111</v>
      </c>
      <c r="R13" s="662" t="s">
        <v>14</v>
      </c>
      <c r="S13" s="663">
        <f t="shared" si="0"/>
        <v>100</v>
      </c>
      <c r="T13" s="662" t="s">
        <v>14</v>
      </c>
      <c r="U13" s="663">
        <f t="shared" si="1"/>
        <v>100</v>
      </c>
      <c r="V13" s="662" t="s">
        <v>14</v>
      </c>
      <c r="W13" s="663">
        <f t="shared" si="2"/>
        <v>100</v>
      </c>
      <c r="X13" s="664"/>
      <c r="Y13" s="3377"/>
      <c r="Z13" s="50">
        <f t="shared" si="7"/>
        <v>111</v>
      </c>
      <c r="AA13" s="50">
        <f t="shared" si="3"/>
        <v>1</v>
      </c>
      <c r="AB13" s="50">
        <f t="shared" si="4"/>
        <v>1</v>
      </c>
      <c r="AC13" s="50">
        <f t="shared" si="5"/>
        <v>1</v>
      </c>
    </row>
    <row r="14" spans="1:29" ht="15.6"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90"/>
      <c r="M14" s="2485"/>
      <c r="N14" s="2485"/>
      <c r="O14" s="2540"/>
      <c r="P14" s="3465"/>
      <c r="Q14" s="528">
        <f t="shared" si="6"/>
        <v>111</v>
      </c>
      <c r="R14" s="662" t="s">
        <v>14</v>
      </c>
      <c r="S14" s="663">
        <f t="shared" si="0"/>
        <v>100</v>
      </c>
      <c r="T14" s="662" t="s">
        <v>14</v>
      </c>
      <c r="U14" s="663">
        <f t="shared" si="1"/>
        <v>100</v>
      </c>
      <c r="V14" s="662" t="s">
        <v>14</v>
      </c>
      <c r="W14" s="663">
        <f t="shared" si="2"/>
        <v>100</v>
      </c>
      <c r="X14" s="664"/>
      <c r="Y14" s="3377"/>
      <c r="Z14" s="50">
        <f t="shared" si="7"/>
        <v>111</v>
      </c>
      <c r="AA14" s="50">
        <f t="shared" si="3"/>
        <v>1</v>
      </c>
      <c r="AB14" s="50">
        <f t="shared" si="4"/>
        <v>1</v>
      </c>
      <c r="AC14" s="50">
        <f t="shared" si="5"/>
        <v>1</v>
      </c>
    </row>
    <row r="15" spans="1:29" ht="15">
      <c r="A15" s="377" t="s">
        <v>1690</v>
      </c>
      <c r="B15" s="552" t="s">
        <v>1920</v>
      </c>
      <c r="C15" s="1816">
        <f>估价对象房地状况!G15</f>
        <v>0</v>
      </c>
      <c r="D15" s="378">
        <v>100</v>
      </c>
      <c r="E15" s="379"/>
      <c r="F15" s="378">
        <f>SUMIF(83:83,E16,84:84)-SUMIF(83:83,C16,84:84)+100</f>
        <v>100</v>
      </c>
      <c r="G15" s="379"/>
      <c r="H15" s="378">
        <f>SUMIF(83:83,G16,84:84)-SUMIF(83:83,C16,84:84)+100</f>
        <v>100</v>
      </c>
      <c r="I15" s="381"/>
      <c r="J15" s="378">
        <f>SUMIF(83:83,I16,84:84)-SUMIF(83:83,C16,84:84)+100</f>
        <v>100</v>
      </c>
      <c r="K15" s="591"/>
      <c r="L15" s="2490"/>
      <c r="M15" s="2485"/>
      <c r="N15" s="2485"/>
      <c r="O15" s="2540"/>
      <c r="P15" s="3466" t="s">
        <v>1691</v>
      </c>
      <c r="Q15" s="1260" t="str">
        <f t="shared" si="6"/>
        <v>产业集聚程度</v>
      </c>
      <c r="R15" s="665" t="s">
        <v>14</v>
      </c>
      <c r="S15" s="666">
        <f t="shared" si="0"/>
        <v>100</v>
      </c>
      <c r="T15" s="665" t="s">
        <v>14</v>
      </c>
      <c r="U15" s="666">
        <f t="shared" si="1"/>
        <v>100</v>
      </c>
      <c r="V15" s="665" t="s">
        <v>14</v>
      </c>
      <c r="W15" s="666">
        <f t="shared" si="2"/>
        <v>100</v>
      </c>
      <c r="X15" s="1262"/>
      <c r="Y15" s="3466"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90"/>
      <c r="M16" s="2485"/>
      <c r="N16" s="2485"/>
      <c r="O16" s="2540"/>
      <c r="P16" s="3467"/>
      <c r="Q16" s="1260"/>
      <c r="R16" s="665"/>
      <c r="S16" s="666"/>
      <c r="T16" s="665"/>
      <c r="U16" s="666"/>
      <c r="V16" s="665"/>
      <c r="W16" s="666"/>
      <c r="X16" s="1262"/>
      <c r="Y16" s="3467"/>
      <c r="Z16" s="1261"/>
      <c r="AA16" s="1261">
        <v>1</v>
      </c>
      <c r="AB16" s="1261">
        <v>1</v>
      </c>
      <c r="AC16" s="1261">
        <v>1</v>
      </c>
    </row>
    <row r="17" spans="1:29" ht="15">
      <c r="A17" s="365"/>
      <c r="B17" s="554" t="s">
        <v>1833</v>
      </c>
      <c r="C17" s="1751">
        <f>估价对象房地状况!G16</f>
        <v>0</v>
      </c>
      <c r="D17" s="387">
        <v>100</v>
      </c>
      <c r="E17" s="389"/>
      <c r="F17" s="392">
        <f>SUMIF(85:85,E18,86:86)-SUMIF(85:85,C18,86:86)+100</f>
        <v>100</v>
      </c>
      <c r="G17" s="389"/>
      <c r="H17" s="392">
        <f>SUMIF(85:85,G18,86:86)-SUMIF(85:85,C18,86:86)+100</f>
        <v>100</v>
      </c>
      <c r="I17" s="391"/>
      <c r="J17" s="387">
        <f>SUMIF(85:85,I18,86:86)-SUMIF(85:85,C18,86:86)+100</f>
        <v>100</v>
      </c>
      <c r="K17" s="591"/>
      <c r="L17" s="2490"/>
      <c r="M17" s="2485"/>
      <c r="N17" s="2485"/>
      <c r="O17" s="2540"/>
      <c r="P17" s="3467"/>
      <c r="Q17" s="1260" t="str">
        <f>B17</f>
        <v>交通便捷度</v>
      </c>
      <c r="R17" s="665" t="s">
        <v>14</v>
      </c>
      <c r="S17" s="666">
        <f>F17</f>
        <v>100</v>
      </c>
      <c r="T17" s="665" t="s">
        <v>14</v>
      </c>
      <c r="U17" s="666">
        <f>H17</f>
        <v>100</v>
      </c>
      <c r="V17" s="665" t="s">
        <v>14</v>
      </c>
      <c r="W17" s="666">
        <f>J17</f>
        <v>100</v>
      </c>
      <c r="X17" s="1262"/>
      <c r="Y17" s="3467"/>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90"/>
      <c r="M18" s="2485"/>
      <c r="N18" s="2485"/>
      <c r="O18" s="2540"/>
      <c r="P18" s="3467"/>
      <c r="Q18" s="1260"/>
      <c r="R18" s="665"/>
      <c r="S18" s="666"/>
      <c r="T18" s="665"/>
      <c r="U18" s="666"/>
      <c r="V18" s="665"/>
      <c r="W18" s="666"/>
      <c r="X18" s="1262"/>
      <c r="Y18" s="3467"/>
      <c r="Z18" s="1261"/>
      <c r="AA18" s="1261">
        <v>1</v>
      </c>
      <c r="AB18" s="1261">
        <v>1</v>
      </c>
      <c r="AC18" s="1261">
        <v>1</v>
      </c>
    </row>
    <row r="19" spans="1:29" ht="28.8">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90"/>
      <c r="M19" s="2485"/>
      <c r="N19" s="2485"/>
      <c r="O19" s="2540"/>
      <c r="P19" s="3467"/>
      <c r="Q19" s="1260" t="str">
        <f t="shared" ref="Q19:Q33" si="8">B19</f>
        <v>区域土地利用方向</v>
      </c>
      <c r="R19" s="665" t="s">
        <v>14</v>
      </c>
      <c r="S19" s="666">
        <f>F19</f>
        <v>100</v>
      </c>
      <c r="T19" s="665" t="s">
        <v>14</v>
      </c>
      <c r="U19" s="666">
        <f>H19</f>
        <v>100</v>
      </c>
      <c r="V19" s="665" t="s">
        <v>14</v>
      </c>
      <c r="W19" s="666">
        <f>J19</f>
        <v>100</v>
      </c>
      <c r="X19" s="1262"/>
      <c r="Y19" s="3467"/>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6"/>
      <c r="L20" s="2490"/>
      <c r="M20" s="2485"/>
      <c r="N20" s="2485"/>
      <c r="O20" s="2540"/>
      <c r="P20" s="3467"/>
      <c r="Q20" s="1260"/>
      <c r="R20" s="665"/>
      <c r="S20" s="666"/>
      <c r="T20" s="665"/>
      <c r="U20" s="666"/>
      <c r="V20" s="665"/>
      <c r="W20" s="666"/>
      <c r="X20" s="1262"/>
      <c r="Y20" s="3467"/>
      <c r="Z20" s="1261"/>
      <c r="AA20" s="1261"/>
      <c r="AB20" s="1261"/>
      <c r="AC20" s="1261"/>
    </row>
    <row r="21" spans="1:29" ht="15">
      <c r="A21" s="346"/>
      <c r="B21" s="554" t="s">
        <v>1921</v>
      </c>
      <c r="C21" s="1751">
        <f>估价对象房地状况!G18</f>
        <v>0</v>
      </c>
      <c r="D21" s="387">
        <v>100</v>
      </c>
      <c r="E21" s="389"/>
      <c r="F21" s="387">
        <f>SUMIF(89:89,E22,90:90)-SUMIF(89:89,C22,90:90)+100</f>
        <v>100</v>
      </c>
      <c r="G21" s="389"/>
      <c r="H21" s="387">
        <f>SUMIF(89:89,G22,90:90)-SUMIF(89:89,C22,90:90)+100</f>
        <v>100</v>
      </c>
      <c r="I21" s="391"/>
      <c r="J21" s="387">
        <f>SUMIF(89:89,I22,90:90)-SUMIF(89:89,C22,90:90)+100</f>
        <v>100</v>
      </c>
      <c r="K21" s="591"/>
      <c r="L21" s="2490"/>
      <c r="M21" s="2485"/>
      <c r="N21" s="2485"/>
      <c r="O21" s="2540"/>
      <c r="P21" s="3467"/>
      <c r="Q21" s="1260" t="str">
        <f t="shared" si="8"/>
        <v>环境状况</v>
      </c>
      <c r="R21" s="665" t="s">
        <v>14</v>
      </c>
      <c r="S21" s="666">
        <f>F21</f>
        <v>100</v>
      </c>
      <c r="T21" s="665" t="s">
        <v>14</v>
      </c>
      <c r="U21" s="666">
        <f>H21</f>
        <v>100</v>
      </c>
      <c r="V21" s="665" t="s">
        <v>14</v>
      </c>
      <c r="W21" s="666">
        <f>J21</f>
        <v>100</v>
      </c>
      <c r="X21" s="1262"/>
      <c r="Y21" s="3467"/>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90"/>
      <c r="M22" s="2485"/>
      <c r="N22" s="2485"/>
      <c r="O22" s="2540"/>
      <c r="P22" s="3467"/>
      <c r="Q22" s="1260"/>
      <c r="R22" s="665"/>
      <c r="S22" s="666"/>
      <c r="T22" s="665"/>
      <c r="U22" s="666"/>
      <c r="V22" s="665"/>
      <c r="W22" s="666"/>
      <c r="X22" s="1262"/>
      <c r="Y22" s="3467"/>
      <c r="Z22" s="1261"/>
      <c r="AA22" s="1261">
        <v>1</v>
      </c>
      <c r="AB22" s="1261">
        <v>1</v>
      </c>
      <c r="AC22" s="1261">
        <v>1</v>
      </c>
    </row>
    <row r="23" spans="1:29" s="102" customFormat="1" ht="15">
      <c r="A23" s="441"/>
      <c r="B23" s="555" t="s">
        <v>1778</v>
      </c>
      <c r="C23" s="1751">
        <f>估价对象房地状况!G19</f>
        <v>0</v>
      </c>
      <c r="D23" s="387">
        <v>100</v>
      </c>
      <c r="E23" s="389"/>
      <c r="F23" s="387">
        <f>SUMIF(91:91,E24,92:92)-SUMIF(91:91,C24,92:92)+100</f>
        <v>100</v>
      </c>
      <c r="G23" s="389"/>
      <c r="H23" s="387">
        <f>SUMIF(91:91,G24,92:92)-SUMIF(91:91,C24,92:92)+100</f>
        <v>100</v>
      </c>
      <c r="I23" s="391"/>
      <c r="J23" s="387">
        <f>SUMIF(91:91,I24,92:92)-SUMIF(91:91,C24,92:92)+100</f>
        <v>100</v>
      </c>
      <c r="K23" s="591"/>
      <c r="L23" s="2486"/>
      <c r="M23" s="2437"/>
      <c r="N23" s="2437"/>
      <c r="O23" s="2538"/>
      <c r="P23" s="3467"/>
      <c r="Q23" s="528" t="str">
        <f t="shared" si="8"/>
        <v>公共配套设施</v>
      </c>
      <c r="R23" s="662" t="s">
        <v>14</v>
      </c>
      <c r="S23" s="663">
        <f>F23</f>
        <v>100</v>
      </c>
      <c r="T23" s="662" t="s">
        <v>14</v>
      </c>
      <c r="U23" s="663">
        <f>H23</f>
        <v>100</v>
      </c>
      <c r="V23" s="662" t="s">
        <v>14</v>
      </c>
      <c r="W23" s="663">
        <f>J23</f>
        <v>100</v>
      </c>
      <c r="X23" s="664"/>
      <c r="Y23" s="3467"/>
      <c r="Z23" s="50" t="str">
        <f>Q23</f>
        <v>公共配套设施</v>
      </c>
      <c r="AA23" s="1261">
        <f>D23/F23</f>
        <v>1</v>
      </c>
      <c r="AB23" s="1261">
        <f>D23/H23</f>
        <v>1</v>
      </c>
      <c r="AC23" s="1261">
        <f>D23/J23</f>
        <v>1</v>
      </c>
    </row>
    <row r="24" spans="1:29" s="102" customFormat="1" ht="15">
      <c r="A24" s="441"/>
      <c r="B24" s="399"/>
      <c r="C24" s="1823"/>
      <c r="D24" s="385"/>
      <c r="E24" s="1755"/>
      <c r="F24" s="385"/>
      <c r="G24" s="1755"/>
      <c r="H24" s="385"/>
      <c r="I24" s="384"/>
      <c r="J24" s="385"/>
      <c r="K24" s="590"/>
      <c r="L24" s="2486"/>
      <c r="M24" s="2437"/>
      <c r="N24" s="2437"/>
      <c r="O24" s="2538"/>
      <c r="P24" s="3467"/>
      <c r="Q24" s="528"/>
      <c r="R24" s="662"/>
      <c r="S24" s="663"/>
      <c r="T24" s="662"/>
      <c r="U24" s="663"/>
      <c r="V24" s="662"/>
      <c r="W24" s="663"/>
      <c r="X24" s="664"/>
      <c r="Y24" s="3467"/>
      <c r="Z24" s="50"/>
      <c r="AA24" s="50">
        <v>1</v>
      </c>
      <c r="AB24" s="50">
        <v>1</v>
      </c>
      <c r="AC24" s="50">
        <v>1</v>
      </c>
    </row>
    <row r="25" spans="1:29" s="102" customFormat="1" ht="15">
      <c r="A25" s="441"/>
      <c r="B25" s="555" t="s">
        <v>1779</v>
      </c>
      <c r="C25" s="1751">
        <f>估价对象房地状况!G20</f>
        <v>0</v>
      </c>
      <c r="D25" s="387">
        <v>100</v>
      </c>
      <c r="E25" s="389"/>
      <c r="F25" s="387">
        <f>SUMIF(93:93,E26,94:94)-SUMIF(93:93,C26,94:94)+100</f>
        <v>100</v>
      </c>
      <c r="G25" s="389"/>
      <c r="H25" s="387">
        <f>SUMIF(93:93,G26,94:94)-SUMIF(93:93,C26,94:94)+100</f>
        <v>100</v>
      </c>
      <c r="I25" s="391"/>
      <c r="J25" s="387">
        <f>SUMIF(93:93,I26,94:94)-SUMIF(93:93,C26,94:94)+100</f>
        <v>100</v>
      </c>
      <c r="K25" s="591"/>
      <c r="L25" s="2486"/>
      <c r="M25" s="2437"/>
      <c r="N25" s="2437"/>
      <c r="O25" s="2538"/>
      <c r="P25" s="3467"/>
      <c r="Q25" s="528" t="str">
        <f t="shared" ref="Q25" si="9">B25</f>
        <v>基础设施水平</v>
      </c>
      <c r="R25" s="662" t="s">
        <v>14</v>
      </c>
      <c r="S25" s="663">
        <f>F25</f>
        <v>100</v>
      </c>
      <c r="T25" s="662" t="s">
        <v>14</v>
      </c>
      <c r="U25" s="663">
        <f>H25</f>
        <v>100</v>
      </c>
      <c r="V25" s="662" t="s">
        <v>14</v>
      </c>
      <c r="W25" s="663">
        <f>J25</f>
        <v>100</v>
      </c>
      <c r="X25" s="664"/>
      <c r="Y25" s="3467"/>
      <c r="Z25" s="50" t="str">
        <f>Q25</f>
        <v>基础设施水平</v>
      </c>
      <c r="AA25" s="1261">
        <f>D25/F25</f>
        <v>1</v>
      </c>
      <c r="AB25" s="1261">
        <f>D25/H25</f>
        <v>1</v>
      </c>
      <c r="AC25" s="1261">
        <f>D25/J25</f>
        <v>1</v>
      </c>
    </row>
    <row r="26" spans="1:29" s="102" customFormat="1" ht="15">
      <c r="A26" s="441"/>
      <c r="B26" s="399"/>
      <c r="C26" s="1823"/>
      <c r="D26" s="385"/>
      <c r="E26" s="1824"/>
      <c r="F26" s="385"/>
      <c r="G26" s="1824"/>
      <c r="H26" s="385"/>
      <c r="I26" s="1824"/>
      <c r="J26" s="385"/>
      <c r="K26" s="590"/>
      <c r="L26" s="2486"/>
      <c r="M26" s="2437"/>
      <c r="N26" s="2437"/>
      <c r="O26" s="2538"/>
      <c r="P26" s="3467"/>
      <c r="Q26" s="528"/>
      <c r="R26" s="662"/>
      <c r="S26" s="663"/>
      <c r="T26" s="662"/>
      <c r="U26" s="663"/>
      <c r="V26" s="662"/>
      <c r="W26" s="663"/>
      <c r="X26" s="664"/>
      <c r="Y26" s="3467"/>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90"/>
      <c r="M27" s="2485"/>
      <c r="N27" s="2485"/>
      <c r="O27" s="2540"/>
      <c r="P27" s="3467"/>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67"/>
      <c r="Z27" s="1261" t="str">
        <f t="shared" ref="Z27:Z40" si="13">Q27</f>
        <v>临街状况</v>
      </c>
      <c r="AA27" s="1261">
        <f t="shared" si="3"/>
        <v>1</v>
      </c>
      <c r="AB27" s="1261">
        <f t="shared" si="4"/>
        <v>1</v>
      </c>
      <c r="AC27" s="1261">
        <f t="shared" si="5"/>
        <v>1</v>
      </c>
    </row>
    <row r="28" spans="1:29" ht="28.8">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90"/>
      <c r="M28" s="2485"/>
      <c r="N28" s="2485"/>
      <c r="O28" s="2540"/>
      <c r="P28" s="3467"/>
      <c r="Q28" s="1260" t="str">
        <f t="shared" si="8"/>
        <v>毗邻道路的类型与等级</v>
      </c>
      <c r="R28" s="665" t="s">
        <v>14</v>
      </c>
      <c r="S28" s="666">
        <f t="shared" si="10"/>
        <v>100</v>
      </c>
      <c r="T28" s="665" t="s">
        <v>14</v>
      </c>
      <c r="U28" s="666">
        <f t="shared" si="11"/>
        <v>100</v>
      </c>
      <c r="V28" s="665" t="s">
        <v>14</v>
      </c>
      <c r="W28" s="666">
        <f t="shared" si="12"/>
        <v>100</v>
      </c>
      <c r="X28" s="1262"/>
      <c r="Y28" s="3467"/>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90"/>
      <c r="M29" s="2485"/>
      <c r="N29" s="2485"/>
      <c r="O29" s="2540"/>
      <c r="P29" s="3467"/>
      <c r="Q29" s="1260"/>
      <c r="R29" s="665"/>
      <c r="S29" s="666"/>
      <c r="T29" s="665"/>
      <c r="U29" s="666"/>
      <c r="V29" s="665"/>
      <c r="W29" s="666"/>
      <c r="X29" s="1262"/>
      <c r="Y29" s="3467"/>
      <c r="Z29" s="1261"/>
      <c r="AA29" s="1261">
        <v>1</v>
      </c>
      <c r="AB29" s="1261">
        <v>1</v>
      </c>
      <c r="AC29" s="1261">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90"/>
      <c r="M30" s="2485"/>
      <c r="N30" s="2485"/>
      <c r="O30" s="2540"/>
      <c r="P30" s="3467"/>
      <c r="Q30" s="1260" t="str">
        <f t="shared" si="8"/>
        <v>土地级别</v>
      </c>
      <c r="R30" s="665" t="s">
        <v>14</v>
      </c>
      <c r="S30" s="666">
        <f t="shared" si="10"/>
        <v>100</v>
      </c>
      <c r="T30" s="665" t="s">
        <v>14</v>
      </c>
      <c r="U30" s="666">
        <f t="shared" si="11"/>
        <v>100</v>
      </c>
      <c r="V30" s="665" t="s">
        <v>14</v>
      </c>
      <c r="W30" s="666">
        <f t="shared" si="12"/>
        <v>100</v>
      </c>
      <c r="X30" s="1262"/>
      <c r="Y30" s="3467"/>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90"/>
      <c r="M31" s="2485"/>
      <c r="N31" s="2485"/>
      <c r="O31" s="2540"/>
      <c r="P31" s="3467"/>
      <c r="Q31" s="1260">
        <f t="shared" si="8"/>
        <v>111</v>
      </c>
      <c r="R31" s="665" t="s">
        <v>14</v>
      </c>
      <c r="S31" s="666">
        <f t="shared" si="10"/>
        <v>100</v>
      </c>
      <c r="T31" s="665" t="s">
        <v>14</v>
      </c>
      <c r="U31" s="666">
        <f t="shared" si="11"/>
        <v>100</v>
      </c>
      <c r="V31" s="665" t="s">
        <v>14</v>
      </c>
      <c r="W31" s="666">
        <f t="shared" si="12"/>
        <v>100</v>
      </c>
      <c r="X31" s="1262"/>
      <c r="Y31" s="3467"/>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90"/>
      <c r="M32" s="2485"/>
      <c r="N32" s="2485"/>
      <c r="O32" s="2540"/>
      <c r="P32" s="3490" t="s">
        <v>1696</v>
      </c>
      <c r="Q32" s="1260">
        <f t="shared" si="8"/>
        <v>111</v>
      </c>
      <c r="R32" s="665" t="s">
        <v>14</v>
      </c>
      <c r="S32" s="666">
        <f t="shared" si="10"/>
        <v>100</v>
      </c>
      <c r="T32" s="665" t="s">
        <v>14</v>
      </c>
      <c r="U32" s="666">
        <f t="shared" si="11"/>
        <v>100</v>
      </c>
      <c r="V32" s="665" t="s">
        <v>14</v>
      </c>
      <c r="W32" s="666">
        <f t="shared" si="12"/>
        <v>100</v>
      </c>
      <c r="X32" s="1262"/>
      <c r="Y32" s="3471" t="s">
        <v>1696</v>
      </c>
      <c r="Z32" s="1261">
        <f t="shared" si="13"/>
        <v>111</v>
      </c>
      <c r="AA32" s="1261">
        <f t="shared" si="3"/>
        <v>1</v>
      </c>
      <c r="AB32" s="1261">
        <f t="shared" si="4"/>
        <v>1</v>
      </c>
      <c r="AC32" s="1261">
        <f t="shared" si="5"/>
        <v>1</v>
      </c>
    </row>
    <row r="33" spans="1:31" s="406" customFormat="1" ht="15.6"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9"/>
      <c r="M33" s="2491"/>
      <c r="N33" s="2491"/>
      <c r="O33" s="2541"/>
      <c r="P33" s="3471"/>
      <c r="Q33" s="1260">
        <f t="shared" si="8"/>
        <v>111</v>
      </c>
      <c r="R33" s="667" t="s">
        <v>14</v>
      </c>
      <c r="S33" s="668">
        <f t="shared" si="10"/>
        <v>100</v>
      </c>
      <c r="T33" s="667" t="s">
        <v>14</v>
      </c>
      <c r="U33" s="668">
        <f t="shared" si="11"/>
        <v>100</v>
      </c>
      <c r="V33" s="667" t="s">
        <v>14</v>
      </c>
      <c r="W33" s="668">
        <f t="shared" si="12"/>
        <v>100</v>
      </c>
      <c r="X33" s="669"/>
      <c r="Y33" s="3471"/>
      <c r="Z33" s="670">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90"/>
      <c r="M34" s="2485"/>
      <c r="N34" s="2485"/>
      <c r="O34" s="2540"/>
      <c r="P34" s="3471"/>
      <c r="Q34" s="1260" t="str">
        <f>B34</f>
        <v>宗地面积</v>
      </c>
      <c r="R34" s="665" t="s">
        <v>14</v>
      </c>
      <c r="S34" s="666" t="e">
        <f t="shared" si="10"/>
        <v>#N/A</v>
      </c>
      <c r="T34" s="665" t="s">
        <v>14</v>
      </c>
      <c r="U34" s="666" t="e">
        <f t="shared" si="11"/>
        <v>#N/A</v>
      </c>
      <c r="V34" s="665" t="s">
        <v>14</v>
      </c>
      <c r="W34" s="666" t="e">
        <f t="shared" si="12"/>
        <v>#N/A</v>
      </c>
      <c r="X34" s="1262"/>
      <c r="Y34" s="3471"/>
      <c r="Z34" s="1261" t="str">
        <f t="shared" si="13"/>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90"/>
      <c r="M35" s="2485"/>
      <c r="N35" s="2485"/>
      <c r="O35" s="2540"/>
      <c r="P35" s="3471"/>
      <c r="Q35" s="1260" t="str">
        <f t="shared" ref="Q35:Q40" si="14">B35</f>
        <v>宗地形状</v>
      </c>
      <c r="R35" s="665" t="s">
        <v>14</v>
      </c>
      <c r="S35" s="666">
        <f t="shared" si="10"/>
        <v>100</v>
      </c>
      <c r="T35" s="665" t="s">
        <v>14</v>
      </c>
      <c r="U35" s="666">
        <f t="shared" si="11"/>
        <v>100</v>
      </c>
      <c r="V35" s="665" t="s">
        <v>14</v>
      </c>
      <c r="W35" s="666">
        <f t="shared" si="12"/>
        <v>100</v>
      </c>
      <c r="X35" s="1262"/>
      <c r="Y35" s="3471"/>
      <c r="Z35" s="1261" t="str">
        <f t="shared" si="13"/>
        <v>宗地形状</v>
      </c>
      <c r="AA35" s="1261">
        <f t="shared" si="3"/>
        <v>1</v>
      </c>
      <c r="AB35" s="1261">
        <f t="shared" si="4"/>
        <v>1</v>
      </c>
      <c r="AC35" s="1261">
        <f t="shared" si="5"/>
        <v>1</v>
      </c>
    </row>
    <row r="36" spans="1:31" s="102"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6"/>
      <c r="M36" s="2437"/>
      <c r="N36" s="2437"/>
      <c r="O36" s="2538"/>
      <c r="P36" s="3471"/>
      <c r="Q36" s="1260" t="str">
        <f t="shared" si="14"/>
        <v>宗地开发程度</v>
      </c>
      <c r="R36" s="662" t="s">
        <v>14</v>
      </c>
      <c r="S36" s="663">
        <f t="shared" si="10"/>
        <v>100</v>
      </c>
      <c r="T36" s="662" t="s">
        <v>14</v>
      </c>
      <c r="U36" s="663">
        <f t="shared" si="11"/>
        <v>100</v>
      </c>
      <c r="V36" s="662" t="s">
        <v>14</v>
      </c>
      <c r="W36" s="663">
        <f t="shared" si="12"/>
        <v>100</v>
      </c>
      <c r="X36" s="664"/>
      <c r="Y36" s="3471"/>
      <c r="Z36" s="50" t="str">
        <f t="shared" si="13"/>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90"/>
      <c r="M37" s="2485"/>
      <c r="N37" s="2485"/>
      <c r="O37" s="2540"/>
      <c r="P37" s="3471" t="s">
        <v>1696</v>
      </c>
      <c r="Q37" s="1260" t="str">
        <f t="shared" si="14"/>
        <v>工程地质条件</v>
      </c>
      <c r="R37" s="665" t="s">
        <v>14</v>
      </c>
      <c r="S37" s="666">
        <f t="shared" si="10"/>
        <v>100</v>
      </c>
      <c r="T37" s="665" t="s">
        <v>14</v>
      </c>
      <c r="U37" s="666">
        <f t="shared" si="11"/>
        <v>100</v>
      </c>
      <c r="V37" s="665" t="s">
        <v>14</v>
      </c>
      <c r="W37" s="666">
        <f t="shared" si="12"/>
        <v>100</v>
      </c>
      <c r="X37" s="1262"/>
      <c r="Y37" s="3471" t="s">
        <v>1696</v>
      </c>
      <c r="Z37" s="1261" t="str">
        <f t="shared" si="13"/>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90"/>
      <c r="M38" s="2485"/>
      <c r="N38" s="2485"/>
      <c r="O38" s="2540"/>
      <c r="P38" s="3471"/>
      <c r="Q38" s="1260">
        <f t="shared" si="14"/>
        <v>111</v>
      </c>
      <c r="R38" s="665" t="s">
        <v>14</v>
      </c>
      <c r="S38" s="666">
        <f t="shared" si="10"/>
        <v>100</v>
      </c>
      <c r="T38" s="665" t="s">
        <v>14</v>
      </c>
      <c r="U38" s="666">
        <f t="shared" si="11"/>
        <v>100</v>
      </c>
      <c r="V38" s="665" t="s">
        <v>14</v>
      </c>
      <c r="W38" s="666">
        <f t="shared" si="12"/>
        <v>100</v>
      </c>
      <c r="X38" s="1262"/>
      <c r="Y38" s="3471"/>
      <c r="Z38" s="1261">
        <f t="shared" si="13"/>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90"/>
      <c r="M39" s="2485"/>
      <c r="N39" s="2485"/>
      <c r="O39" s="2540"/>
      <c r="P39" s="3471"/>
      <c r="Q39" s="1260">
        <f t="shared" si="14"/>
        <v>111</v>
      </c>
      <c r="R39" s="665" t="s">
        <v>14</v>
      </c>
      <c r="S39" s="666">
        <f t="shared" si="10"/>
        <v>100</v>
      </c>
      <c r="T39" s="665" t="s">
        <v>14</v>
      </c>
      <c r="U39" s="666">
        <f t="shared" si="11"/>
        <v>100</v>
      </c>
      <c r="V39" s="665" t="s">
        <v>14</v>
      </c>
      <c r="W39" s="666">
        <f t="shared" si="12"/>
        <v>100</v>
      </c>
      <c r="X39" s="1262"/>
      <c r="Y39" s="3471"/>
      <c r="Z39" s="1261">
        <f t="shared" si="13"/>
        <v>111</v>
      </c>
      <c r="AA39" s="1261">
        <f t="shared" si="3"/>
        <v>1</v>
      </c>
      <c r="AB39" s="1261">
        <f t="shared" si="4"/>
        <v>1</v>
      </c>
      <c r="AC39" s="1261">
        <f t="shared" si="5"/>
        <v>1</v>
      </c>
    </row>
    <row r="40" spans="1:31" s="406" customFormat="1" ht="15.6" thickBot="1">
      <c r="A40" s="404"/>
      <c r="B40" s="1065">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9"/>
      <c r="M40" s="2491"/>
      <c r="N40" s="2491"/>
      <c r="O40" s="2541"/>
      <c r="P40" s="3471"/>
      <c r="Q40" s="1260">
        <f t="shared" si="14"/>
        <v>111</v>
      </c>
      <c r="R40" s="667" t="s">
        <v>14</v>
      </c>
      <c r="S40" s="668">
        <f t="shared" si="10"/>
        <v>100</v>
      </c>
      <c r="T40" s="667" t="s">
        <v>14</v>
      </c>
      <c r="U40" s="668">
        <f t="shared" si="11"/>
        <v>100</v>
      </c>
      <c r="V40" s="667" t="s">
        <v>14</v>
      </c>
      <c r="W40" s="668">
        <f t="shared" si="12"/>
        <v>100</v>
      </c>
      <c r="X40" s="669"/>
      <c r="Y40" s="3471"/>
      <c r="Z40" s="670">
        <f t="shared" si="13"/>
        <v>111</v>
      </c>
      <c r="AA40" s="1261">
        <f t="shared" si="3"/>
        <v>1</v>
      </c>
      <c r="AB40" s="1261">
        <f t="shared" si="4"/>
        <v>1</v>
      </c>
      <c r="AC40" s="1261">
        <f t="shared" si="5"/>
        <v>1</v>
      </c>
    </row>
    <row r="41" spans="1:31" ht="14.4">
      <c r="A41" s="414" t="s">
        <v>1844</v>
      </c>
      <c r="B41" s="1827" t="s">
        <v>1922</v>
      </c>
      <c r="C41" s="600" t="s">
        <v>0</v>
      </c>
      <c r="D41" s="416"/>
      <c r="E41" s="417"/>
      <c r="F41" s="418"/>
      <c r="G41" s="419"/>
      <c r="H41" s="420"/>
      <c r="I41" s="417"/>
      <c r="J41" s="420"/>
      <c r="K41" s="672"/>
      <c r="L41" s="2492"/>
      <c r="M41" s="2485"/>
      <c r="N41" s="2485"/>
      <c r="O41" s="2485"/>
      <c r="P41" s="3465" t="str">
        <f>A41</f>
        <v>成交单价</v>
      </c>
      <c r="Q41" s="3465"/>
      <c r="R41" s="3460">
        <f>E41</f>
        <v>0</v>
      </c>
      <c r="S41" s="3460"/>
      <c r="T41" s="3460">
        <f>G41</f>
        <v>0</v>
      </c>
      <c r="U41" s="3460"/>
      <c r="V41" s="3460">
        <f>I41</f>
        <v>0</v>
      </c>
      <c r="W41" s="3460"/>
      <c r="X41" s="383"/>
      <c r="Y41" s="671"/>
      <c r="Z41" s="383"/>
      <c r="AA41" s="383"/>
      <c r="AB41" s="383"/>
      <c r="AC41" s="383"/>
    </row>
    <row r="42" spans="1:31" ht="15" thickBot="1">
      <c r="A42" s="421" t="s">
        <v>1793</v>
      </c>
      <c r="B42" s="601"/>
      <c r="C42" s="424" t="e">
        <f>R43</f>
        <v>#DIV/0!</v>
      </c>
      <c r="D42" s="2138" t="s">
        <v>2135</v>
      </c>
      <c r="E42" s="424" t="e">
        <f>R42</f>
        <v>#DIV/0!</v>
      </c>
      <c r="F42" s="2139"/>
      <c r="G42" s="423" t="e">
        <f>T42</f>
        <v>#DIV/0!</v>
      </c>
      <c r="H42" s="2139"/>
      <c r="I42" s="424" t="e">
        <f>V42</f>
        <v>#DIV/0!</v>
      </c>
      <c r="J42" s="2139"/>
      <c r="K42" s="2141">
        <f>F42+H42+J42</f>
        <v>0</v>
      </c>
      <c r="L42" s="2492"/>
      <c r="M42" s="2485"/>
      <c r="N42" s="2485"/>
      <c r="O42" s="2485"/>
      <c r="P42" s="3465" t="str">
        <f>A42</f>
        <v>比较价值（元/平方米）</v>
      </c>
      <c r="Q42" s="3465"/>
      <c r="R42" s="3492" t="e">
        <f>ROUND(PRODUCT(R41,AA7:AA40),0)</f>
        <v>#DIV/0!</v>
      </c>
      <c r="S42" s="3492"/>
      <c r="T42" s="3492" t="e">
        <f>ROUND(PRODUCT(T41,AB7:AB40),0)</f>
        <v>#DIV/0!</v>
      </c>
      <c r="U42" s="3492"/>
      <c r="V42" s="3492" t="e">
        <f>ROUND(PRODUCT(V41,AC7:AC40),0)</f>
        <v>#DIV/0!</v>
      </c>
      <c r="W42" s="3492"/>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92"/>
      <c r="M43" s="2485"/>
      <c r="N43" s="2485"/>
      <c r="O43" s="2485"/>
      <c r="P43" s="3462" t="str">
        <f>A43</f>
        <v>估价对象XX用房的比较价值（楼面单价，元/平方米）</v>
      </c>
      <c r="Q43" s="3463"/>
      <c r="R43" s="3493" t="e">
        <f>ROUND(IF(D42="简单平均",AVERAGE(R42:W42),R42*F42+T42*H42+V42*J42),0)</f>
        <v>#DIV/0!</v>
      </c>
      <c r="S43" s="3493"/>
      <c r="T43" s="3493"/>
      <c r="U43" s="3493"/>
      <c r="V43" s="3493"/>
      <c r="W43" s="3493"/>
      <c r="X43" s="383"/>
      <c r="Y43" s="383"/>
      <c r="Z43" s="383"/>
      <c r="AA43" s="383"/>
      <c r="AB43" s="383"/>
      <c r="AC43" s="383"/>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5" customFormat="1" ht="13.5" customHeight="1">
      <c r="A48" s="2495"/>
      <c r="B48" s="2495"/>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5" customFormat="1" ht="14.4"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2" t="s">
        <v>1881</v>
      </c>
      <c r="B50" s="603" t="s">
        <v>1882</v>
      </c>
      <c r="C50" s="1828" t="s">
        <v>1883</v>
      </c>
      <c r="D50" s="1829" t="s">
        <v>1884</v>
      </c>
      <c r="E50" s="604" t="s">
        <v>1885</v>
      </c>
      <c r="F50" s="605" t="s">
        <v>1886</v>
      </c>
      <c r="G50" s="3448" t="s">
        <v>1887</v>
      </c>
      <c r="H50" s="3494"/>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0" customFormat="1">
      <c r="A51" s="606" t="s">
        <v>1890</v>
      </c>
      <c r="B51" s="607" t="e">
        <f>C43</f>
        <v>#DIV/0!</v>
      </c>
      <c r="C51" s="608">
        <v>1</v>
      </c>
      <c r="D51" s="888">
        <v>1</v>
      </c>
      <c r="E51" s="608">
        <f>'数据-汇总表'!E8+'数据-汇总表'!E9</f>
        <v>742.75</v>
      </c>
      <c r="F51" s="609" t="e">
        <f t="shared" ref="F51:F60" si="15">ROUND(B51*E51/10000,0)</f>
        <v>#DIV/0!</v>
      </c>
      <c r="G51" s="3447"/>
      <c r="H51" s="3465"/>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0" customFormat="1">
      <c r="A52" s="611" t="s">
        <v>1891</v>
      </c>
      <c r="B52" s="208" t="e">
        <f>ROUND($C$43*C52*D52,0)</f>
        <v>#DIV/0!</v>
      </c>
      <c r="C52" s="161">
        <f t="shared" ref="C52:C60" si="16">IF($C$50="北京市系数",I52,J52)</f>
        <v>0</v>
      </c>
      <c r="D52" s="889">
        <v>0.25</v>
      </c>
      <c r="E52" s="612"/>
      <c r="F52" s="609" t="e">
        <f t="shared" si="15"/>
        <v>#DIV/0!</v>
      </c>
      <c r="G52" s="2748" t="s">
        <v>1892</v>
      </c>
      <c r="H52" s="832">
        <f>项目基本情况!B37</f>
        <v>0</v>
      </c>
      <c r="I52" s="725">
        <f>SUMIF(修正!A57:A68,H52,修正!B57:B68)</f>
        <v>0</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0" customFormat="1">
      <c r="A53" s="611" t="s">
        <v>1893</v>
      </c>
      <c r="B53" s="208" t="e">
        <f t="shared" ref="B53:B60" si="17">ROUND($C$43*C53*D53,0)</f>
        <v>#DIV/0!</v>
      </c>
      <c r="C53" s="161">
        <f t="shared" si="16"/>
        <v>0</v>
      </c>
      <c r="D53" s="889">
        <v>0.25</v>
      </c>
      <c r="E53" s="612"/>
      <c r="F53" s="609" t="e">
        <f t="shared" si="15"/>
        <v>#DIV/0!</v>
      </c>
      <c r="G53" s="2749"/>
      <c r="H53" s="832">
        <f>项目基本情况!B37</f>
        <v>0</v>
      </c>
      <c r="I53" s="725">
        <f>SUMIF(修正!A57:A68,H53,修正!C57:C68)</f>
        <v>0</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0" customFormat="1">
      <c r="A54" s="611" t="s">
        <v>1894</v>
      </c>
      <c r="B54" s="208" t="e">
        <f t="shared" si="17"/>
        <v>#DIV/0!</v>
      </c>
      <c r="C54" s="161">
        <f t="shared" si="16"/>
        <v>0</v>
      </c>
      <c r="D54" s="889">
        <v>0.25</v>
      </c>
      <c r="E54" s="612"/>
      <c r="F54" s="609" t="e">
        <f t="shared" si="15"/>
        <v>#DIV/0!</v>
      </c>
      <c r="G54" s="2749"/>
      <c r="H54" s="832">
        <f>项目基本情况!B37</f>
        <v>0</v>
      </c>
      <c r="I54" s="725">
        <f>SUMIF(修正!A57:A68,H54,修正!D57:D68)</f>
        <v>0</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0" customFormat="1" hidden="1">
      <c r="A55" s="611"/>
      <c r="B55" s="208"/>
      <c r="C55" s="161"/>
      <c r="D55" s="889"/>
      <c r="E55" s="612"/>
      <c r="F55" s="609"/>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0" customFormat="1">
      <c r="A56" s="611" t="s">
        <v>1895</v>
      </c>
      <c r="B56" s="208" t="e">
        <f t="shared" si="17"/>
        <v>#DIV/0!</v>
      </c>
      <c r="C56" s="161">
        <f t="shared" si="16"/>
        <v>0.2</v>
      </c>
      <c r="D56" s="889">
        <v>0.25</v>
      </c>
      <c r="E56" s="207">
        <f>'数据-汇总表'!E11</f>
        <v>0</v>
      </c>
      <c r="F56" s="609" t="e">
        <f t="shared" si="15"/>
        <v>#DIV/0!</v>
      </c>
      <c r="G56" s="1832" t="s">
        <v>1896</v>
      </c>
      <c r="H56" s="832" t="str">
        <f>项目基本情况!C37</f>
        <v>八级</v>
      </c>
      <c r="I56" s="725">
        <f>SUMIF(修正!A57:A68,H56,修正!E57:E68)</f>
        <v>0.2</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0" customFormat="1">
      <c r="A57" s="611" t="s">
        <v>1897</v>
      </c>
      <c r="B57" s="208" t="e">
        <f t="shared" si="17"/>
        <v>#DIV/0!</v>
      </c>
      <c r="C57" s="161">
        <f t="shared" si="16"/>
        <v>0.2</v>
      </c>
      <c r="D57" s="889">
        <v>0.25</v>
      </c>
      <c r="E57" s="207">
        <f>'数据-汇总表'!E12</f>
        <v>0</v>
      </c>
      <c r="F57" s="609" t="e">
        <f t="shared" si="15"/>
        <v>#DIV/0!</v>
      </c>
      <c r="G57" s="837" t="s">
        <v>1898</v>
      </c>
      <c r="H57" s="832" t="str">
        <f>IF(G57="商业",项目基本情况!B37,IF(G57="办公",项目基本情况!C37,IF(G57="住宅",项目基本情况!D37,项目基本情况!E37)))</f>
        <v>八级</v>
      </c>
      <c r="I57" s="725">
        <f>SUMIF(修正!A57:A68,H57,修正!F57:F68)</f>
        <v>0.2</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0" customFormat="1">
      <c r="A59" s="611" t="s">
        <v>1901</v>
      </c>
      <c r="B59" s="208" t="e">
        <f t="shared" si="17"/>
        <v>#DIV/0!</v>
      </c>
      <c r="C59" s="161">
        <f t="shared" si="16"/>
        <v>0</v>
      </c>
      <c r="D59" s="889">
        <v>0.25</v>
      </c>
      <c r="E59" s="207">
        <f>'数据-汇总表'!E14</f>
        <v>0</v>
      </c>
      <c r="F59" s="609" t="e">
        <f t="shared" si="15"/>
        <v>#DIV/0!</v>
      </c>
      <c r="G59" s="1832" t="s">
        <v>1892</v>
      </c>
      <c r="H59" s="832">
        <f>项目基本情况!B37</f>
        <v>0</v>
      </c>
      <c r="I59" s="725">
        <f>SUMIF(修正!A57:A68,H59,修正!G57:G68)</f>
        <v>0</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0" customFormat="1" ht="14.4" thickBot="1">
      <c r="A60" s="611" t="s">
        <v>1902</v>
      </c>
      <c r="B60" s="208" t="e">
        <f t="shared" si="17"/>
        <v>#DIV/0!</v>
      </c>
      <c r="C60" s="161">
        <f t="shared" si="16"/>
        <v>0.1</v>
      </c>
      <c r="D60" s="889">
        <v>0.25</v>
      </c>
      <c r="E60" s="207">
        <f>'数据-汇总表'!E15</f>
        <v>0</v>
      </c>
      <c r="F60" s="609" t="e">
        <f t="shared" si="15"/>
        <v>#DIV/0!</v>
      </c>
      <c r="G60" s="1833" t="s">
        <v>1896</v>
      </c>
      <c r="H60" s="842" t="str">
        <f>项目基本情况!C37</f>
        <v>八级</v>
      </c>
      <c r="I60" s="725">
        <f>SUMIF(修正!A57:A68,H60,修正!G57:G68)</f>
        <v>0.1</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0" customFormat="1" ht="14.4" thickBot="1">
      <c r="A61" s="613" t="s">
        <v>1903</v>
      </c>
      <c r="B61" s="614" t="s">
        <v>22</v>
      </c>
      <c r="C61" s="614" t="s">
        <v>23</v>
      </c>
      <c r="D61" s="614" t="s">
        <v>392</v>
      </c>
      <c r="E61" s="614">
        <f>IF(B41="楼面地价",SUM(E51:E60),'数据-汇总表'!D3)</f>
        <v>891.05</v>
      </c>
      <c r="F61" s="615"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2025-3-1</v>
      </c>
      <c r="D63" s="654">
        <f>EDATE(C63,-3)</f>
        <v>45627</v>
      </c>
      <c r="E63" s="654">
        <f>EDATE(D63,-3)</f>
        <v>45536</v>
      </c>
      <c r="F63" s="654">
        <f t="shared" ref="F63:O63" si="18">EDATE(E63,-3)</f>
        <v>45444</v>
      </c>
      <c r="G63" s="654">
        <f t="shared" si="18"/>
        <v>45352</v>
      </c>
      <c r="H63" s="654">
        <f t="shared" si="18"/>
        <v>45261</v>
      </c>
      <c r="I63" s="654">
        <f t="shared" si="18"/>
        <v>45170</v>
      </c>
      <c r="J63" s="654">
        <f t="shared" si="18"/>
        <v>45078</v>
      </c>
      <c r="K63" s="654">
        <f t="shared" si="18"/>
        <v>44986</v>
      </c>
      <c r="L63" s="654">
        <f t="shared" si="18"/>
        <v>44896</v>
      </c>
      <c r="M63" s="654">
        <f t="shared" si="18"/>
        <v>44805</v>
      </c>
      <c r="N63" s="654">
        <f t="shared" si="18"/>
        <v>44713</v>
      </c>
      <c r="O63" s="654">
        <f t="shared" si="18"/>
        <v>44621</v>
      </c>
      <c r="P63" s="2485"/>
      <c r="Q63" s="2485"/>
      <c r="R63" s="2485"/>
      <c r="S63" s="2485"/>
      <c r="T63" s="2485"/>
      <c r="U63" s="2485"/>
      <c r="V63" s="2485"/>
      <c r="W63" s="2485"/>
      <c r="X63" s="2485"/>
      <c r="Y63" s="2485"/>
      <c r="Z63" s="2485"/>
      <c r="AA63" s="2485"/>
      <c r="AB63" s="2485"/>
      <c r="AC63" s="2485"/>
      <c r="AD63" s="2485"/>
      <c r="AE63" s="2485"/>
    </row>
    <row r="64" spans="1:31" ht="22.2" thickBot="1">
      <c r="A64" s="656" t="s">
        <v>1798</v>
      </c>
      <c r="B64" s="383"/>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0" customFormat="1" ht="14.4">
      <c r="A65" s="1627" t="s">
        <v>1904</v>
      </c>
      <c r="B65" s="1044"/>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 thickBot="1">
      <c r="A67" s="447" t="s">
        <v>1716</v>
      </c>
      <c r="B67" s="448"/>
      <c r="C67" s="449"/>
      <c r="D67" s="450"/>
      <c r="E67" s="450"/>
      <c r="F67" s="450"/>
      <c r="G67" s="450"/>
      <c r="H67" s="450"/>
      <c r="I67" s="450"/>
      <c r="J67" s="450"/>
      <c r="K67" s="450"/>
      <c r="L67" s="450"/>
      <c r="M67" s="451"/>
      <c r="N67" s="451"/>
      <c r="O67" s="452"/>
      <c r="P67" s="2506"/>
      <c r="Q67" s="2506"/>
      <c r="R67" s="2437"/>
      <c r="S67" s="2437"/>
      <c r="T67" s="2437"/>
      <c r="U67" s="2437"/>
      <c r="V67" s="2437"/>
      <c r="W67" s="2437"/>
      <c r="X67" s="2437"/>
      <c r="Y67" s="2437"/>
      <c r="Z67" s="2437"/>
      <c r="AA67" s="2437"/>
      <c r="AB67" s="2437"/>
      <c r="AC67" s="2437"/>
      <c r="AD67" s="2437"/>
      <c r="AE67" s="2437"/>
    </row>
    <row r="68" spans="1:31" s="102" customFormat="1" ht="14.4">
      <c r="A68" s="453" t="s">
        <v>1681</v>
      </c>
      <c r="B68" s="442"/>
      <c r="C68" s="454" t="s">
        <v>1776</v>
      </c>
      <c r="D68" s="31"/>
      <c r="E68" s="31"/>
      <c r="F68" s="31"/>
      <c r="G68" s="31"/>
      <c r="H68" s="31"/>
      <c r="I68" s="31"/>
      <c r="J68" s="31"/>
      <c r="K68" s="31"/>
      <c r="L68" s="455"/>
      <c r="M68" s="456"/>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4.4" thickBot="1">
      <c r="A69" s="453"/>
      <c r="B69" s="442"/>
      <c r="C69" s="561">
        <v>100</v>
      </c>
      <c r="D69" s="444"/>
      <c r="E69" s="444"/>
      <c r="F69" s="444"/>
      <c r="G69" s="444"/>
      <c r="H69" s="444"/>
      <c r="I69" s="444"/>
      <c r="J69" s="444"/>
      <c r="K69" s="444"/>
      <c r="L69" s="444"/>
      <c r="M69" s="446"/>
      <c r="N69" s="2518"/>
      <c r="O69" s="2518"/>
      <c r="P69" s="2506"/>
      <c r="Q69" s="2506"/>
      <c r="R69" s="2437"/>
      <c r="S69" s="2437"/>
      <c r="T69" s="2437"/>
      <c r="U69" s="2437"/>
      <c r="V69" s="2437"/>
      <c r="W69" s="2437"/>
      <c r="X69" s="2437"/>
      <c r="Y69" s="2437"/>
      <c r="Z69" s="2437"/>
      <c r="AA69" s="2437"/>
      <c r="AB69" s="2437"/>
      <c r="AC69" s="2437"/>
      <c r="AD69" s="2437"/>
      <c r="AE69" s="2437"/>
    </row>
    <row r="70" spans="1:31" ht="14.4">
      <c r="A70" s="377" t="s">
        <v>1719</v>
      </c>
      <c r="B70" s="458" t="s">
        <v>1685</v>
      </c>
      <c r="C70" s="460"/>
      <c r="D70" s="460"/>
      <c r="E70" s="460"/>
      <c r="F70" s="460"/>
      <c r="G70" s="460"/>
      <c r="H70" s="460"/>
      <c r="I70" s="460"/>
      <c r="J70" s="460"/>
      <c r="K70" s="461"/>
      <c r="L70" s="462"/>
      <c r="M70" s="463"/>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5"/>
      <c r="B71" s="464"/>
      <c r="C71" s="465"/>
      <c r="D71" s="465"/>
      <c r="E71" s="465"/>
      <c r="F71" s="465"/>
      <c r="G71" s="465"/>
      <c r="H71" s="465"/>
      <c r="I71" s="465"/>
      <c r="J71" s="465"/>
      <c r="K71" s="465"/>
      <c r="L71" s="465"/>
      <c r="M71" s="466"/>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5"/>
      <c r="B72" s="467" t="s">
        <v>1688</v>
      </c>
      <c r="C72" s="468"/>
      <c r="D72" s="468"/>
      <c r="E72" s="468"/>
      <c r="F72" s="468"/>
      <c r="G72" s="468"/>
      <c r="H72" s="468"/>
      <c r="I72" s="468"/>
      <c r="J72" s="468"/>
      <c r="K72" s="469"/>
      <c r="L72" s="470"/>
      <c r="M72" s="471"/>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5"/>
      <c r="B73" s="472"/>
      <c r="C73" s="473"/>
      <c r="D73" s="473"/>
      <c r="E73" s="473"/>
      <c r="F73" s="473"/>
      <c r="G73" s="473"/>
      <c r="H73" s="473"/>
      <c r="I73" s="473"/>
      <c r="J73" s="473"/>
      <c r="K73" s="473"/>
      <c r="L73" s="473"/>
      <c r="M73" s="474"/>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5"/>
      <c r="B75" s="477"/>
      <c r="C75" s="478"/>
      <c r="D75" s="478"/>
      <c r="E75" s="478"/>
      <c r="F75" s="478"/>
      <c r="G75" s="478"/>
      <c r="H75" s="478"/>
      <c r="I75" s="478"/>
      <c r="J75" s="478"/>
      <c r="K75" s="479"/>
      <c r="L75" s="480"/>
      <c r="M75" s="481"/>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6" customFormat="1" ht="14.4" thickTop="1">
      <c r="A77" s="482"/>
      <c r="B77" s="467">
        <f>B12</f>
        <v>111</v>
      </c>
      <c r="C77" s="483"/>
      <c r="D77" s="483"/>
      <c r="E77" s="483"/>
      <c r="F77" s="483"/>
      <c r="G77" s="483"/>
      <c r="H77" s="484"/>
      <c r="I77" s="484"/>
      <c r="J77" s="484"/>
      <c r="K77" s="484"/>
      <c r="L77" s="485"/>
      <c r="M77" s="486"/>
      <c r="N77" s="2521"/>
      <c r="O77" s="2521"/>
      <c r="P77" s="2521"/>
      <c r="Q77" s="2513"/>
      <c r="R77" s="2491"/>
      <c r="S77" s="2491"/>
      <c r="T77" s="2491"/>
      <c r="U77" s="2491"/>
      <c r="V77" s="2491"/>
      <c r="W77" s="2491"/>
      <c r="X77" s="2491"/>
      <c r="Y77" s="2491"/>
      <c r="Z77" s="2491"/>
      <c r="AA77" s="2491"/>
      <c r="AB77" s="2491"/>
      <c r="AC77" s="2491"/>
      <c r="AD77" s="2491"/>
      <c r="AE77" s="2491"/>
    </row>
    <row r="78" spans="1:31" s="406" customFormat="1" ht="14.4" thickBot="1">
      <c r="A78" s="482"/>
      <c r="B78" s="472"/>
      <c r="C78" s="489"/>
      <c r="D78" s="465"/>
      <c r="E78" s="465"/>
      <c r="F78" s="465"/>
      <c r="G78" s="465"/>
      <c r="H78" s="465"/>
      <c r="I78" s="465"/>
      <c r="J78" s="465"/>
      <c r="K78" s="465"/>
      <c r="L78" s="465"/>
      <c r="M78" s="466"/>
      <c r="N78" s="2520"/>
      <c r="O78" s="2520"/>
      <c r="P78" s="2521"/>
      <c r="Q78" s="2513"/>
      <c r="R78" s="2491"/>
      <c r="S78" s="2491"/>
      <c r="T78" s="2491"/>
      <c r="U78" s="2491"/>
      <c r="V78" s="2491"/>
      <c r="W78" s="2491"/>
      <c r="X78" s="2491"/>
      <c r="Y78" s="2491"/>
      <c r="Z78" s="2491"/>
      <c r="AA78" s="2491"/>
      <c r="AB78" s="2491"/>
      <c r="AC78" s="2491"/>
      <c r="AD78" s="2491"/>
      <c r="AE78" s="2491"/>
    </row>
    <row r="79" spans="1:31" s="406" customFormat="1" ht="14.4" thickTop="1">
      <c r="A79" s="482"/>
      <c r="B79" s="467">
        <f>B13</f>
        <v>111</v>
      </c>
      <c r="C79" s="483"/>
      <c r="D79" s="483"/>
      <c r="E79" s="483"/>
      <c r="F79" s="483"/>
      <c r="G79" s="483"/>
      <c r="H79" s="484"/>
      <c r="I79" s="484"/>
      <c r="J79" s="484"/>
      <c r="K79" s="484"/>
      <c r="L79" s="485"/>
      <c r="M79" s="486"/>
      <c r="N79" s="2521"/>
      <c r="O79" s="2521"/>
      <c r="P79" s="2491"/>
      <c r="Q79" s="2515"/>
      <c r="R79" s="2491"/>
      <c r="S79" s="2491"/>
      <c r="T79" s="2491"/>
      <c r="U79" s="2491"/>
      <c r="V79" s="2491"/>
      <c r="W79" s="2491"/>
      <c r="X79" s="2491"/>
      <c r="Y79" s="2491"/>
      <c r="Z79" s="2491"/>
      <c r="AA79" s="2491"/>
      <c r="AB79" s="2491"/>
      <c r="AC79" s="2491"/>
      <c r="AD79" s="2491"/>
      <c r="AE79" s="2491"/>
    </row>
    <row r="80" spans="1:31" s="406" customFormat="1" ht="14.4" thickBot="1">
      <c r="A80" s="482"/>
      <c r="B80" s="472"/>
      <c r="C80" s="489"/>
      <c r="D80" s="489"/>
      <c r="E80" s="489"/>
      <c r="F80" s="489"/>
      <c r="G80" s="489"/>
      <c r="H80" s="491"/>
      <c r="I80" s="491"/>
      <c r="J80" s="491"/>
      <c r="K80" s="491"/>
      <c r="L80" s="491"/>
      <c r="M80" s="492"/>
      <c r="N80" s="2521"/>
      <c r="O80" s="2521"/>
      <c r="P80" s="2521"/>
      <c r="Q80" s="2513"/>
      <c r="R80" s="2491"/>
      <c r="S80" s="2491"/>
      <c r="T80" s="2491"/>
      <c r="U80" s="2491"/>
      <c r="V80" s="2491"/>
      <c r="W80" s="2491"/>
      <c r="X80" s="2491"/>
      <c r="Y80" s="2491"/>
      <c r="Z80" s="2491"/>
      <c r="AA80" s="2491"/>
      <c r="AB80" s="2491"/>
      <c r="AC80" s="2491"/>
      <c r="AD80" s="2491"/>
      <c r="AE80" s="2491"/>
    </row>
    <row r="81" spans="1:31" s="406" customFormat="1" ht="14.4" thickTop="1">
      <c r="A81" s="482"/>
      <c r="B81" s="475">
        <f>B14</f>
        <v>111</v>
      </c>
      <c r="C81" s="31"/>
      <c r="D81" s="31"/>
      <c r="E81" s="31"/>
      <c r="F81" s="31"/>
      <c r="G81" s="31"/>
      <c r="H81" s="493"/>
      <c r="I81" s="493"/>
      <c r="J81" s="493"/>
      <c r="K81" s="493"/>
      <c r="L81" s="494"/>
      <c r="M81" s="495"/>
      <c r="N81" s="2521"/>
      <c r="O81" s="2521"/>
      <c r="P81" s="2546"/>
      <c r="Q81" s="2513"/>
      <c r="R81" s="2491"/>
      <c r="S81" s="2491"/>
      <c r="T81" s="2491"/>
      <c r="U81" s="2491"/>
      <c r="V81" s="2491"/>
      <c r="W81" s="2491"/>
      <c r="X81" s="2491"/>
      <c r="Y81" s="2491"/>
      <c r="Z81" s="2491"/>
      <c r="AA81" s="2491"/>
      <c r="AB81" s="2491"/>
      <c r="AC81" s="2491"/>
      <c r="AD81" s="2491"/>
      <c r="AE81" s="2491"/>
    </row>
    <row r="82" spans="1:31" s="406" customFormat="1" ht="14.4" thickBot="1">
      <c r="A82" s="497"/>
      <c r="B82" s="498"/>
      <c r="C82" s="499"/>
      <c r="D82" s="499"/>
      <c r="E82" s="499"/>
      <c r="F82" s="499"/>
      <c r="G82" s="499"/>
      <c r="H82" s="500"/>
      <c r="I82" s="500"/>
      <c r="J82" s="500"/>
      <c r="K82" s="500"/>
      <c r="L82" s="500"/>
      <c r="M82" s="501"/>
      <c r="N82" s="2521"/>
      <c r="O82" s="2521"/>
      <c r="P82" s="2521"/>
      <c r="Q82" s="2513"/>
      <c r="R82" s="2491"/>
      <c r="S82" s="2491"/>
      <c r="T82" s="2491"/>
      <c r="U82" s="2491"/>
      <c r="V82" s="2491"/>
      <c r="W82" s="2491"/>
      <c r="X82" s="2491"/>
      <c r="Y82" s="2491"/>
      <c r="Z82" s="2491"/>
      <c r="AA82" s="2491"/>
      <c r="AB82" s="2491"/>
      <c r="AC82" s="2491"/>
      <c r="AD82" s="2491"/>
      <c r="AE82" s="2491"/>
    </row>
    <row r="83" spans="1:31" ht="14.4">
      <c r="A83" s="377" t="s">
        <v>1690</v>
      </c>
      <c r="B83" s="458" t="s">
        <v>1829</v>
      </c>
      <c r="C83" s="502" t="s">
        <v>1721</v>
      </c>
      <c r="D83" s="502" t="s">
        <v>1722</v>
      </c>
      <c r="E83" s="502" t="s">
        <v>1723</v>
      </c>
      <c r="F83" s="502" t="s">
        <v>1724</v>
      </c>
      <c r="G83" s="502" t="s">
        <v>1725</v>
      </c>
      <c r="H83" s="459"/>
      <c r="I83" s="459"/>
      <c r="J83" s="459"/>
      <c r="K83" s="503"/>
      <c r="L83" s="504"/>
      <c r="M83" s="505"/>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5"/>
      <c r="B85" s="467" t="s">
        <v>1726</v>
      </c>
      <c r="C85" s="507" t="s">
        <v>1721</v>
      </c>
      <c r="D85" s="507" t="s">
        <v>1722</v>
      </c>
      <c r="E85" s="507" t="s">
        <v>1723</v>
      </c>
      <c r="F85" s="507" t="s">
        <v>1724</v>
      </c>
      <c r="G85" s="507" t="s">
        <v>1725</v>
      </c>
      <c r="H85" s="468"/>
      <c r="I85" s="468"/>
      <c r="J85" s="468"/>
      <c r="K85" s="469"/>
      <c r="L85" s="470"/>
      <c r="M85" s="471"/>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20"/>
      <c r="O90" s="2520"/>
      <c r="P90" s="2518"/>
      <c r="Q90" s="2506"/>
      <c r="R90" s="2437"/>
      <c r="S90" s="2437"/>
      <c r="T90" s="2437"/>
      <c r="U90" s="2437"/>
      <c r="V90" s="2437"/>
      <c r="W90" s="2437"/>
      <c r="X90" s="2437"/>
      <c r="Y90" s="2437"/>
      <c r="Z90" s="2437"/>
      <c r="AA90" s="2437"/>
      <c r="AB90" s="2437"/>
      <c r="AC90" s="2437"/>
      <c r="AD90" s="2437"/>
      <c r="AE90" s="2437"/>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21"/>
      <c r="O91" s="2521"/>
      <c r="P91" s="2521"/>
      <c r="Q91" s="2513"/>
      <c r="R91" s="2491"/>
      <c r="S91" s="2491"/>
      <c r="T91" s="2491"/>
      <c r="U91" s="2491"/>
      <c r="V91" s="2491"/>
      <c r="W91" s="2491"/>
      <c r="X91" s="2491"/>
      <c r="Y91" s="2491"/>
      <c r="Z91" s="2491"/>
      <c r="AA91" s="2491"/>
      <c r="AB91" s="2491"/>
      <c r="AC91" s="2491"/>
      <c r="AD91" s="2491"/>
      <c r="AE91" s="2491"/>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21"/>
      <c r="O92" s="2521"/>
      <c r="P92" s="2521"/>
      <c r="Q92" s="2513"/>
      <c r="R92" s="2491"/>
      <c r="S92" s="2491"/>
      <c r="T92" s="2491"/>
      <c r="U92" s="2491"/>
      <c r="V92" s="2491"/>
      <c r="W92" s="2491"/>
      <c r="X92" s="2491"/>
      <c r="Y92" s="2491"/>
      <c r="Z92" s="2491"/>
      <c r="AA92" s="2491"/>
      <c r="AB92" s="2491"/>
      <c r="AC92" s="2491"/>
      <c r="AD92" s="2491"/>
      <c r="AE92" s="2491"/>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21"/>
      <c r="O93" s="2521"/>
      <c r="P93" s="2521"/>
      <c r="Q93" s="2513"/>
      <c r="R93" s="2491"/>
      <c r="S93" s="2491"/>
      <c r="T93" s="2491"/>
      <c r="U93" s="2491"/>
      <c r="V93" s="2491"/>
      <c r="W93" s="2491"/>
      <c r="X93" s="2491"/>
      <c r="Y93" s="2491"/>
      <c r="Z93" s="2491"/>
      <c r="AA93" s="2491"/>
      <c r="AB93" s="2491"/>
      <c r="AC93" s="2491"/>
      <c r="AD93" s="2491"/>
      <c r="AE93" s="2491"/>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3"/>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5"/>
      <c r="B97" s="467" t="s">
        <v>1815</v>
      </c>
      <c r="C97" s="483"/>
      <c r="D97" s="483"/>
      <c r="E97" s="483"/>
      <c r="F97" s="483"/>
      <c r="G97" s="483"/>
      <c r="H97" s="511"/>
      <c r="I97" s="511"/>
      <c r="J97" s="511"/>
      <c r="K97" s="512"/>
      <c r="L97" s="513"/>
      <c r="M97" s="514"/>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5"/>
      <c r="B99" s="467" t="s">
        <v>1873</v>
      </c>
      <c r="C99" s="511"/>
      <c r="D99" s="511"/>
      <c r="E99" s="511"/>
      <c r="F99" s="511"/>
      <c r="G99" s="511"/>
      <c r="H99" s="511"/>
      <c r="I99" s="511"/>
      <c r="J99" s="511"/>
      <c r="K99" s="512"/>
      <c r="L99" s="513"/>
      <c r="M99" s="514"/>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5"/>
      <c r="B101" s="475">
        <f>B31</f>
        <v>111</v>
      </c>
      <c r="C101" s="483"/>
      <c r="D101" s="483"/>
      <c r="E101" s="483"/>
      <c r="F101" s="483"/>
      <c r="G101" s="515"/>
      <c r="H101" s="515"/>
      <c r="I101" s="515"/>
      <c r="J101" s="515"/>
      <c r="K101" s="516"/>
      <c r="L101" s="517"/>
      <c r="M101" s="518"/>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5"/>
      <c r="B102" s="498"/>
      <c r="C102" s="489"/>
      <c r="D102" s="465"/>
      <c r="E102" s="465"/>
      <c r="F102" s="465"/>
      <c r="G102" s="519"/>
      <c r="H102" s="519"/>
      <c r="I102" s="519"/>
      <c r="J102" s="519"/>
      <c r="K102" s="519"/>
      <c r="L102" s="519"/>
      <c r="M102" s="520"/>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3"/>
      <c r="B103" s="467">
        <f>B32</f>
        <v>111</v>
      </c>
      <c r="C103" s="483"/>
      <c r="D103" s="483"/>
      <c r="E103" s="483"/>
      <c r="F103" s="483"/>
      <c r="G103" s="511"/>
      <c r="H103" s="511"/>
      <c r="I103" s="511"/>
      <c r="J103" s="511"/>
      <c r="K103" s="512"/>
      <c r="L103" s="513"/>
      <c r="M103" s="514"/>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5"/>
      <c r="B104" s="472"/>
      <c r="C104" s="489"/>
      <c r="D104" s="489"/>
      <c r="E104" s="489"/>
      <c r="F104" s="489"/>
      <c r="G104" s="465"/>
      <c r="H104" s="465"/>
      <c r="I104" s="465"/>
      <c r="J104" s="465"/>
      <c r="K104" s="465"/>
      <c r="L104" s="465"/>
      <c r="M104" s="466"/>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6" customFormat="1" ht="14.4" thickTop="1">
      <c r="A105" s="404"/>
      <c r="B105" s="521">
        <f>B33</f>
        <v>111</v>
      </c>
      <c r="C105" s="31"/>
      <c r="D105" s="31"/>
      <c r="E105" s="31"/>
      <c r="F105" s="31"/>
      <c r="G105" s="6"/>
      <c r="H105" s="6"/>
      <c r="I105" s="6"/>
      <c r="J105" s="522"/>
      <c r="K105" s="522"/>
      <c r="L105" s="523"/>
      <c r="M105" s="524"/>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6" customFormat="1" ht="14.4" thickBot="1">
      <c r="A106" s="482"/>
      <c r="B106" s="475"/>
      <c r="C106" s="499"/>
      <c r="D106" s="499"/>
      <c r="E106" s="499"/>
      <c r="F106" s="499"/>
      <c r="G106" s="595"/>
      <c r="H106" s="595"/>
      <c r="I106" s="595"/>
      <c r="J106" s="595"/>
      <c r="K106" s="595"/>
      <c r="L106" s="595"/>
      <c r="M106" s="617"/>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5"/>
      <c r="B108" s="475"/>
      <c r="C108" s="6"/>
      <c r="D108" s="6"/>
      <c r="E108" s="6"/>
      <c r="F108" s="6"/>
      <c r="G108" s="6"/>
      <c r="H108" s="6"/>
      <c r="I108" s="6"/>
      <c r="J108" s="522"/>
      <c r="K108" s="522"/>
      <c r="L108" s="523"/>
      <c r="M108" s="524"/>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5"/>
      <c r="B109" s="472"/>
      <c r="C109" s="499"/>
      <c r="D109" s="519"/>
      <c r="E109" s="519"/>
      <c r="F109" s="519"/>
      <c r="G109" s="519"/>
      <c r="H109" s="519"/>
      <c r="I109" s="519"/>
      <c r="J109" s="519"/>
      <c r="K109" s="519"/>
      <c r="L109" s="519"/>
      <c r="M109" s="520"/>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7"/>
      <c r="B110" s="467" t="s">
        <v>1914</v>
      </c>
      <c r="C110" s="511"/>
      <c r="D110" s="511"/>
      <c r="E110" s="511"/>
      <c r="F110" s="511"/>
      <c r="G110" s="511"/>
      <c r="H110" s="511"/>
      <c r="I110" s="511"/>
      <c r="J110" s="511"/>
      <c r="K110" s="512"/>
      <c r="L110" s="513"/>
      <c r="M110" s="514"/>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6" customFormat="1" ht="15" thickTop="1">
      <c r="A112" s="404"/>
      <c r="B112" s="467" t="s">
        <v>1916</v>
      </c>
      <c r="C112" s="483"/>
      <c r="D112" s="483"/>
      <c r="E112" s="483"/>
      <c r="F112" s="483"/>
      <c r="G112" s="483"/>
      <c r="H112" s="511"/>
      <c r="I112" s="511"/>
      <c r="J112" s="511"/>
      <c r="K112" s="512"/>
      <c r="L112" s="513"/>
      <c r="M112" s="514"/>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7"/>
      <c r="B114" s="467" t="s">
        <v>1917</v>
      </c>
      <c r="C114" s="483"/>
      <c r="D114" s="483"/>
      <c r="E114" s="511"/>
      <c r="F114" s="511"/>
      <c r="G114" s="511"/>
      <c r="H114" s="511"/>
      <c r="I114" s="511"/>
      <c r="J114" s="511"/>
      <c r="K114" s="512"/>
      <c r="L114" s="513"/>
      <c r="M114" s="514"/>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7"/>
      <c r="B116" s="467">
        <f>B38</f>
        <v>111</v>
      </c>
      <c r="C116" s="483"/>
      <c r="D116" s="483"/>
      <c r="E116" s="483"/>
      <c r="F116" s="483"/>
      <c r="G116" s="483"/>
      <c r="H116" s="511"/>
      <c r="I116" s="511"/>
      <c r="J116" s="511"/>
      <c r="K116" s="512"/>
      <c r="L116" s="513"/>
      <c r="M116" s="514"/>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5"/>
      <c r="B117" s="472"/>
      <c r="C117" s="489"/>
      <c r="D117" s="465"/>
      <c r="E117" s="465"/>
      <c r="F117" s="465"/>
      <c r="G117" s="465"/>
      <c r="H117" s="465"/>
      <c r="I117" s="465"/>
      <c r="J117" s="465"/>
      <c r="K117" s="465"/>
      <c r="L117" s="465"/>
      <c r="M117" s="466"/>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7"/>
      <c r="B118" s="467">
        <f>B39</f>
        <v>111</v>
      </c>
      <c r="C118" s="483"/>
      <c r="D118" s="483"/>
      <c r="E118" s="483"/>
      <c r="F118" s="483"/>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5"/>
      <c r="B119" s="472"/>
      <c r="C119" s="489"/>
      <c r="D119" s="489"/>
      <c r="E119" s="489"/>
      <c r="F119" s="489"/>
      <c r="G119" s="465"/>
      <c r="H119" s="465"/>
      <c r="I119" s="465"/>
      <c r="J119" s="465"/>
      <c r="K119" s="465"/>
      <c r="L119" s="465"/>
      <c r="M119" s="466"/>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6" customFormat="1" ht="14.4" thickTop="1">
      <c r="A120" s="404"/>
      <c r="B120" s="467">
        <f>B40</f>
        <v>111</v>
      </c>
      <c r="C120" s="31"/>
      <c r="D120" s="31"/>
      <c r="E120" s="31"/>
      <c r="F120" s="31"/>
      <c r="G120" s="484"/>
      <c r="H120" s="484"/>
      <c r="I120" s="484"/>
      <c r="J120" s="484"/>
      <c r="K120" s="484"/>
      <c r="L120" s="485"/>
      <c r="M120" s="486"/>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6" customFormat="1" ht="14.4" thickBot="1">
      <c r="A121" s="497"/>
      <c r="B121" s="618"/>
      <c r="C121" s="499"/>
      <c r="D121" s="499"/>
      <c r="E121" s="499"/>
      <c r="F121" s="499"/>
      <c r="G121" s="519"/>
      <c r="H121" s="519"/>
      <c r="I121" s="519"/>
      <c r="J121" s="519"/>
      <c r="K121" s="519"/>
      <c r="L121" s="519"/>
      <c r="M121" s="520"/>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H6" sqref="H6"/>
    </sheetView>
  </sheetViews>
  <sheetFormatPr defaultColWidth="9" defaultRowHeight="13.2"/>
  <cols>
    <col min="1" max="1" width="24.7773437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2083</v>
      </c>
      <c r="C1" s="3502" t="s">
        <v>2084</v>
      </c>
      <c r="D1" s="3503"/>
      <c r="E1" s="3503"/>
      <c r="F1" s="3503"/>
      <c r="G1" s="3503"/>
      <c r="H1" s="3503"/>
      <c r="I1" s="3503"/>
      <c r="J1" s="3503"/>
      <c r="K1" s="3503"/>
      <c r="L1" s="3503"/>
      <c r="M1" s="3503"/>
      <c r="N1" s="3503"/>
      <c r="O1" s="3503"/>
      <c r="P1" s="3503"/>
      <c r="Q1" s="3503"/>
      <c r="R1" s="3503"/>
      <c r="S1" s="3504"/>
      <c r="T1" s="927" t="s">
        <v>2085</v>
      </c>
    </row>
    <row r="2" spans="1:45" s="623" customFormat="1" ht="39.6">
      <c r="A2" s="928"/>
      <c r="B2" s="620" t="s">
        <v>2086</v>
      </c>
      <c r="C2" s="14" t="str">
        <f t="shared" ref="C2:L2" si="0">C3&amp;"(含)"&amp;"-"&amp;D3</f>
        <v>0(含)-1000</v>
      </c>
      <c r="D2" s="621" t="str">
        <f t="shared" si="0"/>
        <v>1000(含)-2000</v>
      </c>
      <c r="E2" s="621" t="str">
        <f t="shared" si="0"/>
        <v>2000(含)-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v>0</v>
      </c>
      <c r="D3" s="626">
        <v>1000</v>
      </c>
      <c r="E3" s="626">
        <v>2000</v>
      </c>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v>100</v>
      </c>
      <c r="D4" s="934">
        <v>99</v>
      </c>
      <c r="E4" s="934">
        <v>98</v>
      </c>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3203" t="s">
        <v>4060</v>
      </c>
      <c r="C5" s="3205" t="s">
        <v>4063</v>
      </c>
      <c r="D5" s="939"/>
      <c r="E5" s="939"/>
      <c r="F5" s="1224"/>
      <c r="G5" s="1224"/>
      <c r="H5" s="1224"/>
      <c r="I5" s="1224"/>
      <c r="J5" s="1224"/>
      <c r="K5" s="1224"/>
      <c r="L5" s="1225"/>
      <c r="M5" s="1226"/>
      <c r="N5" s="1226"/>
      <c r="O5" s="1224"/>
      <c r="P5" s="1224"/>
      <c r="Q5" s="1224"/>
      <c r="R5" s="1224"/>
      <c r="S5" s="1227"/>
      <c r="T5" s="941">
        <v>2</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98</v>
      </c>
      <c r="E6" s="847">
        <f t="shared" ref="E6:S6" si="7">D6-$T5</f>
        <v>96</v>
      </c>
      <c r="F6" s="1228">
        <f t="shared" si="7"/>
        <v>94</v>
      </c>
      <c r="G6" s="1228">
        <f t="shared" si="7"/>
        <v>92</v>
      </c>
      <c r="H6" s="1228">
        <f t="shared" si="7"/>
        <v>90</v>
      </c>
      <c r="I6" s="1228">
        <f t="shared" si="7"/>
        <v>88</v>
      </c>
      <c r="J6" s="1228">
        <f t="shared" si="7"/>
        <v>86</v>
      </c>
      <c r="K6" s="1228">
        <f t="shared" si="7"/>
        <v>84</v>
      </c>
      <c r="L6" s="1228">
        <f t="shared" si="7"/>
        <v>82</v>
      </c>
      <c r="M6" s="1228">
        <f t="shared" si="7"/>
        <v>80</v>
      </c>
      <c r="N6" s="1228">
        <f t="shared" si="7"/>
        <v>78</v>
      </c>
      <c r="O6" s="1228">
        <f t="shared" si="7"/>
        <v>76</v>
      </c>
      <c r="P6" s="1228">
        <f t="shared" si="7"/>
        <v>74</v>
      </c>
      <c r="Q6" s="1228">
        <f t="shared" si="7"/>
        <v>72</v>
      </c>
      <c r="R6" s="1228">
        <f t="shared" si="7"/>
        <v>70</v>
      </c>
      <c r="S6" s="1228">
        <f t="shared" si="7"/>
        <v>68</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ht="52.8">
      <c r="A7" s="923"/>
      <c r="B7" s="3204" t="s">
        <v>4061</v>
      </c>
      <c r="C7" s="849" t="s">
        <v>4065</v>
      </c>
      <c r="D7" s="843"/>
      <c r="E7" s="843"/>
      <c r="F7" s="1229"/>
      <c r="G7" s="1229"/>
      <c r="H7" s="1229"/>
      <c r="I7" s="1229"/>
      <c r="J7" s="1229"/>
      <c r="K7" s="1229"/>
      <c r="L7" s="1229"/>
      <c r="M7" s="1230"/>
      <c r="N7" s="1231"/>
      <c r="O7" s="1232"/>
      <c r="P7" s="1232"/>
      <c r="Q7" s="1233"/>
      <c r="R7" s="1234"/>
      <c r="S7" s="1235"/>
      <c r="T7" s="629">
        <v>2</v>
      </c>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98</v>
      </c>
      <c r="E8" s="847">
        <f t="shared" ref="E8:S8" si="8">D8-$T7</f>
        <v>96</v>
      </c>
      <c r="F8" s="1228">
        <f t="shared" si="8"/>
        <v>94</v>
      </c>
      <c r="G8" s="1228">
        <f t="shared" si="8"/>
        <v>92</v>
      </c>
      <c r="H8" s="1228">
        <f t="shared" si="8"/>
        <v>90</v>
      </c>
      <c r="I8" s="1228">
        <f t="shared" si="8"/>
        <v>88</v>
      </c>
      <c r="J8" s="1228">
        <f t="shared" si="8"/>
        <v>86</v>
      </c>
      <c r="K8" s="1228">
        <f t="shared" si="8"/>
        <v>84</v>
      </c>
      <c r="L8" s="1228">
        <f t="shared" si="8"/>
        <v>82</v>
      </c>
      <c r="M8" s="1228">
        <f t="shared" si="8"/>
        <v>80</v>
      </c>
      <c r="N8" s="1228">
        <f t="shared" si="8"/>
        <v>78</v>
      </c>
      <c r="O8" s="1228">
        <f t="shared" si="8"/>
        <v>76</v>
      </c>
      <c r="P8" s="1228">
        <f t="shared" si="8"/>
        <v>74</v>
      </c>
      <c r="Q8" s="1228">
        <f t="shared" si="8"/>
        <v>72</v>
      </c>
      <c r="R8" s="1228">
        <f t="shared" si="8"/>
        <v>70</v>
      </c>
      <c r="S8" s="1228">
        <f t="shared" si="8"/>
        <v>68</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hidden="1">
      <c r="A9" s="923"/>
      <c r="B9" s="1247" t="s">
        <v>2087</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hidden="1"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hidden="1">
      <c r="A11" s="923"/>
      <c r="B11" s="1246"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hidden="1"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hidden="1">
      <c r="A13" s="923"/>
      <c r="B13" s="1246"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hidden="1"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hidden="1">
      <c r="A15" s="923"/>
      <c r="B15" s="1246"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hidden="1"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hidden="1">
      <c r="A17" s="1983" t="s">
        <v>2091</v>
      </c>
      <c r="B17" s="1984" t="s">
        <v>2092</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hidden="1"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5" t="s">
        <v>2093</v>
      </c>
      <c r="E19" s="1250"/>
      <c r="F19" s="1250"/>
      <c r="G19" s="1250"/>
      <c r="H19" s="994"/>
      <c r="I19" s="149"/>
      <c r="J19" s="149"/>
      <c r="K19" s="149"/>
      <c r="L19" s="149"/>
      <c r="M19" s="149"/>
      <c r="N19" s="149"/>
      <c r="O19" s="149"/>
      <c r="P19" s="149"/>
      <c r="Q19" s="149"/>
      <c r="R19" s="149"/>
      <c r="S19" s="119"/>
    </row>
    <row r="20" spans="1:45" ht="16.2" thickBot="1">
      <c r="A20" s="630" t="s">
        <v>2094</v>
      </c>
      <c r="B20" s="284">
        <f ca="1">IF(D20="——",S22,S22-F20)</f>
        <v>6102</v>
      </c>
      <c r="C20" s="149"/>
      <c r="D20" s="1986" t="s">
        <v>43</v>
      </c>
      <c r="E20" s="1251"/>
      <c r="F20" s="927" t="e">
        <f ca="1">SUMIF(INDIRECT("'"&amp;H20&amp;"'"&amp;"!A:A"),"承租人权益价值",INDIRECT("'"&amp;H20&amp;"'"&amp;"!c:c"))</f>
        <v>#REF!</v>
      </c>
      <c r="G20" s="927" t="s">
        <v>2095</v>
      </c>
      <c r="H20" s="1987"/>
      <c r="I20" s="149"/>
      <c r="J20" s="149"/>
      <c r="K20" s="149"/>
      <c r="L20" s="149"/>
      <c r="M20" s="149"/>
      <c r="N20" s="149"/>
      <c r="O20" s="149"/>
      <c r="P20" s="149"/>
      <c r="Q20" s="149"/>
      <c r="R20" s="149"/>
      <c r="S20" s="119"/>
    </row>
    <row r="21" spans="1:45" ht="15.6">
      <c r="A21" s="630" t="s">
        <v>2096</v>
      </c>
      <c r="B21" s="284">
        <f ca="1">ROUND(B20*10000/B22,0)</f>
        <v>24749</v>
      </c>
      <c r="C21" s="149"/>
      <c r="D21" s="149"/>
      <c r="E21" s="149"/>
      <c r="F21" s="149"/>
      <c r="G21" s="149"/>
      <c r="H21" s="149"/>
      <c r="I21" s="149"/>
      <c r="J21" s="149"/>
      <c r="K21" s="149"/>
      <c r="L21" s="149"/>
      <c r="M21" s="149"/>
      <c r="N21" s="149"/>
      <c r="O21" s="149"/>
      <c r="P21" s="149"/>
      <c r="Q21" s="149"/>
      <c r="R21" s="149"/>
      <c r="S21" s="119"/>
    </row>
    <row r="22" spans="1:45">
      <c r="A22" s="306" t="s">
        <v>2097</v>
      </c>
      <c r="B22" s="21">
        <f>SUM(B24:B10000)</f>
        <v>2465.58</v>
      </c>
      <c r="C22" s="3499" t="s">
        <v>27</v>
      </c>
      <c r="D22" s="3500"/>
      <c r="E22" s="3500"/>
      <c r="F22" s="3500"/>
      <c r="G22" s="3500"/>
      <c r="H22" s="3500"/>
      <c r="I22" s="3500"/>
      <c r="J22" s="3500"/>
      <c r="K22" s="3500"/>
      <c r="L22" s="3500"/>
      <c r="M22" s="3500"/>
      <c r="N22" s="3500"/>
      <c r="O22" s="3500"/>
      <c r="P22" s="3500"/>
      <c r="Q22" s="3501"/>
      <c r="R22" s="21">
        <f ca="1">ROUND(S22*10000/B22,0)</f>
        <v>24749</v>
      </c>
      <c r="S22" s="21">
        <f ca="1">SUM(S24:S10000)</f>
        <v>6102</v>
      </c>
    </row>
    <row r="23" spans="1:45" s="9" customFormat="1" ht="24">
      <c r="A23" s="8" t="s">
        <v>2098</v>
      </c>
      <c r="B23" s="8" t="s">
        <v>2099</v>
      </c>
      <c r="C23" s="8" t="s">
        <v>2100</v>
      </c>
      <c r="D23" s="8" t="str">
        <f>B5</f>
        <v>装修</v>
      </c>
      <c r="E23" s="8" t="s">
        <v>2100</v>
      </c>
      <c r="F23" s="8" t="str">
        <f>B7</f>
        <v>成新度</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tr">
        <f>Sheet1!B14</f>
        <v>昌平区顺沙路58号院11号</v>
      </c>
      <c r="B24" s="631">
        <f>Sheet1!C14</f>
        <v>1232.79</v>
      </c>
      <c r="C24" s="2568">
        <v>1</v>
      </c>
      <c r="D24" s="2569" t="s">
        <v>4062</v>
      </c>
      <c r="E24" s="2568">
        <v>1</v>
      </c>
      <c r="F24" s="2569" t="s">
        <v>4064</v>
      </c>
      <c r="G24" s="2568">
        <v>1</v>
      </c>
      <c r="H24" s="2569"/>
      <c r="I24" s="2568">
        <v>1</v>
      </c>
      <c r="J24" s="2569"/>
      <c r="K24" s="2568">
        <v>1</v>
      </c>
      <c r="L24" s="2569"/>
      <c r="M24" s="2568">
        <v>1</v>
      </c>
      <c r="N24" s="2569"/>
      <c r="O24" s="2568">
        <v>1</v>
      </c>
      <c r="P24" s="2569"/>
      <c r="Q24" s="2568">
        <v>1</v>
      </c>
      <c r="R24" s="631">
        <f ca="1">结果表!G20</f>
        <v>24750</v>
      </c>
      <c r="S24" s="632">
        <f t="shared" ref="S24:S54" ca="1" si="11">ROUND(R24*B24/10000,0)</f>
        <v>3051</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631" t="str">
        <f>Sheet1!B15</f>
        <v>昌平区顺沙路58号院12号</v>
      </c>
      <c r="B25" s="631">
        <f>Sheet1!C15</f>
        <v>1232.79</v>
      </c>
      <c r="C25" s="21">
        <f>IF(B25="",1,(LOOKUP(B25,$3:$3,$4:$4)-LOOKUP($B$24,$3:$3,$4:$4)+100)/100)</f>
        <v>1</v>
      </c>
      <c r="D25" s="633" t="s">
        <v>4062</v>
      </c>
      <c r="E25" s="21">
        <f>(SUMIF($5:$5,D25,$6:$6)-SUMIF($5:$5,$D$24,$6:$6)+100)/100</f>
        <v>1</v>
      </c>
      <c r="F25" s="633" t="s">
        <v>4064</v>
      </c>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 ca="1">IF(B25="",0,ROUND($R$24*C25*E25*G25*I25*K25*M25*O25*Q25,0))</f>
        <v>24750</v>
      </c>
      <c r="S25" s="306">
        <f t="shared" ca="1" si="11"/>
        <v>3051</v>
      </c>
    </row>
    <row r="26" spans="1:45">
      <c r="A26" s="140"/>
      <c r="B26" s="52"/>
      <c r="C26" s="21">
        <f t="shared" ref="C26:C89" si="12">IF(B26="",1,(LOOKUP(B26,$3:$3,$4:$4)-LOOKUP($B$24,$3:$3,$4:$4)+100)/100)</f>
        <v>1</v>
      </c>
      <c r="D26" s="633"/>
      <c r="E26" s="21">
        <f t="shared" ref="E26:E89" si="13">(SUMIF($5:$5,D26,$6:$6)-SUMIF($5:$5,$D$24,$6:$6)+100)/100</f>
        <v>0</v>
      </c>
      <c r="F26" s="633"/>
      <c r="G26" s="21">
        <f t="shared" ref="G26:G89" si="14">(SUMIF($7:$7,F26,$8:$8)-SUMIF($7:$7,$F$24,$8:$8)+100)/100</f>
        <v>0</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0</v>
      </c>
      <c r="F27" s="633"/>
      <c r="G27" s="21">
        <f t="shared" si="14"/>
        <v>0</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0</v>
      </c>
      <c r="F28" s="633"/>
      <c r="G28" s="21">
        <f t="shared" si="14"/>
        <v>0</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0</v>
      </c>
      <c r="F29" s="633"/>
      <c r="G29" s="21">
        <f t="shared" si="14"/>
        <v>0</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0</v>
      </c>
      <c r="F30" s="633"/>
      <c r="G30" s="21">
        <f t="shared" si="14"/>
        <v>0</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0</v>
      </c>
      <c r="F31" s="633"/>
      <c r="G31" s="21">
        <f t="shared" si="14"/>
        <v>0</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0</v>
      </c>
      <c r="F32" s="633"/>
      <c r="G32" s="21">
        <f t="shared" si="14"/>
        <v>0</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0</v>
      </c>
      <c r="F33" s="633"/>
      <c r="G33" s="21">
        <f t="shared" si="14"/>
        <v>0</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0</v>
      </c>
      <c r="F34" s="633"/>
      <c r="G34" s="21">
        <f t="shared" si="14"/>
        <v>0</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0</v>
      </c>
      <c r="F35" s="633"/>
      <c r="G35" s="21">
        <f t="shared" si="14"/>
        <v>0</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0</v>
      </c>
      <c r="F36" s="633"/>
      <c r="G36" s="21">
        <f t="shared" si="14"/>
        <v>0</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0</v>
      </c>
      <c r="F37" s="633"/>
      <c r="G37" s="21">
        <f t="shared" si="14"/>
        <v>0</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0</v>
      </c>
      <c r="F38" s="633"/>
      <c r="G38" s="21">
        <f t="shared" si="14"/>
        <v>0</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0</v>
      </c>
      <c r="F39" s="633"/>
      <c r="G39" s="21">
        <f t="shared" si="14"/>
        <v>0</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0</v>
      </c>
      <c r="F40" s="633"/>
      <c r="G40" s="21">
        <f t="shared" si="14"/>
        <v>0</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0</v>
      </c>
      <c r="F41" s="633"/>
      <c r="G41" s="21">
        <f t="shared" si="14"/>
        <v>0</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0</v>
      </c>
      <c r="F42" s="633"/>
      <c r="G42" s="21">
        <f t="shared" si="14"/>
        <v>0</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0</v>
      </c>
      <c r="F43" s="633"/>
      <c r="G43" s="21">
        <f t="shared" si="14"/>
        <v>0</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0</v>
      </c>
      <c r="F44" s="633"/>
      <c r="G44" s="21">
        <f t="shared" si="14"/>
        <v>0</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0</v>
      </c>
      <c r="F45" s="633"/>
      <c r="G45" s="21">
        <f t="shared" si="14"/>
        <v>0</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0</v>
      </c>
      <c r="F46" s="633"/>
      <c r="G46" s="21">
        <f t="shared" si="14"/>
        <v>0</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0</v>
      </c>
      <c r="F47" s="633"/>
      <c r="G47" s="21">
        <f t="shared" si="14"/>
        <v>0</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0</v>
      </c>
      <c r="F48" s="633"/>
      <c r="G48" s="21">
        <f t="shared" si="14"/>
        <v>0</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0</v>
      </c>
      <c r="F49" s="633"/>
      <c r="G49" s="21">
        <f t="shared" si="14"/>
        <v>0</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0</v>
      </c>
      <c r="F50" s="633"/>
      <c r="G50" s="21">
        <f t="shared" si="14"/>
        <v>0</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0</v>
      </c>
      <c r="F51" s="633"/>
      <c r="G51" s="21">
        <f t="shared" si="14"/>
        <v>0</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0</v>
      </c>
      <c r="F52" s="633"/>
      <c r="G52" s="21">
        <f t="shared" si="14"/>
        <v>0</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0</v>
      </c>
      <c r="F53" s="633"/>
      <c r="G53" s="21">
        <f t="shared" si="14"/>
        <v>0</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0</v>
      </c>
      <c r="F54" s="633"/>
      <c r="G54" s="21">
        <f t="shared" si="14"/>
        <v>0</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0</v>
      </c>
      <c r="F55" s="633"/>
      <c r="G55" s="21">
        <f t="shared" si="14"/>
        <v>0</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0</v>
      </c>
      <c r="F56" s="633"/>
      <c r="G56" s="21">
        <f t="shared" si="14"/>
        <v>0</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0</v>
      </c>
      <c r="F57" s="633"/>
      <c r="G57" s="21">
        <f t="shared" si="14"/>
        <v>0</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0</v>
      </c>
      <c r="F58" s="633"/>
      <c r="G58" s="21">
        <f t="shared" si="14"/>
        <v>0</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0</v>
      </c>
      <c r="F59" s="633"/>
      <c r="G59" s="21">
        <f t="shared" si="14"/>
        <v>0</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0</v>
      </c>
      <c r="F60" s="633"/>
      <c r="G60" s="21">
        <f t="shared" si="14"/>
        <v>0</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0</v>
      </c>
      <c r="F61" s="633"/>
      <c r="G61" s="21">
        <f t="shared" si="14"/>
        <v>0</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0</v>
      </c>
      <c r="F62" s="633"/>
      <c r="G62" s="21">
        <f t="shared" si="14"/>
        <v>0</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0</v>
      </c>
      <c r="F63" s="633"/>
      <c r="G63" s="21">
        <f t="shared" si="14"/>
        <v>0</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0</v>
      </c>
      <c r="F64" s="633"/>
      <c r="G64" s="21">
        <f t="shared" si="14"/>
        <v>0</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0</v>
      </c>
      <c r="F65" s="633"/>
      <c r="G65" s="21">
        <f t="shared" si="14"/>
        <v>0</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0</v>
      </c>
      <c r="F66" s="633"/>
      <c r="G66" s="21">
        <f t="shared" si="14"/>
        <v>0</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0</v>
      </c>
      <c r="F67" s="633"/>
      <c r="G67" s="21">
        <f t="shared" si="14"/>
        <v>0</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0</v>
      </c>
      <c r="F68" s="633"/>
      <c r="G68" s="21">
        <f t="shared" si="14"/>
        <v>0</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0</v>
      </c>
      <c r="F69" s="633"/>
      <c r="G69" s="21">
        <f t="shared" si="14"/>
        <v>0</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0</v>
      </c>
      <c r="F70" s="633"/>
      <c r="G70" s="21">
        <f t="shared" si="14"/>
        <v>0</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0</v>
      </c>
      <c r="F71" s="633"/>
      <c r="G71" s="21">
        <f t="shared" si="14"/>
        <v>0</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0</v>
      </c>
      <c r="F72" s="633"/>
      <c r="G72" s="21">
        <f t="shared" si="14"/>
        <v>0</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0</v>
      </c>
      <c r="F73" s="633"/>
      <c r="G73" s="21">
        <f t="shared" si="14"/>
        <v>0</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0</v>
      </c>
      <c r="F74" s="633"/>
      <c r="G74" s="21">
        <f t="shared" si="14"/>
        <v>0</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0</v>
      </c>
      <c r="F75" s="633"/>
      <c r="G75" s="21">
        <f t="shared" si="14"/>
        <v>0</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0</v>
      </c>
      <c r="F76" s="633"/>
      <c r="G76" s="21">
        <f t="shared" si="14"/>
        <v>0</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0</v>
      </c>
      <c r="F77" s="633"/>
      <c r="G77" s="21">
        <f t="shared" si="14"/>
        <v>0</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0</v>
      </c>
      <c r="F78" s="633"/>
      <c r="G78" s="21">
        <f t="shared" si="14"/>
        <v>0</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0</v>
      </c>
      <c r="F79" s="633"/>
      <c r="G79" s="21">
        <f t="shared" si="14"/>
        <v>0</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0</v>
      </c>
      <c r="F80" s="633"/>
      <c r="G80" s="21">
        <f t="shared" si="14"/>
        <v>0</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0</v>
      </c>
      <c r="F81" s="633"/>
      <c r="G81" s="21">
        <f t="shared" si="14"/>
        <v>0</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0</v>
      </c>
      <c r="F82" s="633"/>
      <c r="G82" s="21">
        <f t="shared" si="14"/>
        <v>0</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0</v>
      </c>
      <c r="F83" s="633"/>
      <c r="G83" s="21">
        <f t="shared" si="14"/>
        <v>0</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0</v>
      </c>
      <c r="F84" s="633"/>
      <c r="G84" s="21">
        <f t="shared" si="14"/>
        <v>0</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0</v>
      </c>
      <c r="F85" s="633"/>
      <c r="G85" s="21">
        <f t="shared" si="14"/>
        <v>0</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0</v>
      </c>
      <c r="F86" s="633"/>
      <c r="G86" s="21">
        <f t="shared" si="14"/>
        <v>0</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0</v>
      </c>
      <c r="F87" s="633"/>
      <c r="G87" s="21">
        <f t="shared" si="14"/>
        <v>0</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0</v>
      </c>
      <c r="F88" s="633"/>
      <c r="G88" s="21">
        <f t="shared" si="14"/>
        <v>0</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0</v>
      </c>
      <c r="F89" s="633"/>
      <c r="G89" s="21">
        <f t="shared" si="14"/>
        <v>0</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0</v>
      </c>
      <c r="F90" s="633"/>
      <c r="G90" s="21">
        <f t="shared" ref="G90:G153" si="25">(SUMIF($7:$7,F90,$8:$8)-SUMIF($7:$7,$F$24,$8:$8)+100)/100</f>
        <v>0</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0</v>
      </c>
      <c r="F91" s="633"/>
      <c r="G91" s="21">
        <f t="shared" si="25"/>
        <v>0</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0</v>
      </c>
      <c r="F92" s="633"/>
      <c r="G92" s="21">
        <f t="shared" si="25"/>
        <v>0</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0</v>
      </c>
      <c r="F93" s="633"/>
      <c r="G93" s="21">
        <f t="shared" si="25"/>
        <v>0</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0</v>
      </c>
      <c r="F94" s="633"/>
      <c r="G94" s="21">
        <f t="shared" si="25"/>
        <v>0</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0</v>
      </c>
      <c r="F95" s="633"/>
      <c r="G95" s="21">
        <f t="shared" si="25"/>
        <v>0</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0</v>
      </c>
      <c r="F96" s="633"/>
      <c r="G96" s="21">
        <f t="shared" si="25"/>
        <v>0</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0</v>
      </c>
      <c r="F97" s="633"/>
      <c r="G97" s="21">
        <f t="shared" si="25"/>
        <v>0</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0</v>
      </c>
      <c r="F98" s="633"/>
      <c r="G98" s="21">
        <f t="shared" si="25"/>
        <v>0</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0</v>
      </c>
      <c r="F99" s="633"/>
      <c r="G99" s="21">
        <f t="shared" si="25"/>
        <v>0</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0</v>
      </c>
      <c r="F100" s="633"/>
      <c r="G100" s="21">
        <f t="shared" si="25"/>
        <v>0</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0</v>
      </c>
      <c r="F101" s="633"/>
      <c r="G101" s="21">
        <f t="shared" si="25"/>
        <v>0</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0</v>
      </c>
      <c r="F102" s="633"/>
      <c r="G102" s="21">
        <f t="shared" si="25"/>
        <v>0</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0</v>
      </c>
      <c r="F103" s="633"/>
      <c r="G103" s="21">
        <f t="shared" si="25"/>
        <v>0</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0</v>
      </c>
      <c r="F104" s="633"/>
      <c r="G104" s="21">
        <f t="shared" si="25"/>
        <v>0</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0</v>
      </c>
      <c r="F105" s="633"/>
      <c r="G105" s="21">
        <f t="shared" si="25"/>
        <v>0</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0</v>
      </c>
      <c r="F106" s="633"/>
      <c r="G106" s="21">
        <f t="shared" si="25"/>
        <v>0</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0</v>
      </c>
      <c r="F107" s="633"/>
      <c r="G107" s="21">
        <f t="shared" si="25"/>
        <v>0</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0</v>
      </c>
      <c r="F108" s="633"/>
      <c r="G108" s="21">
        <f t="shared" si="25"/>
        <v>0</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0</v>
      </c>
      <c r="F109" s="633"/>
      <c r="G109" s="21">
        <f t="shared" si="25"/>
        <v>0</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0</v>
      </c>
      <c r="F110" s="633"/>
      <c r="G110" s="21">
        <f t="shared" si="25"/>
        <v>0</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0</v>
      </c>
      <c r="F111" s="633"/>
      <c r="G111" s="21">
        <f t="shared" si="25"/>
        <v>0</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0</v>
      </c>
      <c r="F112" s="633"/>
      <c r="G112" s="21">
        <f t="shared" si="25"/>
        <v>0</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0</v>
      </c>
      <c r="F113" s="633"/>
      <c r="G113" s="21">
        <f t="shared" si="25"/>
        <v>0</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0</v>
      </c>
      <c r="F114" s="633"/>
      <c r="G114" s="21">
        <f t="shared" si="25"/>
        <v>0</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0</v>
      </c>
      <c r="F115" s="633"/>
      <c r="G115" s="21">
        <f t="shared" si="25"/>
        <v>0</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0</v>
      </c>
      <c r="F116" s="633"/>
      <c r="G116" s="21">
        <f t="shared" si="25"/>
        <v>0</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0</v>
      </c>
      <c r="F117" s="633"/>
      <c r="G117" s="21">
        <f t="shared" si="25"/>
        <v>0</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0</v>
      </c>
      <c r="F118" s="633"/>
      <c r="G118" s="21">
        <f t="shared" si="25"/>
        <v>0</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0</v>
      </c>
      <c r="F119" s="633"/>
      <c r="G119" s="21">
        <f t="shared" si="25"/>
        <v>0</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0</v>
      </c>
      <c r="F120" s="633"/>
      <c r="G120" s="21">
        <f t="shared" si="25"/>
        <v>0</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0</v>
      </c>
      <c r="F121" s="633"/>
      <c r="G121" s="21">
        <f t="shared" si="25"/>
        <v>0</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0</v>
      </c>
      <c r="F122" s="633"/>
      <c r="G122" s="21">
        <f t="shared" si="25"/>
        <v>0</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0</v>
      </c>
      <c r="F123" s="633"/>
      <c r="G123" s="21">
        <f t="shared" si="25"/>
        <v>0</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0</v>
      </c>
      <c r="F124" s="633"/>
      <c r="G124" s="21">
        <f t="shared" si="25"/>
        <v>0</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0</v>
      </c>
      <c r="F125" s="633"/>
      <c r="G125" s="21">
        <f t="shared" si="25"/>
        <v>0</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0</v>
      </c>
      <c r="F126" s="633"/>
      <c r="G126" s="21">
        <f t="shared" si="25"/>
        <v>0</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0</v>
      </c>
      <c r="F127" s="633"/>
      <c r="G127" s="21">
        <f t="shared" si="25"/>
        <v>0</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0</v>
      </c>
      <c r="F128" s="633"/>
      <c r="G128" s="21">
        <f t="shared" si="25"/>
        <v>0</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0</v>
      </c>
      <c r="F129" s="633"/>
      <c r="G129" s="21">
        <f t="shared" si="25"/>
        <v>0</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0</v>
      </c>
      <c r="F130" s="633"/>
      <c r="G130" s="21">
        <f t="shared" si="25"/>
        <v>0</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0</v>
      </c>
      <c r="F131" s="633"/>
      <c r="G131" s="21">
        <f t="shared" si="25"/>
        <v>0</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0</v>
      </c>
      <c r="F132" s="633"/>
      <c r="G132" s="21">
        <f t="shared" si="25"/>
        <v>0</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0</v>
      </c>
      <c r="F133" s="633"/>
      <c r="G133" s="21">
        <f t="shared" si="25"/>
        <v>0</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0</v>
      </c>
      <c r="F134" s="633"/>
      <c r="G134" s="21">
        <f t="shared" si="25"/>
        <v>0</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0</v>
      </c>
      <c r="F135" s="633"/>
      <c r="G135" s="21">
        <f t="shared" si="25"/>
        <v>0</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0</v>
      </c>
      <c r="F136" s="633"/>
      <c r="G136" s="21">
        <f t="shared" si="25"/>
        <v>0</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0</v>
      </c>
      <c r="F137" s="633"/>
      <c r="G137" s="21">
        <f t="shared" si="25"/>
        <v>0</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0</v>
      </c>
      <c r="F138" s="633"/>
      <c r="G138" s="21">
        <f t="shared" si="25"/>
        <v>0</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0</v>
      </c>
      <c r="F139" s="633"/>
      <c r="G139" s="21">
        <f t="shared" si="25"/>
        <v>0</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0</v>
      </c>
      <c r="F140" s="633"/>
      <c r="G140" s="21">
        <f t="shared" si="25"/>
        <v>0</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0</v>
      </c>
      <c r="F141" s="633"/>
      <c r="G141" s="21">
        <f t="shared" si="25"/>
        <v>0</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0</v>
      </c>
      <c r="F142" s="633"/>
      <c r="G142" s="21">
        <f t="shared" si="25"/>
        <v>0</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0</v>
      </c>
      <c r="F143" s="633"/>
      <c r="G143" s="21">
        <f t="shared" si="25"/>
        <v>0</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0</v>
      </c>
      <c r="F144" s="633"/>
      <c r="G144" s="21">
        <f t="shared" si="25"/>
        <v>0</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0</v>
      </c>
      <c r="F145" s="633"/>
      <c r="G145" s="21">
        <f t="shared" si="25"/>
        <v>0</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0</v>
      </c>
      <c r="F146" s="633"/>
      <c r="G146" s="21">
        <f t="shared" si="25"/>
        <v>0</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0</v>
      </c>
      <c r="F147" s="633"/>
      <c r="G147" s="21">
        <f t="shared" si="25"/>
        <v>0</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0</v>
      </c>
      <c r="F148" s="633"/>
      <c r="G148" s="21">
        <f t="shared" si="25"/>
        <v>0</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0</v>
      </c>
      <c r="F149" s="633"/>
      <c r="G149" s="21">
        <f t="shared" si="25"/>
        <v>0</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0</v>
      </c>
      <c r="F150" s="633"/>
      <c r="G150" s="21">
        <f t="shared" si="25"/>
        <v>0</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0</v>
      </c>
      <c r="F151" s="633"/>
      <c r="G151" s="21">
        <f t="shared" si="25"/>
        <v>0</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0</v>
      </c>
      <c r="F152" s="633"/>
      <c r="G152" s="21">
        <f t="shared" si="25"/>
        <v>0</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0</v>
      </c>
      <c r="F153" s="633"/>
      <c r="G153" s="21">
        <f t="shared" si="25"/>
        <v>0</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0</v>
      </c>
      <c r="F154" s="633"/>
      <c r="G154" s="21">
        <f t="shared" ref="G154:G217" si="35">(SUMIF($7:$7,F154,$8:$8)-SUMIF($7:$7,$F$24,$8:$8)+100)/100</f>
        <v>0</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0</v>
      </c>
      <c r="F155" s="633"/>
      <c r="G155" s="21">
        <f t="shared" si="35"/>
        <v>0</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0</v>
      </c>
      <c r="F156" s="633"/>
      <c r="G156" s="21">
        <f t="shared" si="35"/>
        <v>0</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0</v>
      </c>
      <c r="F157" s="633"/>
      <c r="G157" s="21">
        <f t="shared" si="35"/>
        <v>0</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0</v>
      </c>
      <c r="F158" s="633"/>
      <c r="G158" s="21">
        <f t="shared" si="35"/>
        <v>0</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0</v>
      </c>
      <c r="F159" s="633"/>
      <c r="G159" s="21">
        <f t="shared" si="35"/>
        <v>0</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0</v>
      </c>
      <c r="F160" s="633"/>
      <c r="G160" s="21">
        <f t="shared" si="35"/>
        <v>0</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0</v>
      </c>
      <c r="F161" s="633"/>
      <c r="G161" s="21">
        <f t="shared" si="35"/>
        <v>0</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0</v>
      </c>
      <c r="F162" s="633"/>
      <c r="G162" s="21">
        <f t="shared" si="35"/>
        <v>0</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0</v>
      </c>
      <c r="F163" s="633"/>
      <c r="G163" s="21">
        <f t="shared" si="35"/>
        <v>0</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0</v>
      </c>
      <c r="F164" s="633"/>
      <c r="G164" s="21">
        <f t="shared" si="35"/>
        <v>0</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0</v>
      </c>
      <c r="F165" s="633"/>
      <c r="G165" s="21">
        <f t="shared" si="35"/>
        <v>0</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0</v>
      </c>
      <c r="F166" s="633"/>
      <c r="G166" s="21">
        <f t="shared" si="35"/>
        <v>0</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0</v>
      </c>
      <c r="F167" s="633"/>
      <c r="G167" s="21">
        <f t="shared" si="35"/>
        <v>0</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0</v>
      </c>
      <c r="F168" s="633"/>
      <c r="G168" s="21">
        <f t="shared" si="35"/>
        <v>0</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0</v>
      </c>
      <c r="F169" s="633"/>
      <c r="G169" s="21">
        <f t="shared" si="35"/>
        <v>0</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0</v>
      </c>
      <c r="F170" s="633"/>
      <c r="G170" s="21">
        <f t="shared" si="35"/>
        <v>0</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0</v>
      </c>
      <c r="F171" s="633"/>
      <c r="G171" s="21">
        <f t="shared" si="35"/>
        <v>0</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0</v>
      </c>
      <c r="F172" s="633"/>
      <c r="G172" s="21">
        <f t="shared" si="35"/>
        <v>0</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0</v>
      </c>
      <c r="F173" s="633"/>
      <c r="G173" s="21">
        <f t="shared" si="35"/>
        <v>0</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0</v>
      </c>
      <c r="F174" s="633"/>
      <c r="G174" s="21">
        <f t="shared" si="35"/>
        <v>0</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0</v>
      </c>
      <c r="F175" s="633"/>
      <c r="G175" s="21">
        <f t="shared" si="35"/>
        <v>0</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0</v>
      </c>
      <c r="F176" s="633"/>
      <c r="G176" s="21">
        <f t="shared" si="35"/>
        <v>0</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0</v>
      </c>
      <c r="F177" s="633"/>
      <c r="G177" s="21">
        <f t="shared" si="35"/>
        <v>0</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0</v>
      </c>
      <c r="F178" s="633"/>
      <c r="G178" s="21">
        <f t="shared" si="35"/>
        <v>0</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0</v>
      </c>
      <c r="F179" s="633"/>
      <c r="G179" s="21">
        <f t="shared" si="35"/>
        <v>0</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0</v>
      </c>
      <c r="F180" s="633"/>
      <c r="G180" s="21">
        <f t="shared" si="35"/>
        <v>0</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0</v>
      </c>
      <c r="F181" s="633"/>
      <c r="G181" s="21">
        <f t="shared" si="35"/>
        <v>0</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0</v>
      </c>
      <c r="F182" s="633"/>
      <c r="G182" s="21">
        <f t="shared" si="35"/>
        <v>0</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0</v>
      </c>
      <c r="F183" s="633"/>
      <c r="G183" s="21">
        <f t="shared" si="35"/>
        <v>0</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0</v>
      </c>
      <c r="F184" s="633"/>
      <c r="G184" s="21">
        <f t="shared" si="35"/>
        <v>0</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0</v>
      </c>
      <c r="F185" s="633"/>
      <c r="G185" s="21">
        <f t="shared" si="35"/>
        <v>0</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0</v>
      </c>
      <c r="F186" s="633"/>
      <c r="G186" s="21">
        <f t="shared" si="35"/>
        <v>0</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0</v>
      </c>
      <c r="F187" s="633"/>
      <c r="G187" s="21">
        <f t="shared" si="35"/>
        <v>0</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0</v>
      </c>
      <c r="F188" s="633"/>
      <c r="G188" s="21">
        <f t="shared" si="35"/>
        <v>0</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0</v>
      </c>
      <c r="F189" s="633"/>
      <c r="G189" s="21">
        <f t="shared" si="35"/>
        <v>0</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0</v>
      </c>
      <c r="F190" s="633"/>
      <c r="G190" s="21">
        <f t="shared" si="35"/>
        <v>0</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0</v>
      </c>
      <c r="F191" s="633"/>
      <c r="G191" s="21">
        <f t="shared" si="35"/>
        <v>0</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0</v>
      </c>
      <c r="F192" s="633"/>
      <c r="G192" s="21">
        <f t="shared" si="35"/>
        <v>0</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0</v>
      </c>
      <c r="F193" s="633"/>
      <c r="G193" s="21">
        <f t="shared" si="35"/>
        <v>0</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0</v>
      </c>
      <c r="F194" s="633"/>
      <c r="G194" s="21">
        <f t="shared" si="35"/>
        <v>0</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0</v>
      </c>
      <c r="F195" s="633"/>
      <c r="G195" s="21">
        <f t="shared" si="35"/>
        <v>0</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0</v>
      </c>
      <c r="F196" s="633"/>
      <c r="G196" s="21">
        <f t="shared" si="35"/>
        <v>0</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0</v>
      </c>
      <c r="F197" s="633"/>
      <c r="G197" s="21">
        <f t="shared" si="35"/>
        <v>0</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0</v>
      </c>
      <c r="F198" s="633"/>
      <c r="G198" s="21">
        <f t="shared" si="35"/>
        <v>0</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0</v>
      </c>
      <c r="F199" s="633"/>
      <c r="G199" s="21">
        <f t="shared" si="35"/>
        <v>0</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0</v>
      </c>
      <c r="F200" s="633"/>
      <c r="G200" s="21">
        <f t="shared" si="35"/>
        <v>0</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0</v>
      </c>
      <c r="F201" s="633"/>
      <c r="G201" s="21">
        <f t="shared" si="35"/>
        <v>0</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0</v>
      </c>
      <c r="F202" s="633"/>
      <c r="G202" s="21">
        <f t="shared" si="35"/>
        <v>0</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0</v>
      </c>
      <c r="F203" s="633"/>
      <c r="G203" s="21">
        <f t="shared" si="35"/>
        <v>0</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0</v>
      </c>
      <c r="F204" s="633"/>
      <c r="G204" s="21">
        <f t="shared" si="35"/>
        <v>0</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0</v>
      </c>
      <c r="F205" s="633"/>
      <c r="G205" s="21">
        <f t="shared" si="35"/>
        <v>0</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0</v>
      </c>
      <c r="F206" s="633"/>
      <c r="G206" s="21">
        <f t="shared" si="35"/>
        <v>0</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0</v>
      </c>
      <c r="F207" s="633"/>
      <c r="G207" s="21">
        <f t="shared" si="35"/>
        <v>0</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0</v>
      </c>
      <c r="F208" s="633"/>
      <c r="G208" s="21">
        <f t="shared" si="35"/>
        <v>0</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0</v>
      </c>
      <c r="F209" s="633"/>
      <c r="G209" s="21">
        <f t="shared" si="35"/>
        <v>0</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0</v>
      </c>
      <c r="F210" s="633"/>
      <c r="G210" s="21">
        <f t="shared" si="35"/>
        <v>0</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0</v>
      </c>
      <c r="F211" s="633"/>
      <c r="G211" s="21">
        <f t="shared" si="35"/>
        <v>0</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0</v>
      </c>
      <c r="F212" s="633"/>
      <c r="G212" s="21">
        <f t="shared" si="35"/>
        <v>0</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0</v>
      </c>
      <c r="F213" s="633"/>
      <c r="G213" s="21">
        <f t="shared" si="35"/>
        <v>0</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0</v>
      </c>
      <c r="F214" s="633"/>
      <c r="G214" s="21">
        <f t="shared" si="35"/>
        <v>0</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0</v>
      </c>
      <c r="F215" s="633"/>
      <c r="G215" s="21">
        <f t="shared" si="35"/>
        <v>0</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0</v>
      </c>
      <c r="F216" s="633"/>
      <c r="G216" s="21">
        <f t="shared" si="35"/>
        <v>0</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0</v>
      </c>
      <c r="F217" s="633"/>
      <c r="G217" s="21">
        <f t="shared" si="35"/>
        <v>0</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0</v>
      </c>
      <c r="F218" s="633"/>
      <c r="G218" s="21">
        <f t="shared" ref="G218:G281" si="45">(SUMIF($7:$7,F218,$8:$8)-SUMIF($7:$7,$F$24,$8:$8)+100)/100</f>
        <v>0</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0</v>
      </c>
      <c r="F219" s="633"/>
      <c r="G219" s="21">
        <f t="shared" si="45"/>
        <v>0</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0</v>
      </c>
      <c r="F220" s="633"/>
      <c r="G220" s="21">
        <f t="shared" si="45"/>
        <v>0</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0</v>
      </c>
      <c r="F221" s="633"/>
      <c r="G221" s="21">
        <f t="shared" si="45"/>
        <v>0</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0</v>
      </c>
      <c r="F222" s="633"/>
      <c r="G222" s="21">
        <f t="shared" si="45"/>
        <v>0</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0</v>
      </c>
      <c r="F223" s="633"/>
      <c r="G223" s="21">
        <f t="shared" si="45"/>
        <v>0</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0</v>
      </c>
      <c r="F224" s="633"/>
      <c r="G224" s="21">
        <f t="shared" si="45"/>
        <v>0</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0</v>
      </c>
      <c r="F225" s="633"/>
      <c r="G225" s="21">
        <f t="shared" si="45"/>
        <v>0</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0</v>
      </c>
      <c r="F226" s="633"/>
      <c r="G226" s="21">
        <f t="shared" si="45"/>
        <v>0</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0</v>
      </c>
      <c r="F227" s="633"/>
      <c r="G227" s="21">
        <f t="shared" si="45"/>
        <v>0</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0</v>
      </c>
      <c r="F228" s="633"/>
      <c r="G228" s="21">
        <f t="shared" si="45"/>
        <v>0</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0</v>
      </c>
      <c r="F229" s="633"/>
      <c r="G229" s="21">
        <f t="shared" si="45"/>
        <v>0</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0</v>
      </c>
      <c r="F230" s="633"/>
      <c r="G230" s="21">
        <f t="shared" si="45"/>
        <v>0</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0</v>
      </c>
      <c r="F231" s="633"/>
      <c r="G231" s="21">
        <f t="shared" si="45"/>
        <v>0</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0</v>
      </c>
      <c r="F232" s="633"/>
      <c r="G232" s="21">
        <f t="shared" si="45"/>
        <v>0</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0</v>
      </c>
      <c r="F233" s="633"/>
      <c r="G233" s="21">
        <f t="shared" si="45"/>
        <v>0</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0</v>
      </c>
      <c r="F234" s="633"/>
      <c r="G234" s="21">
        <f t="shared" si="45"/>
        <v>0</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0</v>
      </c>
      <c r="F235" s="633"/>
      <c r="G235" s="21">
        <f t="shared" si="45"/>
        <v>0</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0</v>
      </c>
      <c r="F236" s="633"/>
      <c r="G236" s="21">
        <f t="shared" si="45"/>
        <v>0</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0</v>
      </c>
      <c r="F237" s="633"/>
      <c r="G237" s="21">
        <f t="shared" si="45"/>
        <v>0</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0</v>
      </c>
      <c r="F238" s="633"/>
      <c r="G238" s="21">
        <f t="shared" si="45"/>
        <v>0</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0</v>
      </c>
      <c r="F239" s="633"/>
      <c r="G239" s="21">
        <f t="shared" si="45"/>
        <v>0</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0</v>
      </c>
      <c r="F240" s="633"/>
      <c r="G240" s="21">
        <f t="shared" si="45"/>
        <v>0</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0</v>
      </c>
      <c r="F241" s="633"/>
      <c r="G241" s="21">
        <f t="shared" si="45"/>
        <v>0</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0</v>
      </c>
      <c r="F242" s="633"/>
      <c r="G242" s="21">
        <f t="shared" si="45"/>
        <v>0</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0</v>
      </c>
      <c r="F243" s="633"/>
      <c r="G243" s="21">
        <f t="shared" si="45"/>
        <v>0</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0</v>
      </c>
      <c r="F244" s="633"/>
      <c r="G244" s="21">
        <f t="shared" si="45"/>
        <v>0</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0</v>
      </c>
      <c r="F245" s="633"/>
      <c r="G245" s="21">
        <f t="shared" si="45"/>
        <v>0</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0</v>
      </c>
      <c r="F246" s="633"/>
      <c r="G246" s="21">
        <f t="shared" si="45"/>
        <v>0</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0</v>
      </c>
      <c r="F247" s="633"/>
      <c r="G247" s="21">
        <f t="shared" si="45"/>
        <v>0</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0</v>
      </c>
      <c r="F248" s="633"/>
      <c r="G248" s="21">
        <f t="shared" si="45"/>
        <v>0</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0</v>
      </c>
      <c r="F249" s="633"/>
      <c r="G249" s="21">
        <f t="shared" si="45"/>
        <v>0</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0</v>
      </c>
      <c r="F250" s="633"/>
      <c r="G250" s="21">
        <f t="shared" si="45"/>
        <v>0</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0</v>
      </c>
      <c r="F251" s="633"/>
      <c r="G251" s="21">
        <f t="shared" si="45"/>
        <v>0</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0</v>
      </c>
      <c r="F252" s="633"/>
      <c r="G252" s="21">
        <f t="shared" si="45"/>
        <v>0</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0</v>
      </c>
      <c r="F253" s="633"/>
      <c r="G253" s="21">
        <f t="shared" si="45"/>
        <v>0</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0</v>
      </c>
      <c r="F254" s="633"/>
      <c r="G254" s="21">
        <f t="shared" si="45"/>
        <v>0</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0</v>
      </c>
      <c r="F255" s="633"/>
      <c r="G255" s="21">
        <f t="shared" si="45"/>
        <v>0</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0</v>
      </c>
      <c r="F256" s="633"/>
      <c r="G256" s="21">
        <f t="shared" si="45"/>
        <v>0</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0</v>
      </c>
      <c r="F257" s="633"/>
      <c r="G257" s="21">
        <f t="shared" si="45"/>
        <v>0</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0</v>
      </c>
      <c r="F258" s="633"/>
      <c r="G258" s="21">
        <f t="shared" si="45"/>
        <v>0</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0</v>
      </c>
      <c r="F259" s="633"/>
      <c r="G259" s="21">
        <f t="shared" si="45"/>
        <v>0</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0</v>
      </c>
      <c r="F260" s="633"/>
      <c r="G260" s="21">
        <f t="shared" si="45"/>
        <v>0</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0</v>
      </c>
      <c r="F261" s="633"/>
      <c r="G261" s="21">
        <f t="shared" si="45"/>
        <v>0</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0</v>
      </c>
      <c r="F262" s="633"/>
      <c r="G262" s="21">
        <f t="shared" si="45"/>
        <v>0</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0</v>
      </c>
      <c r="F263" s="633"/>
      <c r="G263" s="21">
        <f t="shared" si="45"/>
        <v>0</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0</v>
      </c>
      <c r="F264" s="633"/>
      <c r="G264" s="21">
        <f t="shared" si="45"/>
        <v>0</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0</v>
      </c>
      <c r="F265" s="633"/>
      <c r="G265" s="21">
        <f t="shared" si="45"/>
        <v>0</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0</v>
      </c>
      <c r="F266" s="633"/>
      <c r="G266" s="21">
        <f t="shared" si="45"/>
        <v>0</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0</v>
      </c>
      <c r="F267" s="633"/>
      <c r="G267" s="21">
        <f t="shared" si="45"/>
        <v>0</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0</v>
      </c>
      <c r="F268" s="633"/>
      <c r="G268" s="21">
        <f t="shared" si="45"/>
        <v>0</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0</v>
      </c>
      <c r="F269" s="633"/>
      <c r="G269" s="21">
        <f t="shared" si="45"/>
        <v>0</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0</v>
      </c>
      <c r="F270" s="633"/>
      <c r="G270" s="21">
        <f t="shared" si="45"/>
        <v>0</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0</v>
      </c>
      <c r="F271" s="633"/>
      <c r="G271" s="21">
        <f t="shared" si="45"/>
        <v>0</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0</v>
      </c>
      <c r="F272" s="633"/>
      <c r="G272" s="21">
        <f t="shared" si="45"/>
        <v>0</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0</v>
      </c>
      <c r="F273" s="633"/>
      <c r="G273" s="21">
        <f t="shared" si="45"/>
        <v>0</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0</v>
      </c>
      <c r="F274" s="633"/>
      <c r="G274" s="21">
        <f t="shared" si="45"/>
        <v>0</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0</v>
      </c>
      <c r="F275" s="633"/>
      <c r="G275" s="21">
        <f t="shared" si="45"/>
        <v>0</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0</v>
      </c>
      <c r="F276" s="633"/>
      <c r="G276" s="21">
        <f t="shared" si="45"/>
        <v>0</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0</v>
      </c>
      <c r="F277" s="633"/>
      <c r="G277" s="21">
        <f t="shared" si="45"/>
        <v>0</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0</v>
      </c>
      <c r="F278" s="633"/>
      <c r="G278" s="21">
        <f t="shared" si="45"/>
        <v>0</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0</v>
      </c>
      <c r="F279" s="633"/>
      <c r="G279" s="21">
        <f t="shared" si="45"/>
        <v>0</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0</v>
      </c>
      <c r="F280" s="633"/>
      <c r="G280" s="21">
        <f t="shared" si="45"/>
        <v>0</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0</v>
      </c>
      <c r="F281" s="633"/>
      <c r="G281" s="21">
        <f t="shared" si="45"/>
        <v>0</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0</v>
      </c>
      <c r="F282" s="633"/>
      <c r="G282" s="21">
        <f t="shared" ref="G282:G345" si="55">(SUMIF($7:$7,F282,$8:$8)-SUMIF($7:$7,$F$24,$8:$8)+100)/100</f>
        <v>0</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0</v>
      </c>
      <c r="F283" s="633"/>
      <c r="G283" s="21">
        <f t="shared" si="55"/>
        <v>0</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0</v>
      </c>
      <c r="F284" s="633"/>
      <c r="G284" s="21">
        <f t="shared" si="55"/>
        <v>0</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0</v>
      </c>
      <c r="F285" s="633"/>
      <c r="G285" s="21">
        <f t="shared" si="55"/>
        <v>0</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0</v>
      </c>
      <c r="F286" s="633"/>
      <c r="G286" s="21">
        <f t="shared" si="55"/>
        <v>0</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0</v>
      </c>
      <c r="F287" s="633"/>
      <c r="G287" s="21">
        <f t="shared" si="55"/>
        <v>0</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0</v>
      </c>
      <c r="F288" s="633"/>
      <c r="G288" s="21">
        <f t="shared" si="55"/>
        <v>0</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0</v>
      </c>
      <c r="F289" s="633"/>
      <c r="G289" s="21">
        <f t="shared" si="55"/>
        <v>0</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0</v>
      </c>
      <c r="F290" s="633"/>
      <c r="G290" s="21">
        <f t="shared" si="55"/>
        <v>0</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0</v>
      </c>
      <c r="F291" s="633"/>
      <c r="G291" s="21">
        <f t="shared" si="55"/>
        <v>0</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0</v>
      </c>
      <c r="F292" s="633"/>
      <c r="G292" s="21">
        <f t="shared" si="55"/>
        <v>0</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0</v>
      </c>
      <c r="F293" s="633"/>
      <c r="G293" s="21">
        <f t="shared" si="55"/>
        <v>0</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0</v>
      </c>
      <c r="F294" s="633"/>
      <c r="G294" s="21">
        <f t="shared" si="55"/>
        <v>0</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0</v>
      </c>
      <c r="F295" s="633"/>
      <c r="G295" s="21">
        <f t="shared" si="55"/>
        <v>0</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0</v>
      </c>
      <c r="F296" s="633"/>
      <c r="G296" s="21">
        <f t="shared" si="55"/>
        <v>0</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0</v>
      </c>
      <c r="F297" s="633"/>
      <c r="G297" s="21">
        <f t="shared" si="55"/>
        <v>0</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0</v>
      </c>
      <c r="F298" s="633"/>
      <c r="G298" s="21">
        <f t="shared" si="55"/>
        <v>0</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0</v>
      </c>
      <c r="F299" s="633"/>
      <c r="G299" s="21">
        <f t="shared" si="55"/>
        <v>0</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0</v>
      </c>
      <c r="F300" s="633"/>
      <c r="G300" s="21">
        <f t="shared" si="55"/>
        <v>0</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0</v>
      </c>
      <c r="F301" s="633"/>
      <c r="G301" s="21">
        <f t="shared" si="55"/>
        <v>0</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0</v>
      </c>
      <c r="F302" s="633"/>
      <c r="G302" s="21">
        <f t="shared" si="55"/>
        <v>0</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0</v>
      </c>
      <c r="F303" s="633"/>
      <c r="G303" s="21">
        <f t="shared" si="55"/>
        <v>0</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0</v>
      </c>
      <c r="F304" s="633"/>
      <c r="G304" s="21">
        <f t="shared" si="55"/>
        <v>0</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0</v>
      </c>
      <c r="F305" s="633"/>
      <c r="G305" s="21">
        <f t="shared" si="55"/>
        <v>0</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0</v>
      </c>
      <c r="F306" s="633"/>
      <c r="G306" s="21">
        <f t="shared" si="55"/>
        <v>0</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0</v>
      </c>
      <c r="F307" s="633"/>
      <c r="G307" s="21">
        <f t="shared" si="55"/>
        <v>0</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0</v>
      </c>
      <c r="F308" s="633"/>
      <c r="G308" s="21">
        <f t="shared" si="55"/>
        <v>0</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0</v>
      </c>
      <c r="F309" s="633"/>
      <c r="G309" s="21">
        <f t="shared" si="55"/>
        <v>0</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0</v>
      </c>
      <c r="F310" s="633"/>
      <c r="G310" s="21">
        <f t="shared" si="55"/>
        <v>0</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0</v>
      </c>
      <c r="F311" s="633"/>
      <c r="G311" s="21">
        <f t="shared" si="55"/>
        <v>0</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0</v>
      </c>
      <c r="F312" s="633"/>
      <c r="G312" s="21">
        <f t="shared" si="55"/>
        <v>0</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0</v>
      </c>
      <c r="F313" s="633"/>
      <c r="G313" s="21">
        <f t="shared" si="55"/>
        <v>0</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0</v>
      </c>
      <c r="F314" s="633"/>
      <c r="G314" s="21">
        <f t="shared" si="55"/>
        <v>0</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0</v>
      </c>
      <c r="F315" s="633"/>
      <c r="G315" s="21">
        <f t="shared" si="55"/>
        <v>0</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0</v>
      </c>
      <c r="F316" s="633"/>
      <c r="G316" s="21">
        <f t="shared" si="55"/>
        <v>0</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0</v>
      </c>
      <c r="F317" s="633"/>
      <c r="G317" s="21">
        <f t="shared" si="55"/>
        <v>0</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0</v>
      </c>
      <c r="F318" s="633"/>
      <c r="G318" s="21">
        <f t="shared" si="55"/>
        <v>0</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0</v>
      </c>
      <c r="F319" s="633"/>
      <c r="G319" s="21">
        <f t="shared" si="55"/>
        <v>0</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0</v>
      </c>
      <c r="F320" s="633"/>
      <c r="G320" s="21">
        <f t="shared" si="55"/>
        <v>0</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0</v>
      </c>
      <c r="F321" s="633"/>
      <c r="G321" s="21">
        <f t="shared" si="55"/>
        <v>0</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0</v>
      </c>
      <c r="F322" s="633"/>
      <c r="G322" s="21">
        <f t="shared" si="55"/>
        <v>0</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0</v>
      </c>
      <c r="F323" s="633"/>
      <c r="G323" s="21">
        <f t="shared" si="55"/>
        <v>0</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0</v>
      </c>
      <c r="F324" s="633"/>
      <c r="G324" s="21">
        <f t="shared" si="55"/>
        <v>0</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0</v>
      </c>
      <c r="F325" s="633"/>
      <c r="G325" s="21">
        <f t="shared" si="55"/>
        <v>0</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0</v>
      </c>
      <c r="F326" s="633"/>
      <c r="G326" s="21">
        <f t="shared" si="55"/>
        <v>0</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0</v>
      </c>
      <c r="F327" s="633"/>
      <c r="G327" s="21">
        <f t="shared" si="55"/>
        <v>0</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0</v>
      </c>
      <c r="F328" s="633"/>
      <c r="G328" s="21">
        <f t="shared" si="55"/>
        <v>0</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0</v>
      </c>
      <c r="F329" s="633"/>
      <c r="G329" s="21">
        <f t="shared" si="55"/>
        <v>0</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0</v>
      </c>
      <c r="F330" s="633"/>
      <c r="G330" s="21">
        <f t="shared" si="55"/>
        <v>0</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0</v>
      </c>
      <c r="F331" s="633"/>
      <c r="G331" s="21">
        <f t="shared" si="55"/>
        <v>0</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0</v>
      </c>
      <c r="F332" s="633"/>
      <c r="G332" s="21">
        <f t="shared" si="55"/>
        <v>0</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0</v>
      </c>
      <c r="F333" s="633"/>
      <c r="G333" s="21">
        <f t="shared" si="55"/>
        <v>0</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0</v>
      </c>
      <c r="F334" s="633"/>
      <c r="G334" s="21">
        <f t="shared" si="55"/>
        <v>0</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0</v>
      </c>
      <c r="F335" s="633"/>
      <c r="G335" s="21">
        <f t="shared" si="55"/>
        <v>0</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0</v>
      </c>
      <c r="F336" s="633"/>
      <c r="G336" s="21">
        <f t="shared" si="55"/>
        <v>0</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0</v>
      </c>
      <c r="F337" s="633"/>
      <c r="G337" s="21">
        <f t="shared" si="55"/>
        <v>0</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0</v>
      </c>
      <c r="F338" s="633"/>
      <c r="G338" s="21">
        <f t="shared" si="55"/>
        <v>0</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0</v>
      </c>
      <c r="F339" s="633"/>
      <c r="G339" s="21">
        <f t="shared" si="55"/>
        <v>0</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0</v>
      </c>
      <c r="F340" s="633"/>
      <c r="G340" s="21">
        <f t="shared" si="55"/>
        <v>0</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0</v>
      </c>
      <c r="F341" s="633"/>
      <c r="G341" s="21">
        <f t="shared" si="55"/>
        <v>0</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0</v>
      </c>
      <c r="F342" s="633"/>
      <c r="G342" s="21">
        <f t="shared" si="55"/>
        <v>0</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0</v>
      </c>
      <c r="F343" s="633"/>
      <c r="G343" s="21">
        <f t="shared" si="55"/>
        <v>0</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0</v>
      </c>
      <c r="F344" s="633"/>
      <c r="G344" s="21">
        <f t="shared" si="55"/>
        <v>0</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0</v>
      </c>
      <c r="F345" s="633"/>
      <c r="G345" s="21">
        <f t="shared" si="55"/>
        <v>0</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0</v>
      </c>
      <c r="F346" s="633"/>
      <c r="G346" s="21">
        <f t="shared" ref="G346:G409" si="66">(SUMIF($7:$7,F346,$8:$8)-SUMIF($7:$7,$F$24,$8:$8)+100)/100</f>
        <v>0</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0</v>
      </c>
      <c r="F347" s="633"/>
      <c r="G347" s="21">
        <f t="shared" si="66"/>
        <v>0</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0</v>
      </c>
      <c r="F348" s="633"/>
      <c r="G348" s="21">
        <f t="shared" si="66"/>
        <v>0</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0</v>
      </c>
      <c r="F349" s="633"/>
      <c r="G349" s="21">
        <f t="shared" si="66"/>
        <v>0</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0</v>
      </c>
      <c r="F350" s="633"/>
      <c r="G350" s="21">
        <f t="shared" si="66"/>
        <v>0</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0</v>
      </c>
      <c r="F351" s="633"/>
      <c r="G351" s="21">
        <f t="shared" si="66"/>
        <v>0</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0</v>
      </c>
      <c r="F352" s="633"/>
      <c r="G352" s="21">
        <f t="shared" si="66"/>
        <v>0</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0</v>
      </c>
      <c r="F353" s="633"/>
      <c r="G353" s="21">
        <f t="shared" si="66"/>
        <v>0</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0</v>
      </c>
      <c r="F354" s="633"/>
      <c r="G354" s="21">
        <f t="shared" si="66"/>
        <v>0</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0</v>
      </c>
      <c r="F355" s="633"/>
      <c r="G355" s="21">
        <f t="shared" si="66"/>
        <v>0</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0</v>
      </c>
      <c r="F356" s="633"/>
      <c r="G356" s="21">
        <f t="shared" si="66"/>
        <v>0</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0</v>
      </c>
      <c r="F357" s="633"/>
      <c r="G357" s="21">
        <f t="shared" si="66"/>
        <v>0</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0</v>
      </c>
      <c r="F358" s="633"/>
      <c r="G358" s="21">
        <f t="shared" si="66"/>
        <v>0</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0</v>
      </c>
      <c r="F359" s="633"/>
      <c r="G359" s="21">
        <f t="shared" si="66"/>
        <v>0</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0</v>
      </c>
      <c r="F360" s="633"/>
      <c r="G360" s="21">
        <f t="shared" si="66"/>
        <v>0</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0</v>
      </c>
      <c r="F361" s="633"/>
      <c r="G361" s="21">
        <f t="shared" si="66"/>
        <v>0</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0</v>
      </c>
      <c r="F362" s="633"/>
      <c r="G362" s="21">
        <f t="shared" si="66"/>
        <v>0</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0</v>
      </c>
      <c r="F363" s="633"/>
      <c r="G363" s="21">
        <f t="shared" si="66"/>
        <v>0</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0</v>
      </c>
      <c r="F364" s="633"/>
      <c r="G364" s="21">
        <f t="shared" si="66"/>
        <v>0</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0</v>
      </c>
      <c r="F365" s="633"/>
      <c r="G365" s="21">
        <f t="shared" si="66"/>
        <v>0</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0</v>
      </c>
      <c r="F366" s="633"/>
      <c r="G366" s="21">
        <f t="shared" si="66"/>
        <v>0</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0</v>
      </c>
      <c r="F367" s="633"/>
      <c r="G367" s="21">
        <f t="shared" si="66"/>
        <v>0</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0</v>
      </c>
      <c r="F368" s="633"/>
      <c r="G368" s="21">
        <f t="shared" si="66"/>
        <v>0</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0</v>
      </c>
      <c r="F369" s="633"/>
      <c r="G369" s="21">
        <f t="shared" si="66"/>
        <v>0</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0</v>
      </c>
      <c r="F370" s="633"/>
      <c r="G370" s="21">
        <f t="shared" si="66"/>
        <v>0</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0</v>
      </c>
      <c r="F371" s="633"/>
      <c r="G371" s="21">
        <f t="shared" si="66"/>
        <v>0</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0</v>
      </c>
      <c r="F372" s="633"/>
      <c r="G372" s="21">
        <f t="shared" si="66"/>
        <v>0</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0</v>
      </c>
      <c r="F373" s="633"/>
      <c r="G373" s="21">
        <f t="shared" si="66"/>
        <v>0</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0</v>
      </c>
      <c r="F374" s="633"/>
      <c r="G374" s="21">
        <f t="shared" si="66"/>
        <v>0</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0</v>
      </c>
      <c r="F375" s="633"/>
      <c r="G375" s="21">
        <f t="shared" si="66"/>
        <v>0</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0</v>
      </c>
      <c r="F376" s="633"/>
      <c r="G376" s="21">
        <f t="shared" si="66"/>
        <v>0</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0</v>
      </c>
      <c r="F377" s="633"/>
      <c r="G377" s="21">
        <f t="shared" si="66"/>
        <v>0</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0</v>
      </c>
      <c r="F378" s="633"/>
      <c r="G378" s="21">
        <f t="shared" si="66"/>
        <v>0</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0</v>
      </c>
      <c r="F379" s="633"/>
      <c r="G379" s="21">
        <f t="shared" si="66"/>
        <v>0</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0</v>
      </c>
      <c r="F380" s="633"/>
      <c r="G380" s="21">
        <f t="shared" si="66"/>
        <v>0</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0</v>
      </c>
      <c r="F381" s="633"/>
      <c r="G381" s="21">
        <f t="shared" si="66"/>
        <v>0</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0</v>
      </c>
      <c r="F382" s="633"/>
      <c r="G382" s="21">
        <f t="shared" si="66"/>
        <v>0</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0</v>
      </c>
      <c r="F383" s="633"/>
      <c r="G383" s="21">
        <f t="shared" si="66"/>
        <v>0</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0</v>
      </c>
      <c r="F384" s="633"/>
      <c r="G384" s="21">
        <f t="shared" si="66"/>
        <v>0</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0</v>
      </c>
      <c r="F385" s="633"/>
      <c r="G385" s="21">
        <f t="shared" si="66"/>
        <v>0</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0</v>
      </c>
      <c r="F386" s="633"/>
      <c r="G386" s="21">
        <f t="shared" si="66"/>
        <v>0</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0</v>
      </c>
      <c r="F387" s="633"/>
      <c r="G387" s="21">
        <f t="shared" si="66"/>
        <v>0</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0</v>
      </c>
      <c r="F388" s="633"/>
      <c r="G388" s="21">
        <f t="shared" si="66"/>
        <v>0</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0</v>
      </c>
      <c r="F389" s="633"/>
      <c r="G389" s="21">
        <f t="shared" si="66"/>
        <v>0</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0</v>
      </c>
      <c r="F390" s="633"/>
      <c r="G390" s="21">
        <f t="shared" si="66"/>
        <v>0</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0</v>
      </c>
      <c r="F391" s="633"/>
      <c r="G391" s="21">
        <f t="shared" si="66"/>
        <v>0</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0</v>
      </c>
      <c r="F392" s="633"/>
      <c r="G392" s="21">
        <f t="shared" si="66"/>
        <v>0</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0</v>
      </c>
      <c r="F393" s="633"/>
      <c r="G393" s="21">
        <f t="shared" si="66"/>
        <v>0</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0</v>
      </c>
      <c r="F394" s="633"/>
      <c r="G394" s="21">
        <f t="shared" si="66"/>
        <v>0</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0</v>
      </c>
      <c r="F395" s="633"/>
      <c r="G395" s="21">
        <f t="shared" si="66"/>
        <v>0</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0</v>
      </c>
      <c r="F396" s="633"/>
      <c r="G396" s="21">
        <f t="shared" si="66"/>
        <v>0</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0</v>
      </c>
      <c r="F397" s="633"/>
      <c r="G397" s="21">
        <f t="shared" si="66"/>
        <v>0</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0</v>
      </c>
      <c r="F398" s="633"/>
      <c r="G398" s="21">
        <f t="shared" si="66"/>
        <v>0</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0</v>
      </c>
      <c r="F399" s="633"/>
      <c r="G399" s="21">
        <f t="shared" si="66"/>
        <v>0</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0</v>
      </c>
      <c r="F400" s="633"/>
      <c r="G400" s="21">
        <f t="shared" si="66"/>
        <v>0</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0</v>
      </c>
      <c r="F401" s="633"/>
      <c r="G401" s="21">
        <f t="shared" si="66"/>
        <v>0</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0</v>
      </c>
      <c r="F402" s="633"/>
      <c r="G402" s="21">
        <f t="shared" si="66"/>
        <v>0</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0</v>
      </c>
      <c r="F403" s="633"/>
      <c r="G403" s="21">
        <f t="shared" si="66"/>
        <v>0</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0</v>
      </c>
      <c r="F404" s="633"/>
      <c r="G404" s="21">
        <f t="shared" si="66"/>
        <v>0</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0</v>
      </c>
      <c r="F405" s="633"/>
      <c r="G405" s="21">
        <f t="shared" si="66"/>
        <v>0</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0</v>
      </c>
      <c r="F406" s="633"/>
      <c r="G406" s="21">
        <f t="shared" si="66"/>
        <v>0</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0</v>
      </c>
      <c r="F407" s="633"/>
      <c r="G407" s="21">
        <f t="shared" si="66"/>
        <v>0</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0</v>
      </c>
      <c r="F408" s="633"/>
      <c r="G408" s="21">
        <f t="shared" si="66"/>
        <v>0</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0</v>
      </c>
      <c r="F409" s="633"/>
      <c r="G409" s="21">
        <f t="shared" si="66"/>
        <v>0</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0</v>
      </c>
      <c r="F410" s="633"/>
      <c r="G410" s="21">
        <f t="shared" ref="G410:G473" si="76">(SUMIF($7:$7,F410,$8:$8)-SUMIF($7:$7,$F$24,$8:$8)+100)/100</f>
        <v>0</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0</v>
      </c>
      <c r="F411" s="633"/>
      <c r="G411" s="21">
        <f t="shared" si="76"/>
        <v>0</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0</v>
      </c>
      <c r="F412" s="633"/>
      <c r="G412" s="21">
        <f t="shared" si="76"/>
        <v>0</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0</v>
      </c>
      <c r="F413" s="633"/>
      <c r="G413" s="21">
        <f t="shared" si="76"/>
        <v>0</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0</v>
      </c>
      <c r="F414" s="633"/>
      <c r="G414" s="21">
        <f t="shared" si="76"/>
        <v>0</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0</v>
      </c>
      <c r="F415" s="633"/>
      <c r="G415" s="21">
        <f t="shared" si="76"/>
        <v>0</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0</v>
      </c>
      <c r="F416" s="633"/>
      <c r="G416" s="21">
        <f t="shared" si="76"/>
        <v>0</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0</v>
      </c>
      <c r="F417" s="633"/>
      <c r="G417" s="21">
        <f t="shared" si="76"/>
        <v>0</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0</v>
      </c>
      <c r="F418" s="633"/>
      <c r="G418" s="21">
        <f t="shared" si="76"/>
        <v>0</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0</v>
      </c>
      <c r="F419" s="633"/>
      <c r="G419" s="21">
        <f t="shared" si="76"/>
        <v>0</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0</v>
      </c>
      <c r="F420" s="633"/>
      <c r="G420" s="21">
        <f t="shared" si="76"/>
        <v>0</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0</v>
      </c>
      <c r="F421" s="633"/>
      <c r="G421" s="21">
        <f t="shared" si="76"/>
        <v>0</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0</v>
      </c>
      <c r="F422" s="633"/>
      <c r="G422" s="21">
        <f t="shared" si="76"/>
        <v>0</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0</v>
      </c>
      <c r="F423" s="633"/>
      <c r="G423" s="21">
        <f t="shared" si="76"/>
        <v>0</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0</v>
      </c>
      <c r="F424" s="633"/>
      <c r="G424" s="21">
        <f t="shared" si="76"/>
        <v>0</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0</v>
      </c>
      <c r="F425" s="633"/>
      <c r="G425" s="21">
        <f t="shared" si="76"/>
        <v>0</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0</v>
      </c>
      <c r="F426" s="633"/>
      <c r="G426" s="21">
        <f t="shared" si="76"/>
        <v>0</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0</v>
      </c>
      <c r="F427" s="633"/>
      <c r="G427" s="21">
        <f t="shared" si="76"/>
        <v>0</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0</v>
      </c>
      <c r="F428" s="633"/>
      <c r="G428" s="21">
        <f t="shared" si="76"/>
        <v>0</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0</v>
      </c>
      <c r="F429" s="633"/>
      <c r="G429" s="21">
        <f t="shared" si="76"/>
        <v>0</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0</v>
      </c>
      <c r="F430" s="633"/>
      <c r="G430" s="21">
        <f t="shared" si="76"/>
        <v>0</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0</v>
      </c>
      <c r="F431" s="633"/>
      <c r="G431" s="21">
        <f t="shared" si="76"/>
        <v>0</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0</v>
      </c>
      <c r="F432" s="633"/>
      <c r="G432" s="21">
        <f t="shared" si="76"/>
        <v>0</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0</v>
      </c>
      <c r="F433" s="633"/>
      <c r="G433" s="21">
        <f t="shared" si="76"/>
        <v>0</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0</v>
      </c>
      <c r="F434" s="633"/>
      <c r="G434" s="21">
        <f t="shared" si="76"/>
        <v>0</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0</v>
      </c>
      <c r="F435" s="633"/>
      <c r="G435" s="21">
        <f t="shared" si="76"/>
        <v>0</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0</v>
      </c>
      <c r="F436" s="633"/>
      <c r="G436" s="21">
        <f t="shared" si="76"/>
        <v>0</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0</v>
      </c>
      <c r="F437" s="633"/>
      <c r="G437" s="21">
        <f t="shared" si="76"/>
        <v>0</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0</v>
      </c>
      <c r="F438" s="633"/>
      <c r="G438" s="21">
        <f t="shared" si="76"/>
        <v>0</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0</v>
      </c>
      <c r="F439" s="633"/>
      <c r="G439" s="21">
        <f t="shared" si="76"/>
        <v>0</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0</v>
      </c>
      <c r="F440" s="633"/>
      <c r="G440" s="21">
        <f t="shared" si="76"/>
        <v>0</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0</v>
      </c>
      <c r="F441" s="633"/>
      <c r="G441" s="21">
        <f t="shared" si="76"/>
        <v>0</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0</v>
      </c>
      <c r="F442" s="633"/>
      <c r="G442" s="21">
        <f t="shared" si="76"/>
        <v>0</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0</v>
      </c>
      <c r="F443" s="633"/>
      <c r="G443" s="21">
        <f t="shared" si="76"/>
        <v>0</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0</v>
      </c>
      <c r="F444" s="633"/>
      <c r="G444" s="21">
        <f t="shared" si="76"/>
        <v>0</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0</v>
      </c>
      <c r="F445" s="633"/>
      <c r="G445" s="21">
        <f t="shared" si="76"/>
        <v>0</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0</v>
      </c>
      <c r="F446" s="633"/>
      <c r="G446" s="21">
        <f t="shared" si="76"/>
        <v>0</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0</v>
      </c>
      <c r="F447" s="633"/>
      <c r="G447" s="21">
        <f t="shared" si="76"/>
        <v>0</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0</v>
      </c>
      <c r="F448" s="633"/>
      <c r="G448" s="21">
        <f t="shared" si="76"/>
        <v>0</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0</v>
      </c>
      <c r="F449" s="633"/>
      <c r="G449" s="21">
        <f t="shared" si="76"/>
        <v>0</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0</v>
      </c>
      <c r="F450" s="633"/>
      <c r="G450" s="21">
        <f t="shared" si="76"/>
        <v>0</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0</v>
      </c>
      <c r="F451" s="633"/>
      <c r="G451" s="21">
        <f t="shared" si="76"/>
        <v>0</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0</v>
      </c>
      <c r="F452" s="633"/>
      <c r="G452" s="21">
        <f t="shared" si="76"/>
        <v>0</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0</v>
      </c>
      <c r="F453" s="633"/>
      <c r="G453" s="21">
        <f t="shared" si="76"/>
        <v>0</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0</v>
      </c>
      <c r="F454" s="633"/>
      <c r="G454" s="21">
        <f t="shared" si="76"/>
        <v>0</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0</v>
      </c>
      <c r="F455" s="633"/>
      <c r="G455" s="21">
        <f t="shared" si="76"/>
        <v>0</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0</v>
      </c>
      <c r="F456" s="633"/>
      <c r="G456" s="21">
        <f t="shared" si="76"/>
        <v>0</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0</v>
      </c>
      <c r="F457" s="633"/>
      <c r="G457" s="21">
        <f t="shared" si="76"/>
        <v>0</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0</v>
      </c>
      <c r="F458" s="633"/>
      <c r="G458" s="21">
        <f t="shared" si="76"/>
        <v>0</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0</v>
      </c>
      <c r="F459" s="633"/>
      <c r="G459" s="21">
        <f t="shared" si="76"/>
        <v>0</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0</v>
      </c>
      <c r="F460" s="633"/>
      <c r="G460" s="21">
        <f t="shared" si="76"/>
        <v>0</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0</v>
      </c>
      <c r="F461" s="633"/>
      <c r="G461" s="21">
        <f t="shared" si="76"/>
        <v>0</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0</v>
      </c>
      <c r="F462" s="633"/>
      <c r="G462" s="21">
        <f t="shared" si="76"/>
        <v>0</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0</v>
      </c>
      <c r="F463" s="633"/>
      <c r="G463" s="21">
        <f t="shared" si="76"/>
        <v>0</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0</v>
      </c>
      <c r="F464" s="633"/>
      <c r="G464" s="21">
        <f t="shared" si="76"/>
        <v>0</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0</v>
      </c>
      <c r="F465" s="633"/>
      <c r="G465" s="21">
        <f t="shared" si="76"/>
        <v>0</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0</v>
      </c>
      <c r="F466" s="633"/>
      <c r="G466" s="21">
        <f t="shared" si="76"/>
        <v>0</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0</v>
      </c>
      <c r="F467" s="633"/>
      <c r="G467" s="21">
        <f t="shared" si="76"/>
        <v>0</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0</v>
      </c>
      <c r="F468" s="633"/>
      <c r="G468" s="21">
        <f t="shared" si="76"/>
        <v>0</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0</v>
      </c>
      <c r="F469" s="633"/>
      <c r="G469" s="21">
        <f t="shared" si="76"/>
        <v>0</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0</v>
      </c>
      <c r="F470" s="633"/>
      <c r="G470" s="21">
        <f t="shared" si="76"/>
        <v>0</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0</v>
      </c>
      <c r="F471" s="633"/>
      <c r="G471" s="21">
        <f t="shared" si="76"/>
        <v>0</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0</v>
      </c>
      <c r="F472" s="633"/>
      <c r="G472" s="21">
        <f t="shared" si="76"/>
        <v>0</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0</v>
      </c>
      <c r="F473" s="633"/>
      <c r="G473" s="21">
        <f t="shared" si="76"/>
        <v>0</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0</v>
      </c>
      <c r="F474" s="633"/>
      <c r="G474" s="21">
        <f t="shared" ref="G474:G524" si="87">(SUMIF($7:$7,F474,$8:$8)-SUMIF($7:$7,$F$24,$8:$8)+100)/100</f>
        <v>0</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0</v>
      </c>
      <c r="F475" s="633"/>
      <c r="G475" s="21">
        <f t="shared" si="87"/>
        <v>0</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0</v>
      </c>
      <c r="F476" s="633"/>
      <c r="G476" s="21">
        <f t="shared" si="87"/>
        <v>0</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0</v>
      </c>
      <c r="F477" s="633"/>
      <c r="G477" s="21">
        <f t="shared" si="87"/>
        <v>0</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0</v>
      </c>
      <c r="F478" s="633"/>
      <c r="G478" s="21">
        <f t="shared" si="87"/>
        <v>0</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0</v>
      </c>
      <c r="F479" s="633"/>
      <c r="G479" s="21">
        <f t="shared" si="87"/>
        <v>0</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0</v>
      </c>
      <c r="F480" s="633"/>
      <c r="G480" s="21">
        <f t="shared" si="87"/>
        <v>0</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0</v>
      </c>
      <c r="F481" s="633"/>
      <c r="G481" s="21">
        <f t="shared" si="87"/>
        <v>0</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0</v>
      </c>
      <c r="F482" s="633"/>
      <c r="G482" s="21">
        <f t="shared" si="87"/>
        <v>0</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0</v>
      </c>
      <c r="F483" s="633"/>
      <c r="G483" s="21">
        <f t="shared" si="87"/>
        <v>0</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0</v>
      </c>
      <c r="F484" s="633"/>
      <c r="G484" s="21">
        <f t="shared" si="87"/>
        <v>0</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0</v>
      </c>
      <c r="F485" s="633"/>
      <c r="G485" s="21">
        <f t="shared" si="87"/>
        <v>0</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0</v>
      </c>
      <c r="F486" s="633"/>
      <c r="G486" s="21">
        <f t="shared" si="87"/>
        <v>0</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0</v>
      </c>
      <c r="F487" s="633"/>
      <c r="G487" s="21">
        <f t="shared" si="87"/>
        <v>0</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0</v>
      </c>
      <c r="F488" s="633"/>
      <c r="G488" s="21">
        <f t="shared" si="87"/>
        <v>0</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0</v>
      </c>
      <c r="F489" s="633"/>
      <c r="G489" s="21">
        <f t="shared" si="87"/>
        <v>0</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0</v>
      </c>
      <c r="F490" s="633"/>
      <c r="G490" s="21">
        <f t="shared" si="87"/>
        <v>0</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0</v>
      </c>
      <c r="F491" s="633"/>
      <c r="G491" s="21">
        <f t="shared" si="87"/>
        <v>0</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0</v>
      </c>
      <c r="F492" s="633"/>
      <c r="G492" s="21">
        <f t="shared" si="87"/>
        <v>0</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0</v>
      </c>
      <c r="F493" s="633"/>
      <c r="G493" s="21">
        <f t="shared" si="87"/>
        <v>0</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0</v>
      </c>
      <c r="F494" s="633"/>
      <c r="G494" s="21">
        <f t="shared" si="87"/>
        <v>0</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0</v>
      </c>
      <c r="F495" s="633"/>
      <c r="G495" s="21">
        <f t="shared" si="87"/>
        <v>0</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0</v>
      </c>
      <c r="F496" s="633"/>
      <c r="G496" s="21">
        <f t="shared" si="87"/>
        <v>0</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0</v>
      </c>
      <c r="F497" s="633"/>
      <c r="G497" s="21">
        <f t="shared" si="87"/>
        <v>0</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0</v>
      </c>
      <c r="F498" s="633"/>
      <c r="G498" s="21">
        <f t="shared" si="87"/>
        <v>0</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0</v>
      </c>
      <c r="F499" s="633"/>
      <c r="G499" s="21">
        <f t="shared" si="87"/>
        <v>0</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0</v>
      </c>
      <c r="F500" s="633"/>
      <c r="G500" s="21">
        <f t="shared" si="87"/>
        <v>0</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0</v>
      </c>
      <c r="F501" s="633"/>
      <c r="G501" s="21">
        <f t="shared" si="87"/>
        <v>0</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0</v>
      </c>
      <c r="F502" s="633"/>
      <c r="G502" s="21">
        <f t="shared" si="87"/>
        <v>0</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0</v>
      </c>
      <c r="F503" s="633"/>
      <c r="G503" s="21">
        <f t="shared" si="87"/>
        <v>0</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0</v>
      </c>
      <c r="F504" s="633"/>
      <c r="G504" s="21">
        <f t="shared" si="87"/>
        <v>0</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0</v>
      </c>
      <c r="F505" s="633"/>
      <c r="G505" s="21">
        <f t="shared" si="87"/>
        <v>0</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0</v>
      </c>
      <c r="F506" s="633"/>
      <c r="G506" s="21">
        <f t="shared" si="87"/>
        <v>0</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0</v>
      </c>
      <c r="F507" s="633"/>
      <c r="G507" s="21">
        <f t="shared" si="87"/>
        <v>0</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0</v>
      </c>
      <c r="F508" s="633"/>
      <c r="G508" s="21">
        <f t="shared" si="87"/>
        <v>0</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0</v>
      </c>
      <c r="F509" s="633"/>
      <c r="G509" s="21">
        <f t="shared" si="87"/>
        <v>0</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0</v>
      </c>
      <c r="F510" s="633"/>
      <c r="G510" s="21">
        <f t="shared" si="87"/>
        <v>0</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0</v>
      </c>
      <c r="F511" s="633"/>
      <c r="G511" s="21">
        <f t="shared" si="87"/>
        <v>0</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0</v>
      </c>
      <c r="F512" s="633"/>
      <c r="G512" s="21">
        <f t="shared" si="87"/>
        <v>0</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0</v>
      </c>
      <c r="F513" s="633"/>
      <c r="G513" s="21">
        <f t="shared" si="87"/>
        <v>0</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0</v>
      </c>
      <c r="F514" s="633"/>
      <c r="G514" s="21">
        <f t="shared" si="87"/>
        <v>0</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0</v>
      </c>
      <c r="F515" s="633"/>
      <c r="G515" s="21">
        <f t="shared" si="87"/>
        <v>0</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0</v>
      </c>
      <c r="F516" s="633"/>
      <c r="G516" s="21">
        <f t="shared" si="87"/>
        <v>0</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0</v>
      </c>
      <c r="F517" s="633"/>
      <c r="G517" s="21">
        <f t="shared" si="87"/>
        <v>0</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0</v>
      </c>
      <c r="F518" s="633"/>
      <c r="G518" s="21">
        <f t="shared" si="87"/>
        <v>0</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0</v>
      </c>
      <c r="F519" s="633"/>
      <c r="G519" s="21">
        <f t="shared" si="87"/>
        <v>0</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0</v>
      </c>
      <c r="F520" s="633"/>
      <c r="G520" s="21">
        <f t="shared" si="87"/>
        <v>0</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0</v>
      </c>
      <c r="F521" s="633"/>
      <c r="G521" s="21">
        <f t="shared" si="87"/>
        <v>0</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0</v>
      </c>
      <c r="F522" s="633"/>
      <c r="G522" s="21">
        <f t="shared" si="87"/>
        <v>0</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0</v>
      </c>
      <c r="F523" s="633"/>
      <c r="G523" s="21">
        <f t="shared" si="87"/>
        <v>0</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0</v>
      </c>
      <c r="F524" s="633"/>
      <c r="G524" s="21">
        <f t="shared" si="87"/>
        <v>0</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42"/>
      <c r="G1" s="2542"/>
      <c r="H1" s="2542"/>
      <c r="I1" s="2542"/>
      <c r="J1" s="2542"/>
      <c r="K1" s="2542"/>
      <c r="L1" s="2542"/>
      <c r="M1" s="2542"/>
      <c r="N1" s="2542"/>
      <c r="O1" s="2542"/>
      <c r="P1" s="2542"/>
    </row>
    <row r="2" spans="1:16" ht="15.6">
      <c r="A2" s="1981" t="s">
        <v>2073</v>
      </c>
      <c r="B2" s="2385">
        <f ca="1">SUMIF(B6:B13,"&lt;&gt;#ref!",B6:B13)</f>
        <v>16369</v>
      </c>
      <c r="C2" s="1981" t="s">
        <v>2074</v>
      </c>
      <c r="D2" s="1981" t="s">
        <v>2075</v>
      </c>
      <c r="E2" s="2395">
        <f ca="1">SUMIF(E6:E13,"&lt;&gt;#ref!",E6:E13)</f>
        <v>21560.34</v>
      </c>
      <c r="F2" s="2542"/>
      <c r="G2" s="2542"/>
      <c r="H2" s="2542"/>
      <c r="I2" s="2542"/>
      <c r="J2" s="2542"/>
      <c r="K2" s="2542"/>
      <c r="L2" s="2542"/>
      <c r="M2" s="2542"/>
      <c r="N2" s="2542"/>
      <c r="O2" s="2542"/>
      <c r="P2" s="2542"/>
    </row>
    <row r="3" spans="1:16" ht="15.6">
      <c r="A3" s="1981" t="s">
        <v>2076</v>
      </c>
      <c r="B3" s="2385">
        <f ca="1">ROUND(B2*10000/E2,0)</f>
        <v>7592</v>
      </c>
      <c r="C3" s="1981"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2077</v>
      </c>
      <c r="B5" s="2393" t="s">
        <v>2078</v>
      </c>
      <c r="C5" s="1982"/>
      <c r="D5" s="2542"/>
      <c r="E5" s="2394" t="s">
        <v>2079</v>
      </c>
      <c r="F5" s="2542"/>
      <c r="G5" s="2542"/>
      <c r="H5" s="2542"/>
      <c r="I5" s="2542"/>
      <c r="J5" s="2542"/>
      <c r="K5" s="2542"/>
      <c r="L5" s="2542"/>
      <c r="M5" s="2542"/>
      <c r="N5" s="2542"/>
      <c r="O5" s="2542"/>
      <c r="P5" s="2542"/>
    </row>
    <row r="6" spans="1:16" ht="15.6">
      <c r="A6" s="2392" t="s">
        <v>2080</v>
      </c>
      <c r="B6" s="2385">
        <f ca="1">SUMIF(INDIRECT("'"&amp;A6&amp;"'"&amp;"!A:A"),"总价",INDIRECT("'"&amp;A6&amp;"'"&amp;"!B:B"))</f>
        <v>16369</v>
      </c>
      <c r="C6" s="1981" t="s">
        <v>2074</v>
      </c>
      <c r="D6" s="2542"/>
      <c r="E6" s="2395">
        <f ca="1">SUMIF(INDIRECT("'"&amp;A6&amp;"'"&amp;"!C:C"),"建筑面积",INDIRECT("'"&amp;A6&amp;"'"&amp;"!D:D"))</f>
        <v>21560.34</v>
      </c>
      <c r="F6" s="2542"/>
      <c r="G6" s="2542"/>
      <c r="H6" s="2542"/>
      <c r="I6" s="2542"/>
      <c r="J6" s="2542"/>
      <c r="K6" s="2542"/>
      <c r="L6" s="2542"/>
      <c r="M6" s="2542"/>
      <c r="N6" s="2542"/>
      <c r="O6" s="2542"/>
      <c r="P6" s="2542"/>
    </row>
    <row r="7" spans="1:16" ht="15.6">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I29" sqref="I29"/>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6" t="s">
        <v>1926</v>
      </c>
      <c r="B1" s="187"/>
      <c r="C1" s="191" t="s">
        <v>1927</v>
      </c>
      <c r="D1" s="331">
        <f>SUM(D33:D34,D37:D42)</f>
        <v>21560.34</v>
      </c>
      <c r="E1" s="1839"/>
      <c r="F1" s="1839"/>
      <c r="G1" s="1839"/>
      <c r="H1" s="1839"/>
      <c r="I1" s="1839"/>
      <c r="J1" s="1839"/>
      <c r="K1" s="1054"/>
      <c r="L1" s="1840" t="s">
        <v>1928</v>
      </c>
      <c r="M1" s="808">
        <f>SUMPRODUCT((区片价!B5:B9=I2)*(区片价!C3:G3=E2)*(区片价!C5:G9))</f>
        <v>0</v>
      </c>
      <c r="N1" s="811">
        <f>SUMPRODUCT((因素修正幅度!B5:B9=I2)*(因素修正幅度!C3:G3=E2)*(因素修正幅度!C5:G9))</f>
        <v>0</v>
      </c>
      <c r="O1" s="1841"/>
      <c r="P1" s="1841"/>
      <c r="Q1" s="1054"/>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1" t="s">
        <v>1934</v>
      </c>
      <c r="B2" s="194">
        <f>C30</f>
        <v>16369</v>
      </c>
      <c r="C2" s="1843" t="s">
        <v>1935</v>
      </c>
      <c r="D2" s="160" t="s">
        <v>1936</v>
      </c>
      <c r="E2" s="3118" t="s">
        <v>21</v>
      </c>
      <c r="F2" s="160" t="s">
        <v>1937</v>
      </c>
      <c r="G2" s="161" t="str">
        <f>IF(E2="商业",项目基本情况!B37,IF(E2="办公",项目基本情况!C37,IF(E2="住宅",项目基本情况!D37,IF(E2="工业",项目基本情况!E37,项目基本情况!F37))))</f>
        <v>八级</v>
      </c>
      <c r="H2" s="160" t="s">
        <v>1938</v>
      </c>
      <c r="I2" s="161" t="str">
        <f>IF(E2="商业",项目基本情况!B38,IF(E2="办公",项目基本情况!C38,IF(E2="住宅",项目基本情况!D38,IF(E2="工业",项目基本情况!E38,项目基本情况!F38))))</f>
        <v>Ⅷ-昌4</v>
      </c>
      <c r="J2" s="1839"/>
      <c r="K2" s="1054"/>
      <c r="L2" s="1844" t="s">
        <v>1939</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1.5418000000000001</v>
      </c>
      <c r="T2" s="3061">
        <f t="shared" ref="T2:T16" si="0">ROUND($C$5*$C$22*$C$23*$C$24*S2*$C$28,0)</f>
        <v>9515</v>
      </c>
      <c r="U2" s="1127"/>
      <c r="V2" s="3061">
        <f>ROUND(T2*U2/10000,0)</f>
        <v>0</v>
      </c>
      <c r="W2" s="1130"/>
      <c r="X2" s="1130"/>
      <c r="Y2" s="1130"/>
      <c r="Z2" s="1130"/>
      <c r="AA2" s="1130"/>
      <c r="AB2" s="1130"/>
      <c r="AC2" s="1131"/>
      <c r="AD2" s="1132"/>
      <c r="AE2" s="1132"/>
      <c r="AF2" s="1132"/>
      <c r="AG2" s="1132"/>
      <c r="AH2" s="1132"/>
      <c r="AI2" s="1132"/>
      <c r="AJ2" s="1133"/>
    </row>
    <row r="3" spans="1:36" ht="15.6">
      <c r="A3" s="193" t="s">
        <v>1940</v>
      </c>
      <c r="B3" s="194">
        <f>ROUND(B2*10000/D1,0)</f>
        <v>7592</v>
      </c>
      <c r="C3" s="1843" t="s">
        <v>1941</v>
      </c>
      <c r="D3" s="160" t="s">
        <v>1942</v>
      </c>
      <c r="E3" s="3116" t="s">
        <v>3484</v>
      </c>
      <c r="F3" s="1845" t="s">
        <v>3485</v>
      </c>
      <c r="G3" s="706">
        <f>IF(F3="宗地容积率",'数据-汇总表'!I4,IF(F3="估价对象容积率",'数据-汇总表'!I6,'数据-汇总表'!I7))</f>
        <v>1</v>
      </c>
      <c r="H3" s="160"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1.1883999999999999</v>
      </c>
      <c r="T3" s="3061">
        <f t="shared" si="0"/>
        <v>7334</v>
      </c>
      <c r="U3" s="1127"/>
      <c r="V3" s="3061">
        <f t="shared" ref="V3:V16" si="1">ROUND(T3*U3/10000,0)</f>
        <v>0</v>
      </c>
      <c r="W3" s="1130"/>
      <c r="X3" s="1130"/>
      <c r="Y3" s="1130"/>
      <c r="Z3" s="1130"/>
      <c r="AA3" s="1130"/>
      <c r="AB3" s="1130"/>
      <c r="AC3" s="1131"/>
      <c r="AD3" s="1132"/>
      <c r="AE3" s="1132"/>
      <c r="AF3" s="1132"/>
      <c r="AG3" s="1132"/>
      <c r="AH3" s="1132"/>
      <c r="AI3" s="1132"/>
      <c r="AJ3" s="1133"/>
    </row>
    <row r="4" spans="1:36" ht="15.6">
      <c r="A4" s="3512"/>
      <c r="B4" s="3513"/>
      <c r="C4" s="3513"/>
      <c r="D4" s="3514"/>
      <c r="E4" s="3514"/>
      <c r="F4" s="3514"/>
      <c r="G4" s="3514"/>
      <c r="H4" s="3514"/>
      <c r="I4" s="3514"/>
      <c r="J4" s="3515"/>
      <c r="K4" s="1054"/>
      <c r="L4" s="1844" t="s">
        <v>1946</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0.96940000000000004</v>
      </c>
      <c r="T4" s="3061">
        <f t="shared" si="0"/>
        <v>5982</v>
      </c>
      <c r="U4" s="1127"/>
      <c r="V4" s="3061">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6905</v>
      </c>
      <c r="D5" s="1249">
        <f>ROUND(C6*C17+C20,0)</f>
        <v>6905</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0.82299999999999995</v>
      </c>
      <c r="T5" s="3061">
        <f t="shared" si="0"/>
        <v>5079</v>
      </c>
      <c r="U5" s="1127"/>
      <c r="V5" s="3061">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6890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0.74980000000000002</v>
      </c>
      <c r="T6" s="3061">
        <f t="shared" si="0"/>
        <v>4627</v>
      </c>
      <c r="U6" s="1127"/>
      <c r="V6" s="3061">
        <f t="shared" si="1"/>
        <v>0</v>
      </c>
      <c r="W6" s="1130"/>
      <c r="X6" s="1130"/>
      <c r="Y6" s="1130"/>
      <c r="Z6" s="1130"/>
      <c r="AA6" s="1130"/>
      <c r="AB6" s="1130"/>
      <c r="AC6" s="1852"/>
      <c r="AD6" s="1853"/>
      <c r="AE6" s="1853"/>
      <c r="AF6" s="1853"/>
      <c r="AG6" s="1853"/>
      <c r="AH6" s="1853"/>
      <c r="AI6" s="1853"/>
      <c r="AJ6" s="1854"/>
    </row>
    <row r="7" spans="1:36" ht="24.6" thickBot="1">
      <c r="A7" s="3010" t="s">
        <v>3225</v>
      </c>
      <c r="B7" s="1862" t="s">
        <v>1952</v>
      </c>
      <c r="C7" s="709">
        <f>IF(C8="不临65条商业街",1,ROUND(1+(1.6*E8+1.2*E9+0.8*E10+0.4*E11)*C9,4))</f>
        <v>1</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4"/>
      <c r="P7" s="1054"/>
      <c r="Q7" s="1054"/>
      <c r="R7" s="1126">
        <v>6</v>
      </c>
      <c r="S7" s="3115"/>
      <c r="T7" s="3061">
        <f t="shared" si="0"/>
        <v>0</v>
      </c>
      <c r="U7" s="1127"/>
      <c r="V7" s="3061">
        <f t="shared" si="1"/>
        <v>0</v>
      </c>
      <c r="W7" s="1264" t="s">
        <v>1955</v>
      </c>
      <c r="X7" s="1128" t="str">
        <f>G2</f>
        <v>八级</v>
      </c>
      <c r="Y7" s="1128" t="s">
        <v>1956</v>
      </c>
      <c r="Z7" s="1129">
        <f>G3</f>
        <v>1</v>
      </c>
      <c r="AA7" s="1130"/>
      <c r="AB7" s="1130"/>
      <c r="AC7" s="1131"/>
      <c r="AD7" s="1132"/>
      <c r="AE7" s="1132"/>
      <c r="AF7" s="1132"/>
      <c r="AG7" s="1132"/>
      <c r="AH7" s="1132"/>
      <c r="AI7" s="1132"/>
      <c r="AJ7" s="1133"/>
    </row>
    <row r="8" spans="1:36" ht="26.4">
      <c r="A8" s="3007"/>
      <c r="B8" s="160" t="s">
        <v>1957</v>
      </c>
      <c r="C8" s="1867" t="s">
        <v>3486</v>
      </c>
      <c r="D8" s="710" t="s">
        <v>112</v>
      </c>
      <c r="E8" s="711" t="e">
        <f>ROUND(C11/E7,4)</f>
        <v>#DIV/0!</v>
      </c>
      <c r="F8" s="1868" t="s">
        <v>1958</v>
      </c>
      <c r="G8" s="1869"/>
      <c r="H8" s="1869"/>
      <c r="I8" s="1869"/>
      <c r="J8" s="1870"/>
      <c r="K8" s="1054"/>
      <c r="L8" s="1844" t="s">
        <v>1959</v>
      </c>
      <c r="M8" s="809">
        <f>SUMPRODUCT((区片价!B234:B276=I2)*(区片价!C3:G3=E2)*(区片价!C234:G276))</f>
        <v>6890</v>
      </c>
      <c r="N8" s="811">
        <f>SUMPRODUCT((因素修正幅度!B234:B276=I2)*(因素修正幅度!C3:G3=E2)*(因素修正幅度!C234:G276))</f>
        <v>0.14299999999999999</v>
      </c>
      <c r="O8" s="1054"/>
      <c r="P8" s="1054"/>
      <c r="Q8" s="1054"/>
      <c r="R8" s="1126">
        <v>7</v>
      </c>
      <c r="S8" s="1127"/>
      <c r="T8" s="3061">
        <f t="shared" si="0"/>
        <v>0</v>
      </c>
      <c r="U8" s="1127"/>
      <c r="V8" s="3061">
        <f t="shared" si="1"/>
        <v>0</v>
      </c>
      <c r="W8" s="3509" t="s">
        <v>1960</v>
      </c>
      <c r="X8" s="3510"/>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0" t="s">
        <v>1973</v>
      </c>
      <c r="C9" s="712">
        <f>SUMIF(修正!C71:C138,C8,修正!E71:E138)</f>
        <v>0</v>
      </c>
      <c r="D9" s="161" t="s">
        <v>113</v>
      </c>
      <c r="E9" s="161"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6">
        <v>8</v>
      </c>
      <c r="S9" s="1127"/>
      <c r="T9" s="3061">
        <f t="shared" si="0"/>
        <v>0</v>
      </c>
      <c r="U9" s="1127"/>
      <c r="V9" s="3061">
        <f t="shared" si="1"/>
        <v>0</v>
      </c>
      <c r="W9" s="3511"/>
      <c r="X9" s="3062" t="s">
        <v>3255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0" t="s">
        <v>1976</v>
      </c>
      <c r="C10" s="161">
        <f>SUMIF(修正!C71:C138,C8,修正!F71:F138)</f>
        <v>0</v>
      </c>
      <c r="D10" s="161" t="s">
        <v>114</v>
      </c>
      <c r="E10" s="161"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6">
        <v>9</v>
      </c>
      <c r="S10" s="1127"/>
      <c r="T10" s="3061">
        <f t="shared" si="0"/>
        <v>0</v>
      </c>
      <c r="U10" s="1127"/>
      <c r="V10" s="3061">
        <f t="shared" si="1"/>
        <v>0</v>
      </c>
      <c r="W10" s="351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8" thickBot="1">
      <c r="A12" s="3010" t="s">
        <v>3226</v>
      </c>
      <c r="B12" s="3011" t="s">
        <v>3227</v>
      </c>
      <c r="C12" s="3012">
        <v>1</v>
      </c>
      <c r="D12" s="3013" t="s">
        <v>3228</v>
      </c>
      <c r="E12" s="3014" t="s">
        <v>3229</v>
      </c>
      <c r="F12" s="3015"/>
      <c r="G12" s="3016"/>
      <c r="H12" s="3016"/>
      <c r="I12" s="3016"/>
      <c r="J12" s="3017"/>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24.6" thickBot="1">
      <c r="A13" s="3010" t="s">
        <v>3230</v>
      </c>
      <c r="B13" s="1875" t="s">
        <v>1982</v>
      </c>
      <c r="C13" s="709">
        <f>ROUND(C16*D16*E16*F16*G16*H16*I16*J16,4)</f>
        <v>0</v>
      </c>
      <c r="D13" s="1876" t="s">
        <v>1983</v>
      </c>
      <c r="E13" s="1877"/>
      <c r="F13" s="1877"/>
      <c r="G13" s="1878"/>
      <c r="H13" s="1878"/>
      <c r="I13" s="1878"/>
      <c r="J13" s="1879"/>
      <c r="K13" s="1054"/>
      <c r="L13" s="3"/>
      <c r="M13" s="4"/>
      <c r="N13" s="3008"/>
      <c r="O13" s="1054"/>
      <c r="P13" s="1054"/>
      <c r="Q13" s="1054"/>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24">
      <c r="A14" s="3006"/>
      <c r="B14" s="1880" t="s">
        <v>1985</v>
      </c>
      <c r="C14" s="1881" t="s">
        <v>1986</v>
      </c>
      <c r="D14" s="1258" t="s">
        <v>1987</v>
      </c>
      <c r="E14" s="27" t="s">
        <v>1988</v>
      </c>
      <c r="F14" s="3018" t="s">
        <v>3231</v>
      </c>
      <c r="G14" s="3018" t="s">
        <v>3231</v>
      </c>
      <c r="H14" s="3018" t="s">
        <v>3231</v>
      </c>
      <c r="I14" s="3018" t="s">
        <v>3231</v>
      </c>
      <c r="J14" s="3018" t="s">
        <v>3231</v>
      </c>
      <c r="K14" s="1054"/>
      <c r="L14" s="1054"/>
      <c r="M14" s="1054"/>
      <c r="N14" s="1054"/>
      <c r="O14" s="1054"/>
      <c r="P14" s="1054"/>
      <c r="Q14" s="1054"/>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3232</v>
      </c>
      <c r="G15" s="1925"/>
      <c r="H15" s="3019"/>
      <c r="I15" s="3020"/>
      <c r="J15" s="3021"/>
      <c r="K15" s="1054"/>
      <c r="L15" s="1054"/>
      <c r="M15" s="1054"/>
      <c r="N15" s="1054"/>
      <c r="O15" s="1054"/>
      <c r="P15" s="1054"/>
      <c r="Q15" s="1054"/>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4"/>
      <c r="L16" s="1841"/>
      <c r="M16" s="1841"/>
      <c r="N16" s="1841"/>
      <c r="O16" s="1841"/>
      <c r="P16" s="1841"/>
      <c r="Q16" s="1054"/>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ht="24">
      <c r="A17" s="3033" t="s">
        <v>3233</v>
      </c>
      <c r="B17" s="3025" t="s">
        <v>3234</v>
      </c>
      <c r="C17" s="3034">
        <f>ROUND(IF(OR(E2="工业",E2="公共服务"),1,IF(AND(E18=0,E19=0),1,IF(AND(E18=J24,E19=G19),0.8,IF(E19=0,1+E17*(-0.2),1+E17*G17*(-0.2))))),4)</f>
        <v>1</v>
      </c>
      <c r="D17" s="3026" t="s">
        <v>3235</v>
      </c>
      <c r="E17" s="3034">
        <f>ROUND(G18/I18,2)</f>
        <v>0</v>
      </c>
      <c r="F17" s="3026" t="s">
        <v>3238</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6"/>
      <c r="B18" s="2307"/>
      <c r="C18" s="3032"/>
      <c r="D18" s="3027" t="s">
        <v>3236</v>
      </c>
      <c r="E18" s="2354"/>
      <c r="F18" s="3028" t="s">
        <v>3239</v>
      </c>
      <c r="G18" s="3032">
        <f>ROUND(1-(1/(POWER(1+G24,E18))),4)</f>
        <v>0</v>
      </c>
      <c r="H18" s="3028" t="s">
        <v>3241</v>
      </c>
      <c r="I18" s="3032">
        <f>ROUND(1-(1/(POWER(1+G24,J24))),4)</f>
        <v>0.93120000000000003</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4.4" thickBot="1">
      <c r="A19" s="3038"/>
      <c r="B19" s="3039"/>
      <c r="C19" s="3040"/>
      <c r="D19" s="3040" t="s">
        <v>3237</v>
      </c>
      <c r="E19" s="3041"/>
      <c r="F19" s="3042" t="s">
        <v>3240</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59"/>
      <c r="AJ19" s="559"/>
      <c r="AK19" s="1896"/>
    </row>
    <row r="20" spans="1:37" s="1855" customFormat="1" ht="13.8">
      <c r="A20" s="3516" t="s">
        <v>3242</v>
      </c>
      <c r="B20" s="157" t="s">
        <v>1994</v>
      </c>
      <c r="C20" s="3029">
        <f>ROUND(IF(F21="与级别开发程度一致",0,(G21-E21)/C21),0)</f>
        <v>15</v>
      </c>
      <c r="D20" s="3044" t="s">
        <v>1998</v>
      </c>
      <c r="E20" s="3045"/>
      <c r="F20" s="3522" t="s">
        <v>1995</v>
      </c>
      <c r="G20" s="3523"/>
      <c r="H20" s="3030" t="s">
        <v>3488</v>
      </c>
      <c r="I20" s="3030" t="s">
        <v>3489</v>
      </c>
      <c r="J20" s="3031" t="s">
        <v>3490</v>
      </c>
      <c r="K20" s="1886" t="s">
        <v>3491</v>
      </c>
      <c r="L20" s="1886" t="s">
        <v>3492</v>
      </c>
      <c r="M20" s="1886" t="s">
        <v>3493</v>
      </c>
      <c r="N20" s="1886" t="s">
        <v>3494</v>
      </c>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27" thickBot="1">
      <c r="A21" s="3517"/>
      <c r="B21" s="1999" t="s">
        <v>1997</v>
      </c>
      <c r="C21" s="2000">
        <f>IF(E3="M4科研用地",SUMPRODUCT((修正!A2:A7=E3)*(修正!B1:M1=G2)*(修正!B2:M7)),SUMPRODUCT((修正!A2:A7=E2)*(修正!B1:M1=G2)*(修正!B2:M7)))</f>
        <v>2</v>
      </c>
      <c r="D21" s="177" t="str">
        <f>IF(OR(G2="八级",G2="九级",G2="十级",G2="十一级",G2="十二级"),"五通一平","七通一平")</f>
        <v>五通一平</v>
      </c>
      <c r="E21" s="1990">
        <f>SUMPRODUCT((修正!B1:M1=G2)*(修正!B17:M17))</f>
        <v>185</v>
      </c>
      <c r="F21" s="1991" t="s">
        <v>3487</v>
      </c>
      <c r="G21" s="1992">
        <f>SUM(H21:O21)</f>
        <v>215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30</v>
      </c>
      <c r="N21" s="2000">
        <f>SUMPRODUCT((七通一平=N20)*(修正!B1:M1=G2)*(修正!B8:M16))</f>
        <v>10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 thickBot="1">
      <c r="A22" s="1993" t="s">
        <v>363</v>
      </c>
      <c r="B22" s="1994" t="s">
        <v>2000</v>
      </c>
      <c r="C22" s="1995">
        <f>SUMIF(修正!C20:C51,E3,修正!E20:E51)</f>
        <v>1</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7" thickBot="1">
      <c r="A23" s="1889" t="s">
        <v>364</v>
      </c>
      <c r="B23" s="1890"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2002</v>
      </c>
      <c r="E23" s="715">
        <v>44197</v>
      </c>
      <c r="F23" s="1893" t="s">
        <v>2003</v>
      </c>
      <c r="G23" s="716">
        <f>'数据-取费表'!B2</f>
        <v>45728</v>
      </c>
      <c r="H23" s="3046" t="s">
        <v>3243</v>
      </c>
      <c r="I23" s="3047" t="str">
        <f>IF(H23="季度增幅（自定义）",SUMIF(N25:N28,E2,O25:O28),"")</f>
        <v/>
      </c>
      <c r="J23" s="3139" t="s">
        <v>3495</v>
      </c>
      <c r="K23" s="1059"/>
      <c r="L23" s="1894" t="s">
        <v>2004</v>
      </c>
      <c r="M23" s="1238">
        <f>ROUND(SUMIF(地价!B2:G2,E2,地价!B16:G16),0)</f>
        <v>350</v>
      </c>
      <c r="N23" s="1895" t="s">
        <v>2005</v>
      </c>
      <c r="O23" s="717">
        <f>ROUNDDOWN(DATEDIF(E23,G23,"M")/3,0)</f>
        <v>16</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2006</v>
      </c>
      <c r="C24" s="718">
        <f>ROUND(POWER(1+G24,J24-I24)*(POWER(1+G24,I24)-1)/(POWER(1+G24,J24)-1),4)</f>
        <v>0.91049999999999998</v>
      </c>
      <c r="D24" s="1899" t="s">
        <v>2007</v>
      </c>
      <c r="E24" s="1245">
        <f>存贷款利率!E27/100</f>
        <v>4.3499999999999997E-2</v>
      </c>
      <c r="F24" s="1899" t="s">
        <v>1999</v>
      </c>
      <c r="G24" s="722">
        <f>SUMIF(M30:Q30,E2,M33:Q33)</f>
        <v>5.5E-2</v>
      </c>
      <c r="H24" s="1899" t="s">
        <v>2008</v>
      </c>
      <c r="I24" s="723">
        <f>SUMIF('数据-取费表'!C6:C15,E2,'数据-取费表'!F6:F15)/COUNTIF('数据-取费表'!C6:C15,E2)</f>
        <v>35.17</v>
      </c>
      <c r="J24" s="724">
        <f>IF(E2="住宅",70,IF(E2="商业",40,50))</f>
        <v>50</v>
      </c>
      <c r="K24" s="1059"/>
      <c r="L24" s="1900" t="s">
        <v>2009</v>
      </c>
      <c r="M24" s="1239">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4.4">
      <c r="A25" s="1904" t="s">
        <v>366</v>
      </c>
      <c r="B25" s="1905" t="s">
        <v>3322</v>
      </c>
      <c r="C25" s="459">
        <f>IF(B25="容积率修正",IF(G3&lt;10,D26,J26),C27)</f>
        <v>1.2302</v>
      </c>
      <c r="D25" s="1906"/>
      <c r="E25" s="1906"/>
      <c r="F25" s="1906"/>
      <c r="G25" s="1906"/>
      <c r="H25" s="1906"/>
      <c r="I25" s="1906"/>
      <c r="J25" s="1907"/>
      <c r="K25" s="1059"/>
      <c r="L25" s="2550"/>
      <c r="M25" s="2550"/>
      <c r="N25" s="1908" t="s">
        <v>2013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2014</v>
      </c>
      <c r="B26" s="1909" t="s">
        <v>2015</v>
      </c>
      <c r="C26" s="1909" t="s">
        <v>3244</v>
      </c>
      <c r="D26" s="1260">
        <f>IF(E26=G26,F26,IF(G3&lt;10,ROUND(F26+(H26-F26)*(G3-E26)/(G26-E26),4),"——"))</f>
        <v>1.2302</v>
      </c>
      <c r="E26" s="706">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6">
        <f>ROUNDUP(G3,1)</f>
        <v>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09" t="s">
        <v>3245</v>
      </c>
      <c r="J26" s="372" t="str">
        <f>IF(G3&gt;=10,D115,"——")</f>
        <v>——</v>
      </c>
      <c r="K26" s="1059"/>
      <c r="L26" s="2550"/>
      <c r="M26" s="2550"/>
      <c r="N26" s="1908" t="s">
        <v>2016</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2020</v>
      </c>
      <c r="C28" s="714">
        <f>SUMIF(A47:A101,E2,B47:B101)</f>
        <v>0.96509999999999996</v>
      </c>
      <c r="D28" s="1891"/>
      <c r="E28" s="1916"/>
      <c r="F28" s="1916"/>
      <c r="G28" s="1916"/>
      <c r="H28" s="1916"/>
      <c r="I28" s="1916"/>
      <c r="J28" s="1917"/>
      <c r="K28" s="1059"/>
      <c r="L28" s="2550"/>
      <c r="M28" s="2550"/>
      <c r="N28" s="1918"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2022</v>
      </c>
      <c r="C29" s="719"/>
      <c r="D29" s="1865"/>
      <c r="E29" s="1865"/>
      <c r="F29" s="1920"/>
      <c r="G29" s="1865"/>
      <c r="H29" s="1865"/>
      <c r="I29" s="1865"/>
      <c r="J29" s="1866"/>
      <c r="K29" s="1054"/>
      <c r="L29" s="1841"/>
      <c r="M29" s="1841"/>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2024</v>
      </c>
      <c r="C30" s="2142">
        <f>IF(B25="容积率修正",E33+SUM(E37:E42),SUM(V2:V16)+SUM(E37:E42))</f>
        <v>16369</v>
      </c>
      <c r="D30" s="1922"/>
      <c r="E30" s="1839"/>
      <c r="F30" s="1923"/>
      <c r="G30" s="1839"/>
      <c r="H30" s="1839"/>
      <c r="I30" s="1839"/>
      <c r="J30" s="1924"/>
      <c r="K30" s="1054"/>
      <c r="L30" s="3053" t="s">
        <v>1936</v>
      </c>
      <c r="M30" s="3054" t="s">
        <v>1990</v>
      </c>
      <c r="N30" s="3054" t="s">
        <v>1991</v>
      </c>
      <c r="O30" s="3054" t="s">
        <v>1992</v>
      </c>
      <c r="P30" s="3054" t="s">
        <v>1993</v>
      </c>
      <c r="Q30" s="3057" t="s">
        <v>3249</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2025</v>
      </c>
      <c r="C31" s="720">
        <f>E34+SUM(I37:I42)</f>
        <v>0</v>
      </c>
      <c r="D31" s="1926"/>
      <c r="E31" s="1927"/>
      <c r="F31" s="1928"/>
      <c r="G31" s="1927"/>
      <c r="H31" s="1927"/>
      <c r="I31" s="1927"/>
      <c r="J31" s="1929"/>
      <c r="K31" s="1054"/>
      <c r="L31" s="3055" t="s">
        <v>1996</v>
      </c>
      <c r="M31" s="160">
        <v>0.25</v>
      </c>
      <c r="N31" s="160">
        <v>0.2</v>
      </c>
      <c r="O31" s="160">
        <v>0.15</v>
      </c>
      <c r="P31" s="160">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2030</v>
      </c>
      <c r="C33" s="165">
        <f>ROUND(C5*C22*C23*C24*C25*C28,0)</f>
        <v>7592</v>
      </c>
      <c r="D33" s="1937">
        <f>'数据-基础表'!A3</f>
        <v>21560.34</v>
      </c>
      <c r="E33" s="725">
        <f>ROUND(C33*D33/10000,0)</f>
        <v>16369</v>
      </c>
      <c r="F33" s="3048" t="s">
        <v>3247</v>
      </c>
      <c r="G33" s="1938"/>
      <c r="H33" s="1938"/>
      <c r="I33" s="1938"/>
      <c r="J33" s="1939"/>
      <c r="K33" s="1054"/>
      <c r="L33" s="3051" t="s">
        <v>3250</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2031</v>
      </c>
      <c r="C34" s="177">
        <f>ROUND(IF(E2="工业",C33*M42,IF(B25="楼层修正",SUM(V2:V16)*M41*10000/D34,C33*M41)),0)</f>
        <v>1898</v>
      </c>
      <c r="D34" s="1942"/>
      <c r="E34" s="725">
        <f>ROUND(IF(B25="楼层修正",SUM(V2:V16)*M40,C34*D34/10000),0)</f>
        <v>0</v>
      </c>
      <c r="F34" s="1943" t="s">
        <v>2032</v>
      </c>
      <c r="G34" s="1944"/>
      <c r="H34" s="1944"/>
      <c r="I34" s="1944"/>
      <c r="J34" s="1945"/>
      <c r="K34" s="1054"/>
      <c r="L34" s="3051" t="s">
        <v>3251</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9" t="s">
        <v>3248</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4" t="s">
        <v>2027</v>
      </c>
      <c r="D36" s="431" t="s">
        <v>2028</v>
      </c>
      <c r="E36" s="431" t="s">
        <v>2029</v>
      </c>
      <c r="F36" s="331" t="s">
        <v>2035</v>
      </c>
      <c r="G36" s="1951" t="s">
        <v>2027</v>
      </c>
      <c r="H36" s="1951" t="s">
        <v>2028</v>
      </c>
      <c r="I36" s="1951" t="s">
        <v>2029</v>
      </c>
      <c r="J36" s="233"/>
      <c r="K36" s="1961" t="s">
        <v>3252</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520"/>
      <c r="B37" s="1952" t="s">
        <v>2036</v>
      </c>
      <c r="C37" s="165">
        <f>ROUND(D5*C22*C23*C24*C28*F37,0)</f>
        <v>3086</v>
      </c>
      <c r="D37" s="1937"/>
      <c r="E37" s="161">
        <f>ROUND(C37*D37/10000,0)</f>
        <v>0</v>
      </c>
      <c r="F37" s="161">
        <f>SUMIF(修正!A57:A68,G2,修正!B57:B68)</f>
        <v>0.5</v>
      </c>
      <c r="G37" s="161">
        <f>ROUND(IF(E2="工业",C37*$M$42,C37*$M$41),0)</f>
        <v>772</v>
      </c>
      <c r="H37" s="161">
        <f>D37</f>
        <v>0</v>
      </c>
      <c r="I37" s="161">
        <f>ROUND(G37*H37/10000,0)</f>
        <v>0</v>
      </c>
      <c r="J37" s="2752"/>
      <c r="K37" s="3059" t="s">
        <v>3253</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21"/>
      <c r="B38" s="1881" t="s">
        <v>2037</v>
      </c>
      <c r="C38" s="165">
        <f>ROUND(D5*C22*C23*C24*C28*F38,0)</f>
        <v>1234</v>
      </c>
      <c r="D38" s="1937"/>
      <c r="E38" s="161">
        <f t="shared" ref="E38:E42" si="4">ROUND(C38*D38/10000,0)</f>
        <v>0</v>
      </c>
      <c r="F38" s="161">
        <f>SUMIF(修正!A57:A68,G2,修正!C57:C68)</f>
        <v>0.2</v>
      </c>
      <c r="G38" s="161">
        <f>ROUND(IF(E2="工业",C38*$M$42,C38*$M$41),0)</f>
        <v>309</v>
      </c>
      <c r="H38" s="161">
        <f t="shared" ref="H38:H42" si="5">D38</f>
        <v>0</v>
      </c>
      <c r="I38" s="161">
        <f t="shared" ref="I38:I42" si="6">ROUND(G38*H38/10000,0)</f>
        <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521"/>
      <c r="B39" s="1881" t="s">
        <v>3246</v>
      </c>
      <c r="C39" s="165">
        <f>ROUND(D5*C22*C23*C24*C28*F39,0)</f>
        <v>1234</v>
      </c>
      <c r="D39" s="1937"/>
      <c r="E39" s="161">
        <f t="shared" si="4"/>
        <v>0</v>
      </c>
      <c r="F39" s="161">
        <f>SUMIF(修正!A57:A68,G2,修正!D57:D68)</f>
        <v>0.2</v>
      </c>
      <c r="G39" s="161">
        <f>ROUND(IF(E2="工业",C39*$M$42,C39*$M$41),0)</f>
        <v>309</v>
      </c>
      <c r="H39" s="161">
        <f t="shared" si="5"/>
        <v>0</v>
      </c>
      <c r="I39" s="161">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1">
        <f>ROUND(D5*C22*C23*C24*C28*F40,0)</f>
        <v>1234</v>
      </c>
      <c r="D40" s="1937"/>
      <c r="E40" s="161">
        <f t="shared" si="4"/>
        <v>0</v>
      </c>
      <c r="F40" s="165">
        <f>SUMIF(修正!A57:A68,G2,修正!E57:E68)</f>
        <v>0.2</v>
      </c>
      <c r="G40" s="161">
        <f>ROUND(IF(E2="工业",C40*$M$42,C40*$M$41),0)</f>
        <v>309</v>
      </c>
      <c r="H40" s="161">
        <f t="shared" si="5"/>
        <v>0</v>
      </c>
      <c r="I40" s="161">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1">
        <f>ROUND(D5*C22*C23*C44*C28*F41,0)</f>
        <v>1234</v>
      </c>
      <c r="D41" s="1937"/>
      <c r="E41" s="161">
        <f t="shared" si="4"/>
        <v>0</v>
      </c>
      <c r="F41" s="165">
        <f>SUMIF(修正!A57:A68,G2,修正!F57:F68)</f>
        <v>0.2</v>
      </c>
      <c r="G41" s="161">
        <f>ROUND(IF(E2="工业",C41*$M$42,C41*$M$41),0)</f>
        <v>309</v>
      </c>
      <c r="H41" s="161">
        <f t="shared" si="5"/>
        <v>0</v>
      </c>
      <c r="I41" s="161">
        <f t="shared" si="6"/>
        <v>0</v>
      </c>
      <c r="J41" s="937"/>
      <c r="L41" s="3060" t="s">
        <v>3254</v>
      </c>
      <c r="M41" s="1956">
        <v>0.25</v>
      </c>
      <c r="Z41" s="1055"/>
      <c r="AA41" s="1055"/>
      <c r="AB41" s="1055"/>
      <c r="AC41" s="1055"/>
      <c r="AD41" s="1055"/>
      <c r="AE41" s="1055"/>
      <c r="AF41" s="1055"/>
      <c r="AG41" s="1055"/>
      <c r="AH41" s="1055"/>
      <c r="AI41" s="1055"/>
      <c r="AJ41" s="1055"/>
    </row>
    <row r="42" spans="1:37" s="1054" customFormat="1" ht="13.8" thickBot="1">
      <c r="A42" s="1940"/>
      <c r="B42" s="1957" t="s">
        <v>2041</v>
      </c>
      <c r="C42" s="177">
        <f>ROUND(D5*C22*C23*C44*C28*F42,0)</f>
        <v>617</v>
      </c>
      <c r="D42" s="1942"/>
      <c r="E42" s="177">
        <f t="shared" si="4"/>
        <v>0</v>
      </c>
      <c r="F42" s="721">
        <f>SUMIF(修正!A57:A68,G2,修正!G57:G68)</f>
        <v>0.1</v>
      </c>
      <c r="G42" s="177">
        <f>ROUND(IF(E2="工业",C42*$M$42,C42*$M$41),0)</f>
        <v>154</v>
      </c>
      <c r="H42" s="177">
        <f t="shared" si="5"/>
        <v>0</v>
      </c>
      <c r="I42" s="177">
        <f t="shared" si="6"/>
        <v>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2119</v>
      </c>
      <c r="C44" s="331">
        <f>ROUND(POWER(1+E44,H44-G44)*(POWER(1+E44,G44)-1)/(POWER(1+E44,H44)-1),4)</f>
        <v>0.91049999999999998</v>
      </c>
      <c r="D44" s="161" t="s">
        <v>1999</v>
      </c>
      <c r="E44" s="1988">
        <f>G24</f>
        <v>5.5E-2</v>
      </c>
      <c r="F44" s="161" t="s">
        <v>2008</v>
      </c>
      <c r="G44" s="173">
        <f>项目基本情况!E15</f>
        <v>35.17</v>
      </c>
      <c r="H44" s="161">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c r="A48" s="1964" t="s">
        <v>2043</v>
      </c>
      <c r="B48" s="1965">
        <f>1+E50</f>
        <v>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c r="A49" s="1967" t="s">
        <v>2044</v>
      </c>
      <c r="B49" s="1259" t="s">
        <v>2045</v>
      </c>
      <c r="C49" s="1259" t="s">
        <v>2046</v>
      </c>
      <c r="D49" s="1259" t="s">
        <v>2047</v>
      </c>
      <c r="E49" s="699" t="s">
        <v>2048</v>
      </c>
      <c r="F49" s="1968" t="s">
        <v>2049</v>
      </c>
      <c r="G49" s="1259" t="s">
        <v>310</v>
      </c>
      <c r="H49" s="1969" t="s">
        <v>2050</v>
      </c>
      <c r="I49" s="1259"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5.2">
      <c r="A50" s="1967" t="s">
        <v>2052</v>
      </c>
      <c r="B50" s="1970">
        <f>估价对象房地状况!C4</f>
        <v>0</v>
      </c>
      <c r="C50" s="1884"/>
      <c r="D50" s="1000">
        <f t="shared" ref="D50:D58" si="7">SUMIF($J$49:$N$49,C50,J50:N50)</f>
        <v>0</v>
      </c>
      <c r="E50" s="700">
        <f>ROUND(SUM(D50:D58),4)</f>
        <v>0</v>
      </c>
      <c r="F50" s="1672"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24">
      <c r="A51" s="1967" t="s">
        <v>2053</v>
      </c>
      <c r="B51" s="1259">
        <f>估价对象房地状况!C18</f>
        <v>0</v>
      </c>
      <c r="C51" s="1884"/>
      <c r="D51" s="1000">
        <f t="shared" si="7"/>
        <v>0</v>
      </c>
      <c r="E51" s="701"/>
      <c r="F51" s="1672"/>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c r="A52" s="3068" t="s">
        <v>3256</v>
      </c>
      <c r="B52" s="1259">
        <f>估价对象房地状况!C19</f>
        <v>0</v>
      </c>
      <c r="C52" s="1884"/>
      <c r="D52" s="1000">
        <f t="shared" si="7"/>
        <v>0</v>
      </c>
      <c r="E52" s="701"/>
      <c r="F52" s="1672"/>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c r="A53" s="1967" t="s">
        <v>2054</v>
      </c>
      <c r="B53" s="1971" t="s">
        <v>2055</v>
      </c>
      <c r="C53" s="1884"/>
      <c r="D53" s="1000">
        <f t="shared" si="7"/>
        <v>0</v>
      </c>
      <c r="E53" s="701"/>
      <c r="F53" s="1672"/>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2056</v>
      </c>
      <c r="B54" s="1259">
        <f>估价对象房地状况!C24</f>
        <v>0</v>
      </c>
      <c r="C54" s="1884"/>
      <c r="D54" s="1000">
        <f t="shared" si="7"/>
        <v>0</v>
      </c>
      <c r="E54" s="701"/>
      <c r="F54" s="1672"/>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c r="A55" s="1967" t="s">
        <v>2057</v>
      </c>
      <c r="B55" s="1972" t="s">
        <v>2058</v>
      </c>
      <c r="C55" s="1884"/>
      <c r="D55" s="1000">
        <f t="shared" si="7"/>
        <v>0</v>
      </c>
      <c r="E55" s="701"/>
      <c r="F55" s="1672"/>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3" t="s">
        <v>2059</v>
      </c>
      <c r="B56" s="1237">
        <f>估价对象房地状况!C21</f>
        <v>0</v>
      </c>
      <c r="C56" s="1884"/>
      <c r="D56" s="1000">
        <f t="shared" si="7"/>
        <v>0</v>
      </c>
      <c r="E56" s="701"/>
      <c r="F56" s="1672"/>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3" t="s">
        <v>2060</v>
      </c>
      <c r="B57" s="1259">
        <f>估价对象房地状况!C22</f>
        <v>0</v>
      </c>
      <c r="C57" s="1884"/>
      <c r="D57" s="1000">
        <f t="shared" si="7"/>
        <v>0</v>
      </c>
      <c r="E57" s="701"/>
      <c r="F57" s="1672"/>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36.6" thickBot="1">
      <c r="A58" s="1974" t="s">
        <v>2061</v>
      </c>
      <c r="B58" s="1975">
        <f>估价对象房地状况!C20</f>
        <v>0</v>
      </c>
      <c r="C58" s="1884"/>
      <c r="D58" s="1000">
        <f t="shared" si="7"/>
        <v>0</v>
      </c>
      <c r="E58" s="702"/>
      <c r="F58" s="1672"/>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c r="A59" s="1964" t="s">
        <v>2062</v>
      </c>
      <c r="B59" s="1965">
        <f>1+E61</f>
        <v>0.96509999999999996</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7" t="s">
        <v>2044</v>
      </c>
      <c r="B60" s="1259"/>
      <c r="C60" s="1259" t="s">
        <v>2046</v>
      </c>
      <c r="D60" s="1259" t="s">
        <v>2047</v>
      </c>
      <c r="E60" s="699" t="s">
        <v>2048</v>
      </c>
      <c r="F60" s="1968" t="s">
        <v>2063</v>
      </c>
      <c r="G60" s="1259" t="s">
        <v>310</v>
      </c>
      <c r="H60" s="1969" t="s">
        <v>2050</v>
      </c>
      <c r="I60" s="1259"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c r="A61" s="1967" t="s">
        <v>2064</v>
      </c>
      <c r="B61" s="1970">
        <f>估价对象房地状况!C17</f>
        <v>0</v>
      </c>
      <c r="C61" s="1884" t="s">
        <v>3496</v>
      </c>
      <c r="D61" s="1000">
        <f t="shared" ref="D61:D69" si="12">SUMIF($J$60:$N$60,C61,J61:N61)</f>
        <v>-1.78E-2</v>
      </c>
      <c r="E61" s="700">
        <f>ROUND(SUM(D61:D69),4)</f>
        <v>-3.49E-2</v>
      </c>
      <c r="F61" s="1672">
        <f>IF(E2="办公",SUMIF(L1:L12,G2,N1:N12),"——")</f>
        <v>0.14299999999999999</v>
      </c>
      <c r="G61" s="998">
        <f>H61</f>
        <v>1.78E-2</v>
      </c>
      <c r="H61" s="1001">
        <f t="shared" ref="H61:H69" si="13">IFERROR(ROUNDDOWN($F$61*I61/2,4),"——")</f>
        <v>1.78E-2</v>
      </c>
      <c r="I61" s="3066">
        <v>0.25</v>
      </c>
      <c r="J61" s="999">
        <f t="shared" ref="J61:J69" si="14">K61+$G61</f>
        <v>3.56E-2</v>
      </c>
      <c r="K61" s="999">
        <f t="shared" ref="K61:K69" si="15">$L61+$G61</f>
        <v>1.78E-2</v>
      </c>
      <c r="L61" s="999">
        <v>0</v>
      </c>
      <c r="M61" s="999">
        <f t="shared" ref="M61:N69" si="16">L61-$G61</f>
        <v>-1.78E-2</v>
      </c>
      <c r="N61" s="999">
        <f t="shared" si="16"/>
        <v>-3.56E-2</v>
      </c>
      <c r="AA61" s="1055"/>
      <c r="AB61" s="1055"/>
      <c r="AC61" s="1055"/>
      <c r="AD61" s="1055"/>
      <c r="AE61" s="1055"/>
      <c r="AF61" s="1055"/>
      <c r="AG61" s="1055"/>
      <c r="AH61" s="1055"/>
      <c r="AI61" s="1055"/>
      <c r="AJ61" s="1055"/>
      <c r="AK61" s="1055"/>
    </row>
    <row r="62" spans="1:37" s="1054" customFormat="1" ht="24">
      <c r="A62" s="1967" t="s">
        <v>2053</v>
      </c>
      <c r="B62" s="1259">
        <f>估价对象房地状况!C18</f>
        <v>0</v>
      </c>
      <c r="C62" s="1884" t="s">
        <v>3496</v>
      </c>
      <c r="D62" s="1000">
        <f t="shared" si="12"/>
        <v>-1.8499999999999999E-2</v>
      </c>
      <c r="E62" s="701"/>
      <c r="F62" s="1672"/>
      <c r="G62" s="998">
        <f t="shared" ref="G62:G69" si="17">H62</f>
        <v>1.8499999999999999E-2</v>
      </c>
      <c r="H62" s="1001">
        <f t="shared" si="13"/>
        <v>1.8499999999999999E-2</v>
      </c>
      <c r="I62" s="3066">
        <v>0.26</v>
      </c>
      <c r="J62" s="999">
        <f t="shared" si="14"/>
        <v>3.6999999999999998E-2</v>
      </c>
      <c r="K62" s="999">
        <f t="shared" si="15"/>
        <v>1.8499999999999999E-2</v>
      </c>
      <c r="L62" s="999">
        <v>0</v>
      </c>
      <c r="M62" s="999">
        <f t="shared" si="16"/>
        <v>-1.8499999999999999E-2</v>
      </c>
      <c r="N62" s="999">
        <f t="shared" si="16"/>
        <v>-3.6999999999999998E-2</v>
      </c>
      <c r="AA62" s="1055"/>
      <c r="AB62" s="1055"/>
      <c r="AC62" s="1055"/>
      <c r="AD62" s="1055"/>
      <c r="AE62" s="1055"/>
      <c r="AF62" s="1055"/>
      <c r="AG62" s="1055"/>
      <c r="AH62" s="1055"/>
      <c r="AI62" s="1055"/>
      <c r="AJ62" s="1055"/>
      <c r="AK62" s="1055"/>
    </row>
    <row r="63" spans="1:37" s="1054" customFormat="1" ht="48">
      <c r="A63" s="3068" t="s">
        <v>3256</v>
      </c>
      <c r="B63" s="1259">
        <f>估价对象房地状况!C19</f>
        <v>0</v>
      </c>
      <c r="C63" s="1884" t="s">
        <v>3497</v>
      </c>
      <c r="D63" s="1000">
        <f t="shared" si="12"/>
        <v>0</v>
      </c>
      <c r="E63" s="701"/>
      <c r="F63" s="1672"/>
      <c r="G63" s="998">
        <f t="shared" si="17"/>
        <v>7.7999999999999996E-3</v>
      </c>
      <c r="H63" s="1001">
        <f t="shared" si="13"/>
        <v>7.7999999999999996E-3</v>
      </c>
      <c r="I63" s="3066">
        <v>0.11</v>
      </c>
      <c r="J63" s="999">
        <f t="shared" si="14"/>
        <v>1.5599999999999999E-2</v>
      </c>
      <c r="K63" s="999">
        <f t="shared" si="15"/>
        <v>7.7999999999999996E-3</v>
      </c>
      <c r="L63" s="999">
        <v>0</v>
      </c>
      <c r="M63" s="999">
        <f t="shared" si="16"/>
        <v>-7.7999999999999996E-3</v>
      </c>
      <c r="N63" s="999">
        <f t="shared" si="16"/>
        <v>-1.5599999999999999E-2</v>
      </c>
      <c r="AA63" s="1055"/>
      <c r="AB63" s="1055"/>
      <c r="AC63" s="1055"/>
      <c r="AD63" s="1055"/>
      <c r="AE63" s="1055"/>
      <c r="AF63" s="1055"/>
      <c r="AG63" s="1055"/>
      <c r="AH63" s="1055"/>
      <c r="AI63" s="1055"/>
      <c r="AJ63" s="1055"/>
      <c r="AK63" s="1055"/>
    </row>
    <row r="64" spans="1:37" s="1054" customFormat="1" ht="37.200000000000003">
      <c r="A64" s="1967" t="s">
        <v>2054</v>
      </c>
      <c r="B64" s="1971" t="s">
        <v>2055</v>
      </c>
      <c r="C64" s="1884" t="s">
        <v>3497</v>
      </c>
      <c r="D64" s="1000">
        <f t="shared" si="12"/>
        <v>0</v>
      </c>
      <c r="E64" s="701"/>
      <c r="F64" s="1672"/>
      <c r="G64" s="998">
        <f t="shared" si="17"/>
        <v>3.5000000000000001E-3</v>
      </c>
      <c r="H64" s="1001">
        <f t="shared" si="13"/>
        <v>3.5000000000000001E-3</v>
      </c>
      <c r="I64" s="3066">
        <v>0.05</v>
      </c>
      <c r="J64" s="999">
        <f t="shared" si="14"/>
        <v>7.0000000000000001E-3</v>
      </c>
      <c r="K64" s="999">
        <f t="shared" si="15"/>
        <v>3.5000000000000001E-3</v>
      </c>
      <c r="L64" s="999">
        <v>0</v>
      </c>
      <c r="M64" s="999">
        <f t="shared" si="16"/>
        <v>-3.5000000000000001E-3</v>
      </c>
      <c r="N64" s="999">
        <f t="shared" si="16"/>
        <v>-7.0000000000000001E-3</v>
      </c>
      <c r="AA64" s="1055"/>
      <c r="AB64" s="1055"/>
      <c r="AC64" s="1055"/>
      <c r="AD64" s="1055"/>
      <c r="AE64" s="1055"/>
      <c r="AF64" s="1055"/>
      <c r="AG64" s="1055"/>
      <c r="AH64" s="1055"/>
      <c r="AI64" s="1055"/>
      <c r="AJ64" s="1055"/>
      <c r="AK64" s="1055"/>
    </row>
    <row r="65" spans="1:37" s="1054" customFormat="1" ht="24">
      <c r="A65" s="1967" t="s">
        <v>2056</v>
      </c>
      <c r="B65" s="1259">
        <f>估价对象房地状况!C24</f>
        <v>0</v>
      </c>
      <c r="C65" s="1884" t="s">
        <v>3497</v>
      </c>
      <c r="D65" s="1000">
        <f t="shared" si="12"/>
        <v>0</v>
      </c>
      <c r="E65" s="701"/>
      <c r="F65" s="1672"/>
      <c r="G65" s="998">
        <f t="shared" si="17"/>
        <v>3.5000000000000001E-3</v>
      </c>
      <c r="H65" s="1001">
        <f t="shared" si="13"/>
        <v>3.5000000000000001E-3</v>
      </c>
      <c r="I65" s="3066">
        <v>0.05</v>
      </c>
      <c r="J65" s="999">
        <f t="shared" si="14"/>
        <v>7.0000000000000001E-3</v>
      </c>
      <c r="K65" s="999">
        <f t="shared" si="15"/>
        <v>3.5000000000000001E-3</v>
      </c>
      <c r="L65" s="999">
        <v>0</v>
      </c>
      <c r="M65" s="999">
        <f t="shared" si="16"/>
        <v>-3.5000000000000001E-3</v>
      </c>
      <c r="N65" s="999">
        <f t="shared" si="16"/>
        <v>-7.0000000000000001E-3</v>
      </c>
      <c r="AA65" s="1055"/>
      <c r="AB65" s="1055"/>
      <c r="AC65" s="1055"/>
      <c r="AD65" s="1055"/>
      <c r="AE65" s="1055"/>
      <c r="AF65" s="1055"/>
      <c r="AG65" s="1055"/>
      <c r="AH65" s="1055"/>
      <c r="AI65" s="1055"/>
      <c r="AJ65" s="1055"/>
      <c r="AK65" s="1055"/>
    </row>
    <row r="66" spans="1:37" s="1054" customFormat="1" ht="36">
      <c r="A66" s="1967" t="s">
        <v>2057</v>
      </c>
      <c r="B66" s="1972" t="s">
        <v>2058</v>
      </c>
      <c r="C66" s="1884" t="s">
        <v>3497</v>
      </c>
      <c r="D66" s="1000">
        <f t="shared" si="12"/>
        <v>0</v>
      </c>
      <c r="E66" s="701"/>
      <c r="F66" s="1672"/>
      <c r="G66" s="998">
        <f t="shared" si="17"/>
        <v>4.1999999999999997E-3</v>
      </c>
      <c r="H66" s="1001">
        <f t="shared" si="13"/>
        <v>4.1999999999999997E-3</v>
      </c>
      <c r="I66" s="3066">
        <v>0.06</v>
      </c>
      <c r="J66" s="999">
        <f t="shared" si="14"/>
        <v>8.3999999999999995E-3</v>
      </c>
      <c r="K66" s="999">
        <f t="shared" si="15"/>
        <v>4.1999999999999997E-3</v>
      </c>
      <c r="L66" s="999">
        <v>0</v>
      </c>
      <c r="M66" s="999">
        <f t="shared" si="16"/>
        <v>-4.1999999999999997E-3</v>
      </c>
      <c r="N66" s="999">
        <f t="shared" si="16"/>
        <v>-8.3999999999999995E-3</v>
      </c>
      <c r="AA66" s="1055"/>
      <c r="AB66" s="1055"/>
      <c r="AC66" s="1055"/>
      <c r="AD66" s="1055"/>
      <c r="AE66" s="1055"/>
      <c r="AF66" s="1055"/>
      <c r="AG66" s="1055"/>
      <c r="AH66" s="1055"/>
      <c r="AI66" s="1055"/>
      <c r="AJ66" s="1055"/>
      <c r="AK66" s="1055"/>
    </row>
    <row r="67" spans="1:37" s="1054" customFormat="1" ht="24">
      <c r="A67" s="1967" t="s">
        <v>2059</v>
      </c>
      <c r="B67" s="1237">
        <f>估价对象房地状况!C21</f>
        <v>0</v>
      </c>
      <c r="C67" s="1884" t="s">
        <v>3497</v>
      </c>
      <c r="D67" s="1000">
        <f t="shared" si="12"/>
        <v>0</v>
      </c>
      <c r="E67" s="701"/>
      <c r="F67" s="1672"/>
      <c r="G67" s="998">
        <f t="shared" si="17"/>
        <v>4.1999999999999997E-3</v>
      </c>
      <c r="H67" s="1001">
        <f t="shared" si="13"/>
        <v>4.1999999999999997E-3</v>
      </c>
      <c r="I67" s="3066">
        <v>0.06</v>
      </c>
      <c r="J67" s="999">
        <f t="shared" si="14"/>
        <v>8.3999999999999995E-3</v>
      </c>
      <c r="K67" s="999">
        <f t="shared" si="15"/>
        <v>4.1999999999999997E-3</v>
      </c>
      <c r="L67" s="999">
        <v>0</v>
      </c>
      <c r="M67" s="999">
        <f t="shared" si="16"/>
        <v>-4.1999999999999997E-3</v>
      </c>
      <c r="N67" s="999">
        <f t="shared" si="16"/>
        <v>-8.3999999999999995E-3</v>
      </c>
      <c r="AA67" s="1055"/>
      <c r="AB67" s="1055"/>
      <c r="AC67" s="1055"/>
      <c r="AD67" s="1055"/>
      <c r="AE67" s="1055"/>
      <c r="AF67" s="1055"/>
      <c r="AG67" s="1055"/>
      <c r="AH67" s="1055"/>
      <c r="AI67" s="1055"/>
      <c r="AJ67" s="1055"/>
      <c r="AK67" s="1055"/>
    </row>
    <row r="68" spans="1:37" s="1054" customFormat="1" ht="24">
      <c r="A68" s="1967" t="s">
        <v>2060</v>
      </c>
      <c r="B68" s="1237">
        <f>估价对象房地状况!C22</f>
        <v>0</v>
      </c>
      <c r="C68" s="1884" t="s">
        <v>3498</v>
      </c>
      <c r="D68" s="1000">
        <f t="shared" si="12"/>
        <v>6.4000000000000003E-3</v>
      </c>
      <c r="E68" s="701"/>
      <c r="F68" s="1672"/>
      <c r="G68" s="998">
        <f t="shared" si="17"/>
        <v>6.4000000000000003E-3</v>
      </c>
      <c r="H68" s="1001">
        <f t="shared" si="13"/>
        <v>6.4000000000000003E-3</v>
      </c>
      <c r="I68" s="3066">
        <v>0.09</v>
      </c>
      <c r="J68" s="999">
        <f t="shared" si="14"/>
        <v>1.2800000000000001E-2</v>
      </c>
      <c r="K68" s="999">
        <f t="shared" si="15"/>
        <v>6.4000000000000003E-3</v>
      </c>
      <c r="L68" s="999">
        <v>0</v>
      </c>
      <c r="M68" s="999">
        <f t="shared" si="16"/>
        <v>-6.4000000000000003E-3</v>
      </c>
      <c r="N68" s="999">
        <f t="shared" si="16"/>
        <v>-1.2800000000000001E-2</v>
      </c>
      <c r="AA68" s="1055"/>
      <c r="AB68" s="1055"/>
      <c r="AC68" s="1055"/>
      <c r="AD68" s="1055"/>
      <c r="AE68" s="1055"/>
      <c r="AF68" s="1055"/>
      <c r="AG68" s="1055"/>
      <c r="AH68" s="1055"/>
      <c r="AI68" s="1055"/>
      <c r="AJ68" s="1055"/>
      <c r="AK68" s="1055"/>
    </row>
    <row r="69" spans="1:37" s="1054" customFormat="1" ht="36.6" thickBot="1">
      <c r="A69" s="1974" t="s">
        <v>2061</v>
      </c>
      <c r="B69" s="1976">
        <f>估价对象房地状况!C20</f>
        <v>0</v>
      </c>
      <c r="C69" s="1884" t="s">
        <v>3496</v>
      </c>
      <c r="D69" s="1000">
        <f t="shared" si="12"/>
        <v>-5.0000000000000001E-3</v>
      </c>
      <c r="E69" s="702"/>
      <c r="F69" s="1672"/>
      <c r="G69" s="998">
        <f t="shared" si="17"/>
        <v>5.0000000000000001E-3</v>
      </c>
      <c r="H69" s="1001">
        <f t="shared" si="13"/>
        <v>5.0000000000000001E-3</v>
      </c>
      <c r="I69" s="3067">
        <v>7.0000000000000007E-2</v>
      </c>
      <c r="J69" s="999">
        <f t="shared" si="14"/>
        <v>0.01</v>
      </c>
      <c r="K69" s="999">
        <f t="shared" si="15"/>
        <v>5.0000000000000001E-3</v>
      </c>
      <c r="L69" s="999">
        <v>0</v>
      </c>
      <c r="M69" s="999">
        <f t="shared" si="16"/>
        <v>-5.0000000000000001E-3</v>
      </c>
      <c r="N69" s="999">
        <f t="shared" si="16"/>
        <v>-0.01</v>
      </c>
      <c r="AA69" s="1055"/>
      <c r="AB69" s="1055"/>
      <c r="AC69" s="1055"/>
      <c r="AD69" s="1055"/>
      <c r="AE69" s="1055"/>
      <c r="AF69" s="1055"/>
      <c r="AG69" s="1055"/>
      <c r="AH69" s="1055"/>
      <c r="AI69" s="1055"/>
      <c r="AJ69" s="1055"/>
      <c r="AK69" s="1055"/>
    </row>
    <row r="70" spans="1:37" s="1054" customFormat="1" ht="14.4">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7" t="s">
        <v>2044</v>
      </c>
      <c r="B71" s="1259"/>
      <c r="C71" s="1259" t="s">
        <v>2046</v>
      </c>
      <c r="D71" s="1259" t="s">
        <v>2047</v>
      </c>
      <c r="E71" s="699" t="s">
        <v>2048</v>
      </c>
      <c r="F71" s="1968" t="s">
        <v>2063</v>
      </c>
      <c r="G71" s="1259" t="s">
        <v>310</v>
      </c>
      <c r="H71" s="1969" t="s">
        <v>2050</v>
      </c>
      <c r="I71" s="1259"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c r="A72" s="1967" t="s">
        <v>2066</v>
      </c>
      <c r="B72" s="1970">
        <f>估价对象房地状况!C15</f>
        <v>0</v>
      </c>
      <c r="C72" s="1884"/>
      <c r="D72" s="1000">
        <f t="shared" ref="D72:D80" si="18">SUMIF($J$71:$N$71,C72,J72:N72)</f>
        <v>0</v>
      </c>
      <c r="E72" s="700">
        <f>ROUND(SUM(D72:D80),4)</f>
        <v>0</v>
      </c>
      <c r="F72" s="1672" t="str">
        <f>IF(E2="住宅",SUMIF(L1:L12,G2,N1:N12),"——")</f>
        <v>——</v>
      </c>
      <c r="G72" s="998"/>
      <c r="H72" s="1001" t="str">
        <f t="shared" ref="H72:H80" si="19">IFERROR(ROUNDDOWN($F$72*I72/2,4),"——")</f>
        <v>——</v>
      </c>
      <c r="I72" s="3066">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24">
      <c r="A73" s="1967" t="s">
        <v>2053</v>
      </c>
      <c r="B73" s="1259">
        <f>估价对象房地状况!C18</f>
        <v>0</v>
      </c>
      <c r="C73" s="1884"/>
      <c r="D73" s="1000">
        <f t="shared" si="18"/>
        <v>0</v>
      </c>
      <c r="E73" s="703"/>
      <c r="F73" s="1672"/>
      <c r="G73" s="998"/>
      <c r="H73" s="1001" t="str">
        <f t="shared" si="19"/>
        <v>——</v>
      </c>
      <c r="I73" s="3066">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1" customFormat="1" ht="48">
      <c r="A74" s="3068" t="s">
        <v>3256</v>
      </c>
      <c r="B74" s="1259">
        <f>估价对象房地状况!C19</f>
        <v>0</v>
      </c>
      <c r="C74" s="1884"/>
      <c r="D74" s="1000">
        <f t="shared" si="18"/>
        <v>0</v>
      </c>
      <c r="E74" s="703"/>
      <c r="F74" s="1672"/>
      <c r="G74" s="998"/>
      <c r="H74" s="1001" t="str">
        <f t="shared" si="19"/>
        <v>——</v>
      </c>
      <c r="I74" s="3066">
        <v>0.1</v>
      </c>
      <c r="J74" s="999">
        <f t="shared" si="20"/>
        <v>0</v>
      </c>
      <c r="K74" s="999">
        <f t="shared" si="21"/>
        <v>0</v>
      </c>
      <c r="L74" s="999">
        <v>0</v>
      </c>
      <c r="M74" s="999">
        <f t="shared" si="22"/>
        <v>0</v>
      </c>
      <c r="N74" s="999">
        <f t="shared" si="22"/>
        <v>0</v>
      </c>
      <c r="O74" s="1054"/>
      <c r="P74" s="1054"/>
      <c r="Q74" s="1054"/>
      <c r="AA74" s="1977"/>
      <c r="AB74" s="1055"/>
      <c r="AC74" s="1055"/>
      <c r="AD74" s="1055"/>
      <c r="AE74" s="1055"/>
      <c r="AF74" s="1055"/>
      <c r="AG74" s="1055"/>
      <c r="AH74" s="1977"/>
      <c r="AI74" s="1977"/>
      <c r="AJ74" s="1977"/>
      <c r="AK74" s="1977"/>
    </row>
    <row r="75" spans="1:37" ht="13.8">
      <c r="A75" s="1967" t="s">
        <v>2067</v>
      </c>
      <c r="B75" s="1259">
        <f>估价对象房地状况!C24</f>
        <v>0</v>
      </c>
      <c r="C75" s="1884"/>
      <c r="D75" s="1000">
        <f t="shared" si="18"/>
        <v>0</v>
      </c>
      <c r="E75" s="703"/>
      <c r="F75" s="1672"/>
      <c r="G75" s="998"/>
      <c r="H75" s="1001" t="str">
        <f t="shared" si="19"/>
        <v>——</v>
      </c>
      <c r="I75" s="3066">
        <v>0.05</v>
      </c>
      <c r="J75" s="999">
        <f t="shared" si="20"/>
        <v>0</v>
      </c>
      <c r="K75" s="999">
        <f t="shared" si="21"/>
        <v>0</v>
      </c>
      <c r="L75" s="999">
        <v>0</v>
      </c>
      <c r="M75" s="999">
        <f t="shared" si="22"/>
        <v>0</v>
      </c>
      <c r="N75" s="999">
        <f t="shared" si="22"/>
        <v>0</v>
      </c>
      <c r="O75" s="1054"/>
      <c r="P75" s="1054"/>
      <c r="Q75" s="1841"/>
      <c r="Z75" s="1842"/>
      <c r="AA75" s="1892"/>
      <c r="AG75" s="1056"/>
      <c r="AK75" s="1892"/>
    </row>
    <row r="76" spans="1:37" ht="24">
      <c r="A76" s="1967" t="s">
        <v>2059</v>
      </c>
      <c r="B76" s="1237">
        <f>估价对象房地状况!C21</f>
        <v>0</v>
      </c>
      <c r="C76" s="1884"/>
      <c r="D76" s="1000">
        <f t="shared" si="18"/>
        <v>0</v>
      </c>
      <c r="E76" s="703"/>
      <c r="F76" s="1672"/>
      <c r="G76" s="998"/>
      <c r="H76" s="1001" t="str">
        <f t="shared" si="19"/>
        <v>——</v>
      </c>
      <c r="I76" s="3066">
        <v>0.08</v>
      </c>
      <c r="J76" s="999">
        <f t="shared" si="20"/>
        <v>0</v>
      </c>
      <c r="K76" s="999">
        <f t="shared" si="21"/>
        <v>0</v>
      </c>
      <c r="L76" s="999">
        <v>0</v>
      </c>
      <c r="M76" s="999">
        <f t="shared" si="22"/>
        <v>0</v>
      </c>
      <c r="N76" s="999">
        <f t="shared" si="22"/>
        <v>0</v>
      </c>
      <c r="O76" s="1054"/>
      <c r="P76" s="1054"/>
      <c r="Z76" s="1842"/>
      <c r="AA76" s="1892"/>
      <c r="AG76" s="1056"/>
      <c r="AK76" s="1892"/>
    </row>
    <row r="77" spans="1:37" ht="24">
      <c r="A77" s="1967" t="s">
        <v>2060</v>
      </c>
      <c r="B77" s="1237">
        <f>估价对象房地状况!C22</f>
        <v>0</v>
      </c>
      <c r="C77" s="1884"/>
      <c r="D77" s="1000">
        <f t="shared" si="18"/>
        <v>0</v>
      </c>
      <c r="E77" s="703"/>
      <c r="F77" s="1672"/>
      <c r="G77" s="998"/>
      <c r="H77" s="1001" t="str">
        <f t="shared" si="19"/>
        <v>——</v>
      </c>
      <c r="I77" s="3066">
        <v>0.09</v>
      </c>
      <c r="J77" s="999">
        <f t="shared" si="20"/>
        <v>0</v>
      </c>
      <c r="K77" s="999">
        <f t="shared" si="21"/>
        <v>0</v>
      </c>
      <c r="L77" s="999">
        <v>0</v>
      </c>
      <c r="M77" s="999">
        <f t="shared" si="22"/>
        <v>0</v>
      </c>
      <c r="N77" s="999">
        <f t="shared" si="22"/>
        <v>0</v>
      </c>
      <c r="O77" s="1054"/>
      <c r="P77" s="1054"/>
      <c r="Z77" s="1842"/>
      <c r="AA77" s="1892"/>
      <c r="AG77" s="1056"/>
      <c r="AK77" s="1892"/>
    </row>
    <row r="78" spans="1:37" ht="36">
      <c r="A78" s="1967" t="s">
        <v>2057</v>
      </c>
      <c r="B78" s="1972" t="s">
        <v>2058</v>
      </c>
      <c r="C78" s="1884"/>
      <c r="D78" s="1000">
        <f t="shared" si="18"/>
        <v>0</v>
      </c>
      <c r="E78" s="703"/>
      <c r="F78" s="1672"/>
      <c r="G78" s="998"/>
      <c r="H78" s="1001" t="str">
        <f t="shared" si="19"/>
        <v>——</v>
      </c>
      <c r="I78" s="3066">
        <v>0.05</v>
      </c>
      <c r="J78" s="999">
        <f t="shared" si="20"/>
        <v>0</v>
      </c>
      <c r="K78" s="999">
        <f t="shared" si="21"/>
        <v>0</v>
      </c>
      <c r="L78" s="999">
        <v>0</v>
      </c>
      <c r="M78" s="999">
        <f t="shared" si="22"/>
        <v>0</v>
      </c>
      <c r="N78" s="999">
        <f t="shared" si="22"/>
        <v>0</v>
      </c>
      <c r="O78" s="1841"/>
      <c r="P78" s="1841"/>
      <c r="Z78" s="1842"/>
      <c r="AA78" s="1892"/>
      <c r="AG78" s="1056"/>
      <c r="AK78" s="1892"/>
    </row>
    <row r="79" spans="1:37" ht="36">
      <c r="A79" s="1967" t="s">
        <v>2061</v>
      </c>
      <c r="B79" s="1970">
        <f>估价对象房地状况!C20</f>
        <v>0</v>
      </c>
      <c r="C79" s="1884"/>
      <c r="D79" s="1000">
        <f t="shared" si="18"/>
        <v>0</v>
      </c>
      <c r="E79" s="703"/>
      <c r="F79" s="1672"/>
      <c r="G79" s="998"/>
      <c r="H79" s="1001" t="str">
        <f t="shared" si="19"/>
        <v>——</v>
      </c>
      <c r="I79" s="3066">
        <v>0.12</v>
      </c>
      <c r="J79" s="999">
        <f t="shared" si="20"/>
        <v>0</v>
      </c>
      <c r="K79" s="999">
        <f t="shared" si="21"/>
        <v>0</v>
      </c>
      <c r="L79" s="999">
        <v>0</v>
      </c>
      <c r="M79" s="999">
        <f t="shared" si="22"/>
        <v>0</v>
      </c>
      <c r="N79" s="999">
        <f t="shared" si="22"/>
        <v>0</v>
      </c>
      <c r="Z79" s="1842"/>
      <c r="AA79" s="1892"/>
      <c r="AG79" s="1056"/>
      <c r="AK79" s="1892"/>
    </row>
    <row r="80" spans="1:37" ht="36.6" thickBot="1">
      <c r="A80" s="1974" t="s">
        <v>2068</v>
      </c>
      <c r="B80" s="1978"/>
      <c r="C80" s="1884"/>
      <c r="D80" s="1000">
        <f t="shared" si="18"/>
        <v>0</v>
      </c>
      <c r="E80" s="704"/>
      <c r="F80" s="1672"/>
      <c r="G80" s="998"/>
      <c r="H80" s="1001" t="str">
        <f t="shared" si="19"/>
        <v>——</v>
      </c>
      <c r="I80" s="3067">
        <v>0.05</v>
      </c>
      <c r="J80" s="999">
        <f t="shared" si="20"/>
        <v>0</v>
      </c>
      <c r="K80" s="999">
        <f t="shared" si="21"/>
        <v>0</v>
      </c>
      <c r="L80" s="999">
        <v>0</v>
      </c>
      <c r="M80" s="999">
        <f t="shared" si="22"/>
        <v>0</v>
      </c>
      <c r="N80" s="999">
        <f t="shared" si="22"/>
        <v>0</v>
      </c>
      <c r="Z80" s="1842"/>
      <c r="AA80" s="1892"/>
      <c r="AG80" s="1056"/>
      <c r="AK80" s="1892"/>
    </row>
    <row r="81" spans="1:37" ht="14.4">
      <c r="A81" s="1964" t="s">
        <v>2069</v>
      </c>
      <c r="B81" s="1965">
        <f>1+E83</f>
        <v>1</v>
      </c>
      <c r="C81" s="697"/>
      <c r="D81" s="697"/>
      <c r="E81" s="698"/>
      <c r="F81" s="1966"/>
      <c r="G81" s="3"/>
      <c r="H81" s="3"/>
      <c r="I81" s="3"/>
      <c r="J81" s="4"/>
      <c r="K81" s="4"/>
      <c r="L81" s="4"/>
      <c r="M81" s="4"/>
      <c r="N81" s="4"/>
      <c r="Z81" s="1842"/>
      <c r="AA81" s="1892"/>
      <c r="AG81" s="1056"/>
      <c r="AK81" s="1892"/>
    </row>
    <row r="82" spans="1:37" ht="25.2">
      <c r="A82" s="1967" t="s">
        <v>2044</v>
      </c>
      <c r="B82" s="1259"/>
      <c r="C82" s="1259" t="s">
        <v>2046</v>
      </c>
      <c r="D82" s="1259" t="s">
        <v>2047</v>
      </c>
      <c r="E82" s="699" t="s">
        <v>2048</v>
      </c>
      <c r="F82" s="1968" t="s">
        <v>2063</v>
      </c>
      <c r="G82" s="1259" t="s">
        <v>310</v>
      </c>
      <c r="H82" s="1969" t="s">
        <v>2050</v>
      </c>
      <c r="I82" s="1259" t="s">
        <v>2051</v>
      </c>
      <c r="J82" s="528" t="s">
        <v>1721</v>
      </c>
      <c r="K82" s="528" t="s">
        <v>1722</v>
      </c>
      <c r="L82" s="528" t="s">
        <v>1723</v>
      </c>
      <c r="M82" s="528" t="s">
        <v>1724</v>
      </c>
      <c r="N82" s="528" t="s">
        <v>1725</v>
      </c>
      <c r="Z82" s="1842"/>
      <c r="AA82" s="1892"/>
      <c r="AG82" s="1056"/>
      <c r="AK82" s="1892"/>
    </row>
    <row r="83" spans="1:37" ht="24">
      <c r="A83" s="1967" t="s">
        <v>2070</v>
      </c>
      <c r="B83" s="1259">
        <f>估价对象房地状况!G15</f>
        <v>0</v>
      </c>
      <c r="C83" s="1884"/>
      <c r="D83" s="1000">
        <f t="shared" ref="D83:D90" si="23">SUMIF($J$82:$N$82,C83,J83:N83)</f>
        <v>0</v>
      </c>
      <c r="E83" s="700">
        <f>ROUND(SUM(D83:D90),4)</f>
        <v>0</v>
      </c>
      <c r="F83" s="1672" t="str">
        <f>IF(E2="工业",SUMIF(L1:L12,G2,N1:N12),"——")</f>
        <v>——</v>
      </c>
      <c r="G83" s="998"/>
      <c r="H83" s="1001" t="str">
        <f t="shared" ref="H83:H90" si="24">IFERROR(ROUNDDOWN($F$83*I83/2,4),"——")</f>
        <v>——</v>
      </c>
      <c r="I83" s="3066">
        <v>0.26</v>
      </c>
      <c r="J83" s="999">
        <f t="shared" ref="J83:J90" si="25">K83+$G83</f>
        <v>0</v>
      </c>
      <c r="K83" s="999">
        <f t="shared" ref="K83:K90" si="26">$L83+$G83</f>
        <v>0</v>
      </c>
      <c r="L83" s="999">
        <v>0</v>
      </c>
      <c r="M83" s="999">
        <f t="shared" ref="M83:N90" si="27">L83-$G83</f>
        <v>0</v>
      </c>
      <c r="N83" s="999">
        <f t="shared" si="27"/>
        <v>0</v>
      </c>
      <c r="Z83" s="1842"/>
      <c r="AA83" s="1892"/>
      <c r="AG83" s="1056"/>
      <c r="AK83" s="1892"/>
    </row>
    <row r="84" spans="1:37" ht="24">
      <c r="A84" s="1967" t="s">
        <v>2053</v>
      </c>
      <c r="B84" s="1259">
        <f>估价对象房地状况!G16</f>
        <v>0</v>
      </c>
      <c r="C84" s="1884"/>
      <c r="D84" s="1000">
        <f t="shared" si="23"/>
        <v>0</v>
      </c>
      <c r="E84" s="703"/>
      <c r="F84" s="1672"/>
      <c r="G84" s="998"/>
      <c r="H84" s="1001" t="str">
        <f t="shared" si="24"/>
        <v>——</v>
      </c>
      <c r="I84" s="3066">
        <v>0.3</v>
      </c>
      <c r="J84" s="999">
        <f t="shared" si="25"/>
        <v>0</v>
      </c>
      <c r="K84" s="999">
        <f t="shared" si="26"/>
        <v>0</v>
      </c>
      <c r="L84" s="999">
        <v>0</v>
      </c>
      <c r="M84" s="999">
        <f t="shared" si="27"/>
        <v>0</v>
      </c>
      <c r="N84" s="999">
        <f t="shared" si="27"/>
        <v>0</v>
      </c>
      <c r="Z84" s="1842"/>
      <c r="AA84" s="1892"/>
      <c r="AG84" s="1056"/>
      <c r="AK84" s="1892"/>
    </row>
    <row r="85" spans="1:37" ht="48">
      <c r="A85" s="3068" t="s">
        <v>3257</v>
      </c>
      <c r="B85" s="1259">
        <f>估价对象房地状况!G17</f>
        <v>0</v>
      </c>
      <c r="C85" s="1884"/>
      <c r="D85" s="1000">
        <f t="shared" si="23"/>
        <v>0</v>
      </c>
      <c r="E85" s="703"/>
      <c r="F85" s="1672"/>
      <c r="G85" s="998"/>
      <c r="H85" s="1001" t="str">
        <f t="shared" si="24"/>
        <v>——</v>
      </c>
      <c r="I85" s="3066">
        <v>0.1</v>
      </c>
      <c r="J85" s="999">
        <f t="shared" si="25"/>
        <v>0</v>
      </c>
      <c r="K85" s="999">
        <f t="shared" si="26"/>
        <v>0</v>
      </c>
      <c r="L85" s="999">
        <v>0</v>
      </c>
      <c r="M85" s="999">
        <f t="shared" si="27"/>
        <v>0</v>
      </c>
      <c r="N85" s="999">
        <f t="shared" si="27"/>
        <v>0</v>
      </c>
      <c r="Z85" s="1842"/>
      <c r="AA85" s="1892"/>
      <c r="AG85" s="1056"/>
      <c r="AK85" s="1892"/>
    </row>
    <row r="86" spans="1:37" ht="13.8">
      <c r="A86" s="1967" t="s">
        <v>2067</v>
      </c>
      <c r="B86" s="1259">
        <f>估价对象房地状况!G22</f>
        <v>0</v>
      </c>
      <c r="C86" s="1884"/>
      <c r="D86" s="1000">
        <f t="shared" si="23"/>
        <v>0</v>
      </c>
      <c r="E86" s="703"/>
      <c r="F86" s="1672"/>
      <c r="G86" s="998"/>
      <c r="H86" s="1001" t="str">
        <f t="shared" si="24"/>
        <v>——</v>
      </c>
      <c r="I86" s="3066">
        <v>0.05</v>
      </c>
      <c r="J86" s="999">
        <f t="shared" si="25"/>
        <v>0</v>
      </c>
      <c r="K86" s="999">
        <f t="shared" si="26"/>
        <v>0</v>
      </c>
      <c r="L86" s="999">
        <v>0</v>
      </c>
      <c r="M86" s="999">
        <f t="shared" si="27"/>
        <v>0</v>
      </c>
      <c r="N86" s="999">
        <f t="shared" si="27"/>
        <v>0</v>
      </c>
      <c r="Z86" s="1842"/>
      <c r="AA86" s="1892"/>
      <c r="AG86" s="1056"/>
      <c r="AK86" s="1892"/>
    </row>
    <row r="87" spans="1:37" ht="24">
      <c r="A87" s="1967" t="s">
        <v>2059</v>
      </c>
      <c r="B87" s="1237">
        <f>估价对象房地状况!G19</f>
        <v>0</v>
      </c>
      <c r="C87" s="1884"/>
      <c r="D87" s="1000">
        <f t="shared" si="23"/>
        <v>0</v>
      </c>
      <c r="E87" s="703"/>
      <c r="F87" s="1672"/>
      <c r="G87" s="998"/>
      <c r="H87" s="1001" t="str">
        <f t="shared" si="24"/>
        <v>——</v>
      </c>
      <c r="I87" s="3066">
        <v>0.06</v>
      </c>
      <c r="J87" s="999">
        <f t="shared" si="25"/>
        <v>0</v>
      </c>
      <c r="K87" s="999">
        <f t="shared" si="26"/>
        <v>0</v>
      </c>
      <c r="L87" s="999">
        <v>0</v>
      </c>
      <c r="M87" s="999">
        <f t="shared" si="27"/>
        <v>0</v>
      </c>
      <c r="N87" s="999">
        <f t="shared" si="27"/>
        <v>0</v>
      </c>
    </row>
    <row r="88" spans="1:37" ht="24">
      <c r="A88" s="1967" t="s">
        <v>2060</v>
      </c>
      <c r="B88" s="1237">
        <f>估价对象房地状况!G20</f>
        <v>0</v>
      </c>
      <c r="C88" s="1884"/>
      <c r="D88" s="1000">
        <f t="shared" si="23"/>
        <v>0</v>
      </c>
      <c r="E88" s="703"/>
      <c r="F88" s="1672"/>
      <c r="G88" s="998"/>
      <c r="H88" s="1001" t="str">
        <f t="shared" si="24"/>
        <v>——</v>
      </c>
      <c r="I88" s="3066">
        <v>0.12</v>
      </c>
      <c r="J88" s="999">
        <f t="shared" si="25"/>
        <v>0</v>
      </c>
      <c r="K88" s="999">
        <f t="shared" si="26"/>
        <v>0</v>
      </c>
      <c r="L88" s="999">
        <v>0</v>
      </c>
      <c r="M88" s="999">
        <f t="shared" si="27"/>
        <v>0</v>
      </c>
      <c r="N88" s="999">
        <f t="shared" si="27"/>
        <v>0</v>
      </c>
    </row>
    <row r="89" spans="1:37" ht="36">
      <c r="A89" s="1967" t="s">
        <v>2057</v>
      </c>
      <c r="B89" s="1972" t="s">
        <v>2071</v>
      </c>
      <c r="C89" s="1884"/>
      <c r="D89" s="1000">
        <f t="shared" si="23"/>
        <v>0</v>
      </c>
      <c r="E89" s="703"/>
      <c r="F89" s="1672"/>
      <c r="G89" s="998"/>
      <c r="H89" s="1001" t="str">
        <f t="shared" si="24"/>
        <v>——</v>
      </c>
      <c r="I89" s="3066">
        <v>0.06</v>
      </c>
      <c r="J89" s="999">
        <f t="shared" si="25"/>
        <v>0</v>
      </c>
      <c r="K89" s="999">
        <f t="shared" si="26"/>
        <v>0</v>
      </c>
      <c r="L89" s="999">
        <v>0</v>
      </c>
      <c r="M89" s="999">
        <f t="shared" si="27"/>
        <v>0</v>
      </c>
      <c r="N89" s="999">
        <f t="shared" si="27"/>
        <v>0</v>
      </c>
    </row>
    <row r="90" spans="1:37" ht="14.4" thickBot="1">
      <c r="A90" s="1974" t="s">
        <v>2072</v>
      </c>
      <c r="B90" s="1979">
        <f>估价对象房地状况!G18</f>
        <v>0</v>
      </c>
      <c r="C90" s="1884"/>
      <c r="D90" s="1000">
        <f t="shared" si="23"/>
        <v>0</v>
      </c>
      <c r="E90" s="704"/>
      <c r="F90" s="1672"/>
      <c r="G90" s="998"/>
      <c r="H90" s="1001" t="str">
        <f t="shared" si="24"/>
        <v>——</v>
      </c>
      <c r="I90" s="3067">
        <v>0.05</v>
      </c>
      <c r="J90" s="999">
        <f t="shared" si="25"/>
        <v>0</v>
      </c>
      <c r="K90" s="999">
        <f t="shared" si="26"/>
        <v>0</v>
      </c>
      <c r="L90" s="999">
        <v>0</v>
      </c>
      <c r="M90" s="999">
        <f t="shared" si="27"/>
        <v>0</v>
      </c>
      <c r="N90" s="999">
        <f t="shared" si="27"/>
        <v>0</v>
      </c>
    </row>
    <row r="91" spans="1:37" ht="13.8">
      <c r="A91" s="3076" t="s">
        <v>2600</v>
      </c>
      <c r="B91" s="3077">
        <f>1+E93</f>
        <v>1</v>
      </c>
      <c r="C91" s="3070"/>
      <c r="D91" s="3071"/>
      <c r="E91" s="1672"/>
      <c r="F91" s="1672"/>
      <c r="G91" s="3072"/>
      <c r="H91" s="3073"/>
      <c r="I91" s="3074"/>
      <c r="J91" s="3075"/>
      <c r="K91" s="3075"/>
      <c r="L91" s="3075"/>
      <c r="M91" s="3075"/>
      <c r="N91" s="3075"/>
    </row>
    <row r="92" spans="1:37" ht="25.2">
      <c r="A92" s="3078" t="s">
        <v>3258</v>
      </c>
      <c r="B92" s="2307"/>
      <c r="C92" s="2307" t="s">
        <v>3267</v>
      </c>
      <c r="D92" s="2307" t="s">
        <v>3268</v>
      </c>
      <c r="E92" s="3050" t="s">
        <v>3269</v>
      </c>
      <c r="F92" s="3080" t="s">
        <v>3270</v>
      </c>
      <c r="G92" s="2307" t="s">
        <v>3271</v>
      </c>
      <c r="H92" s="3087" t="s">
        <v>3274</v>
      </c>
      <c r="I92" s="2307" t="s">
        <v>3275</v>
      </c>
      <c r="J92" s="2147" t="s">
        <v>3276</v>
      </c>
      <c r="K92" s="2147" t="s">
        <v>3277</v>
      </c>
      <c r="L92" s="2147" t="s">
        <v>3278</v>
      </c>
      <c r="M92" s="2147" t="s">
        <v>3279</v>
      </c>
      <c r="N92" s="2147" t="s">
        <v>3280</v>
      </c>
    </row>
    <row r="93" spans="1:37" ht="24">
      <c r="A93" s="3068" t="s">
        <v>3259</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24">
      <c r="A94" s="3078" t="s">
        <v>3260</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48">
      <c r="A95" s="3068" t="s">
        <v>3256</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7.200000000000003">
      <c r="A96" s="3078" t="s">
        <v>3261</v>
      </c>
      <c r="B96" s="3084" t="s">
        <v>3272</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3262</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36">
      <c r="A98" s="3078" t="s">
        <v>3263</v>
      </c>
      <c r="B98" s="3085" t="s">
        <v>3273</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3264</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3265</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36.6" thickBot="1">
      <c r="A101" s="3079" t="s">
        <v>3266</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518" t="s">
        <v>3281</v>
      </c>
      <c r="B103" s="3518"/>
      <c r="C103" s="3518"/>
      <c r="D103" s="3518"/>
      <c r="E103" s="3518"/>
      <c r="F103" s="3518"/>
      <c r="G103" s="3518"/>
      <c r="H103" s="3518"/>
      <c r="I103" s="3518"/>
      <c r="J103" s="3518"/>
      <c r="K103" s="1664"/>
      <c r="L103" s="1664"/>
      <c r="M103" s="1664"/>
      <c r="N103" s="1664"/>
    </row>
    <row r="104" spans="1:14">
      <c r="A104" s="3519" t="s">
        <v>3282</v>
      </c>
      <c r="B104" s="3519" t="s">
        <v>3283</v>
      </c>
      <c r="C104" s="3088" t="s">
        <v>3284</v>
      </c>
      <c r="D104" s="3089"/>
      <c r="E104" s="3089"/>
      <c r="F104" s="3089"/>
      <c r="G104" s="3089"/>
      <c r="H104" s="3089"/>
      <c r="I104" s="3089"/>
      <c r="J104" s="3090"/>
      <c r="K104" s="3091"/>
      <c r="L104" s="3091"/>
      <c r="M104" s="3091"/>
      <c r="N104" s="3091"/>
    </row>
    <row r="105" spans="1:14">
      <c r="A105" s="3519"/>
      <c r="B105" s="3519"/>
      <c r="C105" s="3092" t="s">
        <v>3285</v>
      </c>
      <c r="D105" s="3092" t="s">
        <v>3286</v>
      </c>
      <c r="E105" s="3092" t="s">
        <v>3287</v>
      </c>
      <c r="F105" s="3092" t="s">
        <v>3288</v>
      </c>
      <c r="G105" s="3092" t="s">
        <v>3289</v>
      </c>
      <c r="H105" s="3092" t="s">
        <v>3290</v>
      </c>
      <c r="I105" s="3092" t="s">
        <v>3291</v>
      </c>
      <c r="J105" s="3092" t="s">
        <v>3292</v>
      </c>
      <c r="K105" s="3092" t="s">
        <v>3293</v>
      </c>
      <c r="L105" s="3092" t="s">
        <v>3294</v>
      </c>
      <c r="M105" s="3092" t="s">
        <v>3295</v>
      </c>
      <c r="N105" s="3092" t="s">
        <v>3296</v>
      </c>
    </row>
    <row r="106" spans="1:14">
      <c r="A106" s="3505" t="s">
        <v>3297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0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0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0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0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06"/>
      <c r="B111" s="3092" t="s">
        <v>3255</v>
      </c>
      <c r="C111" s="3093">
        <f>$I$3</f>
        <v>0</v>
      </c>
      <c r="D111" s="3093">
        <f t="shared" ref="D111:M111" si="33">$I$3</f>
        <v>0</v>
      </c>
      <c r="E111" s="3093">
        <f t="shared" si="33"/>
        <v>0</v>
      </c>
      <c r="F111" s="3093">
        <f t="shared" si="33"/>
        <v>0</v>
      </c>
      <c r="G111" s="3093">
        <f t="shared" si="33"/>
        <v>0</v>
      </c>
      <c r="H111" s="3093">
        <f t="shared" si="33"/>
        <v>0</v>
      </c>
      <c r="I111" s="3093">
        <f t="shared" si="33"/>
        <v>0</v>
      </c>
      <c r="J111" s="3093">
        <f t="shared" si="33"/>
        <v>0</v>
      </c>
      <c r="K111" s="3093">
        <f t="shared" si="33"/>
        <v>0</v>
      </c>
      <c r="L111" s="3093">
        <f t="shared" si="33"/>
        <v>0</v>
      </c>
      <c r="M111" s="3093">
        <f t="shared" si="33"/>
        <v>0</v>
      </c>
      <c r="N111" s="3093">
        <f>$I$3</f>
        <v>0</v>
      </c>
    </row>
    <row r="112" spans="1:14">
      <c r="A112" s="3507"/>
      <c r="B112" s="3092">
        <v>6</v>
      </c>
      <c r="C112" s="3087">
        <f>(-0.5556*(C111^2)-0.2719*C111+8944)*(10^(-4))</f>
        <v>0.89440000000000008</v>
      </c>
      <c r="D112" s="3087">
        <f>(-0.5556*(D111^2)-0.2719*D111+8944)*(10^(-4))</f>
        <v>0.89440000000000008</v>
      </c>
      <c r="E112" s="3087">
        <f>(-0.7912*(E111^2)-11.3794*E111+8482)*(10^(-4))</f>
        <v>0.84820000000000007</v>
      </c>
      <c r="F112" s="3087">
        <f t="shared" ref="F112:I112" si="34">(-0.7912*(F111^2)-11.3794*F111+8482)*(10^(-4))</f>
        <v>0.84820000000000007</v>
      </c>
      <c r="G112" s="3087">
        <f t="shared" si="34"/>
        <v>0.84820000000000007</v>
      </c>
      <c r="H112" s="3087">
        <f t="shared" si="34"/>
        <v>0.84820000000000007</v>
      </c>
      <c r="I112" s="3087">
        <f t="shared" si="34"/>
        <v>0.84820000000000007</v>
      </c>
      <c r="J112" s="3087">
        <f>(-0.989*(J111^2)-63.78*J111+7771)*(10^(-4))</f>
        <v>0.77710000000000001</v>
      </c>
      <c r="K112" s="3087">
        <f t="shared" ref="K112:N112" si="35">(-0.989*(K111^2)-63.78*K111+7771)*(10^(-4))</f>
        <v>0.77710000000000001</v>
      </c>
      <c r="L112" s="3087">
        <f t="shared" si="35"/>
        <v>0.77710000000000001</v>
      </c>
      <c r="M112" s="3087">
        <f t="shared" si="35"/>
        <v>0.77710000000000001</v>
      </c>
      <c r="N112" s="3087">
        <f t="shared" si="35"/>
        <v>0.77710000000000001</v>
      </c>
    </row>
    <row r="113" spans="1:14">
      <c r="A113" s="3508" t="s">
        <v>3298</v>
      </c>
      <c r="B113" s="3508"/>
      <c r="C113" s="3508"/>
      <c r="D113" s="3508"/>
      <c r="E113" s="3508"/>
      <c r="F113" s="3508"/>
      <c r="G113" s="3508"/>
      <c r="H113" s="3508"/>
      <c r="I113" s="3508"/>
      <c r="J113" s="3508"/>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3299</v>
      </c>
      <c r="B116" s="3112">
        <f>G3</f>
        <v>1</v>
      </c>
      <c r="C116" s="3097" t="s">
        <v>3300</v>
      </c>
      <c r="D116" s="3098">
        <f>SUMPRODUCT((A118:A122=F116)*(B117:M117=H116)*B118:M122)</f>
        <v>0.81979999999999997</v>
      </c>
      <c r="E116" s="160" t="s">
        <v>3301</v>
      </c>
      <c r="F116" s="3099" t="str">
        <f>E2</f>
        <v>办公</v>
      </c>
      <c r="G116" s="160" t="s">
        <v>3302</v>
      </c>
      <c r="H116" s="3099" t="str">
        <f>G2</f>
        <v>八级</v>
      </c>
      <c r="I116" s="160"/>
      <c r="J116" s="3100"/>
      <c r="K116" s="3100"/>
      <c r="L116" s="3100"/>
      <c r="M116" s="3100"/>
      <c r="N116" s="3095"/>
    </row>
    <row r="117" spans="1:14">
      <c r="A117" s="3101"/>
      <c r="B117" s="3102" t="s">
        <v>3303</v>
      </c>
      <c r="C117" s="3102" t="s">
        <v>3304</v>
      </c>
      <c r="D117" s="3102" t="s">
        <v>3305</v>
      </c>
      <c r="E117" s="3103" t="s">
        <v>3306</v>
      </c>
      <c r="F117" s="3103" t="s">
        <v>3307</v>
      </c>
      <c r="G117" s="3103" t="s">
        <v>3308</v>
      </c>
      <c r="H117" s="3104" t="s">
        <v>3309</v>
      </c>
      <c r="I117" s="3104" t="s">
        <v>3310</v>
      </c>
      <c r="J117" s="3105" t="s">
        <v>3311</v>
      </c>
      <c r="K117" s="3105" t="s">
        <v>3312</v>
      </c>
      <c r="L117" s="3105" t="s">
        <v>3313</v>
      </c>
      <c r="M117" s="3106" t="s">
        <v>3314</v>
      </c>
      <c r="N117" s="3095"/>
    </row>
    <row r="118" spans="1:14">
      <c r="A118" s="3055" t="s">
        <v>3315</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6">I118</f>
        <v>0.8306</v>
      </c>
      <c r="K118" s="3087">
        <f t="shared" si="36"/>
        <v>0.8306</v>
      </c>
      <c r="L118" s="3087">
        <f t="shared" si="36"/>
        <v>0.8306</v>
      </c>
      <c r="M118" s="3107">
        <f t="shared" si="36"/>
        <v>0.8306</v>
      </c>
      <c r="N118" s="3095"/>
    </row>
    <row r="119" spans="1:14">
      <c r="A119" s="3055" t="s">
        <v>3316</v>
      </c>
      <c r="B119" s="3087">
        <f>ROUND(0.993-0.0112*B116,4)</f>
        <v>0.98180000000000001</v>
      </c>
      <c r="C119" s="3087">
        <f>B119</f>
        <v>0.98180000000000001</v>
      </c>
      <c r="D119" s="3087">
        <f>ROUND(0.9415-0.0142*B116,4)</f>
        <v>0.92730000000000001</v>
      </c>
      <c r="E119" s="3087">
        <f t="shared" ref="E119:H120" si="37">D119</f>
        <v>0.92730000000000001</v>
      </c>
      <c r="F119" s="3087">
        <f t="shared" si="37"/>
        <v>0.92730000000000001</v>
      </c>
      <c r="G119" s="3087">
        <f t="shared" si="37"/>
        <v>0.92730000000000001</v>
      </c>
      <c r="H119" s="3087">
        <f t="shared" si="37"/>
        <v>0.92730000000000001</v>
      </c>
      <c r="I119" s="3087">
        <f>ROUND(0.838-0.0182*B116,4)</f>
        <v>0.81979999999999997</v>
      </c>
      <c r="J119" s="3087">
        <f t="shared" si="36"/>
        <v>0.81979999999999997</v>
      </c>
      <c r="K119" s="3087">
        <f t="shared" si="36"/>
        <v>0.81979999999999997</v>
      </c>
      <c r="L119" s="3087">
        <f t="shared" si="36"/>
        <v>0.81979999999999997</v>
      </c>
      <c r="M119" s="3107">
        <f t="shared" si="36"/>
        <v>0.81979999999999997</v>
      </c>
      <c r="N119" s="3095"/>
    </row>
    <row r="120" spans="1:14">
      <c r="A120" s="3055" t="s">
        <v>3317</v>
      </c>
      <c r="B120" s="3087">
        <f>ROUND(0.9448-0.0115*B116,4)</f>
        <v>0.93330000000000002</v>
      </c>
      <c r="C120" s="3087">
        <f>B120</f>
        <v>0.93330000000000002</v>
      </c>
      <c r="D120" s="3087">
        <f>ROUND(0.937-0.0145*B116,4)</f>
        <v>0.92249999999999999</v>
      </c>
      <c r="E120" s="3087">
        <f t="shared" si="37"/>
        <v>0.92249999999999999</v>
      </c>
      <c r="F120" s="3087">
        <f t="shared" si="37"/>
        <v>0.92249999999999999</v>
      </c>
      <c r="G120" s="3087">
        <f t="shared" si="37"/>
        <v>0.92249999999999999</v>
      </c>
      <c r="H120" s="3087">
        <f t="shared" si="37"/>
        <v>0.92249999999999999</v>
      </c>
      <c r="I120" s="3087">
        <f>ROUND(0.7965-0.0185*B116,4)</f>
        <v>0.77800000000000002</v>
      </c>
      <c r="J120" s="3087">
        <f t="shared" si="36"/>
        <v>0.77800000000000002</v>
      </c>
      <c r="K120" s="3087">
        <f t="shared" si="36"/>
        <v>0.77800000000000002</v>
      </c>
      <c r="L120" s="3087">
        <f t="shared" si="36"/>
        <v>0.77800000000000002</v>
      </c>
      <c r="M120" s="3107">
        <f t="shared" si="36"/>
        <v>0.77800000000000002</v>
      </c>
      <c r="N120" s="3095"/>
    </row>
    <row r="121" spans="1:14" ht="13.8" thickBot="1">
      <c r="A121" s="3108" t="s">
        <v>3318</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6"/>
        <v>0.57150000000000001</v>
      </c>
      <c r="K121" s="3109">
        <f t="shared" si="36"/>
        <v>0.57150000000000001</v>
      </c>
      <c r="L121" s="3109">
        <f t="shared" si="36"/>
        <v>0.57150000000000001</v>
      </c>
      <c r="M121" s="3110">
        <f t="shared" si="36"/>
        <v>0.57150000000000001</v>
      </c>
      <c r="N121" s="3095"/>
    </row>
    <row r="122" spans="1:14">
      <c r="A122" s="3111" t="s">
        <v>2600</v>
      </c>
      <c r="B122" s="3087">
        <f>ROUND(0.9404-0.0106*B116,4)</f>
        <v>0.92979999999999996</v>
      </c>
      <c r="C122" s="3087">
        <f>B122</f>
        <v>0.92979999999999996</v>
      </c>
      <c r="D122" s="3087">
        <f>ROUND(0.8955-0.0135*B116,4)</f>
        <v>0.88200000000000001</v>
      </c>
      <c r="E122" s="3087">
        <f t="shared" ref="E122:H122" si="38">D122</f>
        <v>0.88200000000000001</v>
      </c>
      <c r="F122" s="3087">
        <f t="shared" si="38"/>
        <v>0.88200000000000001</v>
      </c>
      <c r="G122" s="3087">
        <f t="shared" si="38"/>
        <v>0.88200000000000001</v>
      </c>
      <c r="H122" s="3087">
        <f t="shared" si="38"/>
        <v>0.88200000000000001</v>
      </c>
      <c r="I122" s="3087">
        <f>ROUND(0.7632-0.0166*B116,4)</f>
        <v>0.74660000000000004</v>
      </c>
      <c r="J122" s="3087">
        <f t="shared" si="36"/>
        <v>0.74660000000000004</v>
      </c>
      <c r="K122" s="3087">
        <f t="shared" si="36"/>
        <v>0.74660000000000004</v>
      </c>
      <c r="L122" s="3087">
        <f t="shared" si="36"/>
        <v>0.74660000000000004</v>
      </c>
      <c r="M122" s="3107">
        <f t="shared" si="36"/>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7.399999999999999">
      <c r="A3" s="3212" t="str">
        <f>IF(项目基本情况!B9="房地产市场价值","估价结果一览表（市场价值不需“结果表-1”）","估价结果一览表")</f>
        <v>估价结果一览表</v>
      </c>
      <c r="B3" s="3212"/>
      <c r="C3" s="3212"/>
      <c r="D3" s="3212"/>
      <c r="E3" s="3212"/>
    </row>
    <row r="4" spans="1:5" ht="18" thickBot="1">
      <c r="A4" s="1388"/>
      <c r="B4" s="3210" t="s">
        <v>917</v>
      </c>
      <c r="C4" s="3210"/>
      <c r="D4" s="3210"/>
      <c r="E4" s="1388"/>
    </row>
    <row r="5" spans="1:5" ht="16.2" thickTop="1">
      <c r="B5" s="3208" t="s">
        <v>909</v>
      </c>
      <c r="C5" s="1389" t="s">
        <v>910</v>
      </c>
      <c r="D5" s="795" t="e">
        <f ca="1">结果表!H101</f>
        <v>#REF!</v>
      </c>
    </row>
    <row r="6" spans="1:5" ht="15.6">
      <c r="B6" s="3208"/>
      <c r="C6" s="1389" t="s">
        <v>911</v>
      </c>
      <c r="D6" s="795" t="e">
        <f ca="1">NUMBERSTRING(INT(D5*10000),2)&amp;"元整"</f>
        <v>#REF!</v>
      </c>
    </row>
    <row r="7" spans="1:5" ht="15.6">
      <c r="B7" s="3213"/>
      <c r="C7" s="1390" t="s">
        <v>912</v>
      </c>
      <c r="D7" s="796" t="e">
        <f ca="1">结果表!H102</f>
        <v>#REF!</v>
      </c>
    </row>
    <row r="8" spans="1:5" ht="15.6">
      <c r="B8" s="3214" t="str">
        <f>结果表!E103</f>
        <v>2.估价师知悉的法定优先受偿款</v>
      </c>
      <c r="C8" s="1391" t="s">
        <v>913</v>
      </c>
      <c r="D8" s="796">
        <f>结果表!H103</f>
        <v>0</v>
      </c>
    </row>
    <row r="9" spans="1:5" ht="15.6">
      <c r="B9" s="3216"/>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207" t="str">
        <f>结果表!E107</f>
        <v>3.房地产抵押价值</v>
      </c>
      <c r="C13" s="1394" t="s">
        <v>910</v>
      </c>
      <c r="D13" s="798" t="e">
        <f ca="1">结果表!H107</f>
        <v>#REF!</v>
      </c>
    </row>
    <row r="14" spans="1:5" ht="15.6">
      <c r="B14" s="3208"/>
      <c r="C14" s="1389" t="s">
        <v>911</v>
      </c>
      <c r="D14" s="795" t="e">
        <f ca="1">NUMBERSTRING(INT(D13*10000),2)&amp;"元整"</f>
        <v>#REF!</v>
      </c>
    </row>
    <row r="15" spans="1:5" ht="15.6">
      <c r="B15" s="3213"/>
      <c r="C15" s="1390" t="s">
        <v>921</v>
      </c>
      <c r="D15" s="804" t="e">
        <f ca="1">结果表!H108</f>
        <v>#REF!</v>
      </c>
    </row>
    <row r="16" spans="1:5" ht="15.6">
      <c r="B16" s="3214" t="str">
        <f>结果表!E109</f>
        <v>——</v>
      </c>
      <c r="C16" s="1394" t="s">
        <v>922</v>
      </c>
      <c r="D16" s="1395" t="str">
        <f>结果表!H109</f>
        <v>——</v>
      </c>
    </row>
    <row r="17" spans="1:5" ht="15.6">
      <c r="B17" s="3215"/>
      <c r="C17" s="1389" t="s">
        <v>923</v>
      </c>
      <c r="D17" s="795" t="e">
        <f>NUMBERSTRING(INT(D16*10000),2)&amp;"元整"</f>
        <v>#VALUE!</v>
      </c>
    </row>
    <row r="18" spans="1:5" ht="15.6">
      <c r="B18" s="3216"/>
      <c r="C18" s="1390" t="s">
        <v>912</v>
      </c>
      <c r="D18" s="804" t="str">
        <f>结果表!H110</f>
        <v>——</v>
      </c>
    </row>
    <row r="19" spans="1:5" ht="15.6">
      <c r="B19" s="3207" t="str">
        <f>结果表!E111</f>
        <v>——</v>
      </c>
      <c r="C19" s="1394" t="s">
        <v>910</v>
      </c>
      <c r="D19" s="796" t="str">
        <f>结果表!H111</f>
        <v>——</v>
      </c>
    </row>
    <row r="20" spans="1:5" ht="15.6">
      <c r="B20" s="3208"/>
      <c r="C20" s="1389" t="s">
        <v>923</v>
      </c>
      <c r="D20" s="795" t="e">
        <f>NUMBERSTRING(INT(D19*10000),2)&amp;"元整"</f>
        <v>#VALUE!</v>
      </c>
    </row>
    <row r="21" spans="1:5" ht="16.2" thickBot="1">
      <c r="B21" s="3209"/>
      <c r="C21" s="1396" t="s">
        <v>921</v>
      </c>
      <c r="D21" s="805" t="str">
        <f>结果表!H112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2582</v>
      </c>
      <c r="B1" s="2809" t="s">
        <v>2583</v>
      </c>
      <c r="C1" s="2809" t="s">
        <v>2584</v>
      </c>
      <c r="D1" s="2809" t="s">
        <v>2585</v>
      </c>
      <c r="E1" s="2809" t="s">
        <v>2586</v>
      </c>
      <c r="F1" s="2809" t="s">
        <v>2587</v>
      </c>
      <c r="G1" s="2809" t="s">
        <v>2588</v>
      </c>
      <c r="H1" s="2809" t="s">
        <v>2589</v>
      </c>
      <c r="I1" s="2809" t="s">
        <v>2590</v>
      </c>
      <c r="J1" s="2809" t="s">
        <v>2591</v>
      </c>
      <c r="K1" s="2809" t="s">
        <v>2592</v>
      </c>
      <c r="L1" s="2809" t="s">
        <v>2593</v>
      </c>
      <c r="M1" s="2810" t="s">
        <v>2594</v>
      </c>
    </row>
    <row r="2" spans="1:13" ht="19.5" customHeight="1">
      <c r="A2" s="2812" t="s">
        <v>2595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2598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2599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2608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2609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2611</v>
      </c>
      <c r="B18" s="2834"/>
      <c r="C18" s="2835"/>
      <c r="D18" s="2835"/>
      <c r="E18" s="2834"/>
      <c r="F18" s="2835"/>
      <c r="G18" s="2835"/>
    </row>
    <row r="19" spans="1:13" ht="19.5" customHeight="1" thickBot="1">
      <c r="A19" s="2832" t="s">
        <v>2612</v>
      </c>
      <c r="B19" s="2837" t="s">
        <v>2613</v>
      </c>
      <c r="C19" s="2837" t="s">
        <v>2614</v>
      </c>
      <c r="D19" s="2838"/>
      <c r="E19" s="2832" t="s">
        <v>2615</v>
      </c>
      <c r="F19" s="2839"/>
      <c r="G19" s="2839"/>
    </row>
    <row r="20" spans="1:13" ht="19.5" customHeight="1">
      <c r="A20" s="3531" t="s">
        <v>2595</v>
      </c>
      <c r="B20" s="3524" t="s">
        <v>2616</v>
      </c>
      <c r="C20" s="2840" t="s">
        <v>2427</v>
      </c>
      <c r="D20" s="2841"/>
      <c r="E20" s="2842">
        <v>1</v>
      </c>
      <c r="F20" s="2843" t="s">
        <v>2428</v>
      </c>
      <c r="G20" s="2843"/>
    </row>
    <row r="21" spans="1:13" ht="19.5" customHeight="1">
      <c r="A21" s="3532"/>
      <c r="B21" s="3525"/>
      <c r="C21" s="2844" t="s">
        <v>2429</v>
      </c>
      <c r="D21" s="2845"/>
      <c r="E21" s="2846">
        <v>1</v>
      </c>
      <c r="F21" s="2843" t="s">
        <v>2430</v>
      </c>
      <c r="G21" s="2843"/>
    </row>
    <row r="22" spans="1:13" ht="19.5" customHeight="1">
      <c r="A22" s="3532"/>
      <c r="B22" s="3525"/>
      <c r="C22" s="2844" t="s">
        <v>2431</v>
      </c>
      <c r="D22" s="2845"/>
      <c r="E22" s="2846">
        <v>0.9</v>
      </c>
      <c r="F22" s="2843" t="s">
        <v>2432</v>
      </c>
      <c r="G22" s="2843"/>
    </row>
    <row r="23" spans="1:13" ht="19.5" customHeight="1">
      <c r="A23" s="3532"/>
      <c r="B23" s="3525"/>
      <c r="C23" s="2844" t="s">
        <v>2433</v>
      </c>
      <c r="D23" s="2845"/>
      <c r="E23" s="2846">
        <v>0.9</v>
      </c>
      <c r="F23" s="2843" t="s">
        <v>2434</v>
      </c>
      <c r="G23" s="2843"/>
    </row>
    <row r="24" spans="1:13" ht="19.5" customHeight="1">
      <c r="A24" s="3532"/>
      <c r="B24" s="3525"/>
      <c r="C24" s="2844" t="s">
        <v>2435</v>
      </c>
      <c r="D24" s="2845"/>
      <c r="E24" s="2846">
        <v>0.8</v>
      </c>
      <c r="F24" s="2843" t="s">
        <v>2436</v>
      </c>
      <c r="G24" s="2843"/>
    </row>
    <row r="25" spans="1:13" ht="19.5" customHeight="1" thickBot="1">
      <c r="A25" s="3533"/>
      <c r="B25" s="3526"/>
      <c r="C25" s="2847" t="s">
        <v>2437</v>
      </c>
      <c r="D25" s="2848"/>
      <c r="E25" s="2849">
        <v>0.8</v>
      </c>
      <c r="F25" s="2843" t="s">
        <v>2438</v>
      </c>
      <c r="G25" s="2843"/>
    </row>
    <row r="26" spans="1:13" ht="19.5" customHeight="1" thickBot="1">
      <c r="A26" s="2850" t="s">
        <v>2617</v>
      </c>
      <c r="B26" s="2851" t="s">
        <v>2616</v>
      </c>
      <c r="C26" s="2852" t="s">
        <v>2618</v>
      </c>
      <c r="D26" s="2853"/>
      <c r="E26" s="2854">
        <v>1</v>
      </c>
      <c r="F26" s="2843" t="s">
        <v>2439</v>
      </c>
      <c r="G26" s="2843"/>
    </row>
    <row r="27" spans="1:13" ht="19.5" customHeight="1">
      <c r="A27" s="3527" t="s">
        <v>2619</v>
      </c>
      <c r="B27" s="3524" t="s">
        <v>2600</v>
      </c>
      <c r="C27" s="2840" t="s">
        <v>2440</v>
      </c>
      <c r="D27" s="2841"/>
      <c r="E27" s="2842">
        <v>1</v>
      </c>
      <c r="F27" s="2843" t="s">
        <v>2441</v>
      </c>
      <c r="G27" s="2843"/>
    </row>
    <row r="28" spans="1:13" ht="19.5" customHeight="1">
      <c r="A28" s="3528"/>
      <c r="B28" s="3525"/>
      <c r="C28" s="2844" t="s">
        <v>2442</v>
      </c>
      <c r="D28" s="2845"/>
      <c r="E28" s="2846">
        <v>1</v>
      </c>
      <c r="F28" s="2843" t="s">
        <v>2443</v>
      </c>
      <c r="G28" s="2843"/>
    </row>
    <row r="29" spans="1:13" ht="19.5" customHeight="1">
      <c r="A29" s="3528"/>
      <c r="B29" s="3525"/>
      <c r="C29" s="2844" t="s">
        <v>2444</v>
      </c>
      <c r="D29" s="2845"/>
      <c r="E29" s="2846">
        <v>0.8</v>
      </c>
      <c r="F29" s="2843" t="s">
        <v>2445</v>
      </c>
      <c r="G29" s="2843"/>
    </row>
    <row r="30" spans="1:13" ht="19.5" customHeight="1">
      <c r="A30" s="3528"/>
      <c r="B30" s="3525"/>
      <c r="C30" s="2844" t="s">
        <v>2446</v>
      </c>
      <c r="D30" s="2845"/>
      <c r="E30" s="2846">
        <v>0.8</v>
      </c>
      <c r="F30" s="2843" t="s">
        <v>2447</v>
      </c>
      <c r="G30" s="2843"/>
    </row>
    <row r="31" spans="1:13" ht="19.5" customHeight="1">
      <c r="A31" s="3528"/>
      <c r="B31" s="3525"/>
      <c r="C31" s="2844" t="s">
        <v>2448</v>
      </c>
      <c r="D31" s="2845"/>
      <c r="E31" s="2846">
        <v>0.8</v>
      </c>
      <c r="F31" s="2843" t="s">
        <v>2449</v>
      </c>
      <c r="G31" s="2843"/>
    </row>
    <row r="32" spans="1:13" ht="19.5" customHeight="1">
      <c r="A32" s="3528"/>
      <c r="B32" s="3525"/>
      <c r="C32" s="2844" t="s">
        <v>2450</v>
      </c>
      <c r="D32" s="2845"/>
      <c r="E32" s="2846">
        <v>0.7</v>
      </c>
      <c r="F32" s="2843" t="s">
        <v>2451</v>
      </c>
      <c r="G32" s="2843"/>
    </row>
    <row r="33" spans="1:7" ht="19.5" customHeight="1">
      <c r="A33" s="3528"/>
      <c r="B33" s="3525"/>
      <c r="C33" s="2844" t="s">
        <v>2452</v>
      </c>
      <c r="D33" s="2845"/>
      <c r="E33" s="2846">
        <v>0.8</v>
      </c>
      <c r="F33" s="2843" t="s">
        <v>2453</v>
      </c>
      <c r="G33" s="2843"/>
    </row>
    <row r="34" spans="1:7" ht="19.5" customHeight="1">
      <c r="A34" s="3528"/>
      <c r="B34" s="3525"/>
      <c r="C34" s="2844" t="s">
        <v>2454</v>
      </c>
      <c r="D34" s="2845"/>
      <c r="E34" s="2846">
        <v>0.6</v>
      </c>
      <c r="F34" s="2843" t="s">
        <v>2455</v>
      </c>
      <c r="G34" s="2843"/>
    </row>
    <row r="35" spans="1:7" ht="19.5" customHeight="1">
      <c r="A35" s="3528"/>
      <c r="B35" s="3525"/>
      <c r="C35" s="2844" t="s">
        <v>2456</v>
      </c>
      <c r="D35" s="2845"/>
      <c r="E35" s="2846">
        <v>0.2</v>
      </c>
      <c r="F35" s="2843" t="s">
        <v>2457</v>
      </c>
      <c r="G35" s="2843"/>
    </row>
    <row r="36" spans="1:7" ht="19.5" customHeight="1">
      <c r="A36" s="3528"/>
      <c r="B36" s="3525"/>
      <c r="C36" s="2844" t="s">
        <v>2458</v>
      </c>
      <c r="D36" s="2845"/>
      <c r="E36" s="2846">
        <v>0.2</v>
      </c>
      <c r="F36" s="2843" t="s">
        <v>2459</v>
      </c>
      <c r="G36" s="2843"/>
    </row>
    <row r="37" spans="1:7" ht="19.5" customHeight="1">
      <c r="A37" s="3528"/>
      <c r="B37" s="3530" t="s">
        <v>2620</v>
      </c>
      <c r="C37" s="2844" t="s">
        <v>2460</v>
      </c>
      <c r="D37" s="2845"/>
      <c r="E37" s="2846">
        <v>0.6</v>
      </c>
      <c r="F37" s="2843" t="s">
        <v>2461</v>
      </c>
      <c r="G37" s="2843"/>
    </row>
    <row r="38" spans="1:7" ht="19.5" customHeight="1">
      <c r="A38" s="3528"/>
      <c r="B38" s="3525"/>
      <c r="C38" s="2844" t="s">
        <v>2462</v>
      </c>
      <c r="D38" s="2845"/>
      <c r="E38" s="2846">
        <v>0.6</v>
      </c>
      <c r="F38" s="2843" t="s">
        <v>2463</v>
      </c>
      <c r="G38" s="2843"/>
    </row>
    <row r="39" spans="1:7" ht="19.5" customHeight="1" thickBot="1">
      <c r="A39" s="3529"/>
      <c r="B39" s="3526"/>
      <c r="C39" s="2847" t="s">
        <v>2464</v>
      </c>
      <c r="D39" s="2848"/>
      <c r="E39" s="2849">
        <v>0.6</v>
      </c>
      <c r="F39" s="2843" t="s">
        <v>2465</v>
      </c>
      <c r="G39" s="2843"/>
    </row>
    <row r="40" spans="1:7" ht="19.5" customHeight="1" thickBot="1">
      <c r="A40" s="2850" t="s">
        <v>2597</v>
      </c>
      <c r="B40" s="2851" t="s">
        <v>2597</v>
      </c>
      <c r="C40" s="2852" t="s">
        <v>2621</v>
      </c>
      <c r="D40" s="2853"/>
      <c r="E40" s="2854">
        <v>1</v>
      </c>
      <c r="F40" s="2843" t="s">
        <v>2466</v>
      </c>
      <c r="G40" s="2843"/>
    </row>
    <row r="41" spans="1:7" ht="19.5" customHeight="1">
      <c r="A41" s="3531" t="s">
        <v>2598</v>
      </c>
      <c r="B41" s="3524" t="s">
        <v>2622</v>
      </c>
      <c r="C41" s="2840" t="s">
        <v>2467</v>
      </c>
      <c r="D41" s="2841"/>
      <c r="E41" s="2842">
        <v>1</v>
      </c>
      <c r="F41" s="2843" t="s">
        <v>2468</v>
      </c>
      <c r="G41" s="2843"/>
    </row>
    <row r="42" spans="1:7" ht="19.5" customHeight="1">
      <c r="A42" s="3532"/>
      <c r="B42" s="3525"/>
      <c r="C42" s="2844" t="s">
        <v>2469</v>
      </c>
      <c r="D42" s="2845"/>
      <c r="E42" s="2846">
        <v>1</v>
      </c>
      <c r="F42" s="2843" t="s">
        <v>2470</v>
      </c>
      <c r="G42" s="2843"/>
    </row>
    <row r="43" spans="1:7" ht="19.5" customHeight="1">
      <c r="A43" s="3532"/>
      <c r="B43" s="3534"/>
      <c r="C43" s="2844" t="s">
        <v>2471</v>
      </c>
      <c r="D43" s="2845"/>
      <c r="E43" s="2846">
        <v>1.5</v>
      </c>
      <c r="F43" s="2843" t="s">
        <v>2472</v>
      </c>
      <c r="G43" s="2843"/>
    </row>
    <row r="44" spans="1:7" ht="19.5" customHeight="1">
      <c r="A44" s="3532"/>
      <c r="B44" s="2855" t="s">
        <v>2623</v>
      </c>
      <c r="C44" s="2844" t="s">
        <v>2624</v>
      </c>
      <c r="D44" s="2845"/>
      <c r="E44" s="2846">
        <v>2</v>
      </c>
      <c r="F44" s="2843" t="s">
        <v>2473</v>
      </c>
      <c r="G44" s="2843"/>
    </row>
    <row r="45" spans="1:7" ht="19.5" customHeight="1">
      <c r="A45" s="3532"/>
      <c r="B45" s="3530" t="s">
        <v>2625</v>
      </c>
      <c r="C45" s="2844" t="s">
        <v>2474</v>
      </c>
      <c r="D45" s="2845"/>
      <c r="E45" s="2846">
        <v>1</v>
      </c>
      <c r="F45" s="2843" t="s">
        <v>2475</v>
      </c>
      <c r="G45" s="2843"/>
    </row>
    <row r="46" spans="1:7" ht="19.5" customHeight="1">
      <c r="A46" s="3532"/>
      <c r="B46" s="3525"/>
      <c r="C46" s="2844" t="s">
        <v>2476</v>
      </c>
      <c r="D46" s="2845"/>
      <c r="E46" s="2846">
        <v>1</v>
      </c>
      <c r="F46" s="2843" t="s">
        <v>2477</v>
      </c>
      <c r="G46" s="2843"/>
    </row>
    <row r="47" spans="1:7" ht="19.5" customHeight="1">
      <c r="A47" s="3532"/>
      <c r="B47" s="3525"/>
      <c r="C47" s="2844" t="s">
        <v>2478</v>
      </c>
      <c r="D47" s="2845"/>
      <c r="E47" s="2846">
        <v>1</v>
      </c>
      <c r="F47" s="2843" t="s">
        <v>2479</v>
      </c>
      <c r="G47" s="2843"/>
    </row>
    <row r="48" spans="1:7" ht="19.5" customHeight="1">
      <c r="A48" s="3532"/>
      <c r="B48" s="3525"/>
      <c r="C48" s="2844" t="s">
        <v>2480</v>
      </c>
      <c r="D48" s="2845"/>
      <c r="E48" s="2846">
        <v>1</v>
      </c>
      <c r="F48" s="2843" t="s">
        <v>2481</v>
      </c>
      <c r="G48" s="2843"/>
    </row>
    <row r="49" spans="1:7" ht="19.5" customHeight="1">
      <c r="A49" s="3532"/>
      <c r="B49" s="3525"/>
      <c r="C49" s="2844" t="s">
        <v>2482</v>
      </c>
      <c r="D49" s="2845"/>
      <c r="E49" s="2846">
        <v>1</v>
      </c>
      <c r="F49" s="2843" t="s">
        <v>2483</v>
      </c>
      <c r="G49" s="2843"/>
    </row>
    <row r="50" spans="1:7" ht="19.5" customHeight="1">
      <c r="A50" s="3532"/>
      <c r="B50" s="3525"/>
      <c r="C50" s="2844" t="s">
        <v>2484</v>
      </c>
      <c r="D50" s="2845"/>
      <c r="E50" s="2846">
        <v>1</v>
      </c>
      <c r="F50" s="2843" t="s">
        <v>2485</v>
      </c>
      <c r="G50" s="2843"/>
    </row>
    <row r="51" spans="1:7" ht="19.5" customHeight="1" thickBot="1">
      <c r="A51" s="3533"/>
      <c r="B51" s="3526"/>
      <c r="C51" s="2847" t="s">
        <v>2486</v>
      </c>
      <c r="D51" s="2848"/>
      <c r="E51" s="2849">
        <v>1</v>
      </c>
      <c r="F51" s="2843" t="s">
        <v>2487</v>
      </c>
      <c r="G51" s="2843"/>
    </row>
    <row r="52" spans="1:7" ht="19.5" customHeight="1">
      <c r="A52" s="2856"/>
      <c r="B52" s="2856"/>
      <c r="C52" s="2856"/>
      <c r="D52" s="2856"/>
      <c r="E52" s="2856"/>
      <c r="F52" s="2856"/>
      <c r="G52" s="2856"/>
    </row>
    <row r="54" spans="1:7" ht="19.5" customHeight="1">
      <c r="A54" s="2857"/>
      <c r="B54" s="2829" t="s">
        <v>2626</v>
      </c>
      <c r="C54" s="2829" t="s">
        <v>2626</v>
      </c>
      <c r="D54" s="2829" t="s">
        <v>2626</v>
      </c>
      <c r="E54" s="2832" t="s">
        <v>2626</v>
      </c>
      <c r="F54" s="2832" t="s">
        <v>2627</v>
      </c>
      <c r="G54" s="2832" t="s">
        <v>2628</v>
      </c>
    </row>
    <row r="55" spans="1:7" ht="19.5" customHeight="1">
      <c r="A55" s="2858"/>
      <c r="B55" s="2832" t="s">
        <v>2595</v>
      </c>
      <c r="C55" s="2832" t="s">
        <v>2595</v>
      </c>
      <c r="D55" s="2832" t="s">
        <v>2595</v>
      </c>
      <c r="E55" s="2829" t="s">
        <v>2596</v>
      </c>
      <c r="F55" s="2829" t="s">
        <v>2598</v>
      </c>
      <c r="G55" s="2829" t="s">
        <v>2629</v>
      </c>
    </row>
    <row r="56" spans="1:7" ht="19.5" customHeight="1">
      <c r="A56" s="2859"/>
      <c r="B56" s="2829">
        <v>1</v>
      </c>
      <c r="C56" s="2829">
        <v>2</v>
      </c>
      <c r="D56" s="2829">
        <v>3</v>
      </c>
      <c r="E56" s="2860" t="s">
        <v>2630</v>
      </c>
      <c r="F56" s="2860" t="s">
        <v>2630</v>
      </c>
      <c r="G56" s="2860" t="s">
        <v>2630</v>
      </c>
    </row>
    <row r="57" spans="1:7" ht="19.5" customHeight="1">
      <c r="A57" s="2861" t="s">
        <v>2583</v>
      </c>
      <c r="B57" s="2829">
        <v>0.7</v>
      </c>
      <c r="C57" s="2829">
        <v>0.4</v>
      </c>
      <c r="D57" s="2829">
        <v>0.3</v>
      </c>
      <c r="E57" s="2860">
        <v>0.3</v>
      </c>
      <c r="F57" s="2829">
        <v>0.3</v>
      </c>
      <c r="G57" s="2829">
        <v>0.2</v>
      </c>
    </row>
    <row r="58" spans="1:7" ht="19.5" customHeight="1">
      <c r="A58" s="2861" t="s">
        <v>2584</v>
      </c>
      <c r="B58" s="2829">
        <v>0.7</v>
      </c>
      <c r="C58" s="2829">
        <v>0.4</v>
      </c>
      <c r="D58" s="2829">
        <v>0.3</v>
      </c>
      <c r="E58" s="2829">
        <v>0.3</v>
      </c>
      <c r="F58" s="2829">
        <v>0.3</v>
      </c>
      <c r="G58" s="2829">
        <v>0.2</v>
      </c>
    </row>
    <row r="59" spans="1:7" ht="19.5" customHeight="1">
      <c r="A59" s="2861" t="s">
        <v>2585</v>
      </c>
      <c r="B59" s="2829">
        <v>0.6</v>
      </c>
      <c r="C59" s="2829">
        <v>0.3</v>
      </c>
      <c r="D59" s="2829">
        <v>0.25</v>
      </c>
      <c r="E59" s="2829">
        <v>0.25</v>
      </c>
      <c r="F59" s="2829">
        <v>0.25</v>
      </c>
      <c r="G59" s="2829">
        <v>0.15</v>
      </c>
    </row>
    <row r="60" spans="1:7" ht="19.5" customHeight="1">
      <c r="A60" s="2861" t="s">
        <v>2586</v>
      </c>
      <c r="B60" s="2829">
        <v>0.6</v>
      </c>
      <c r="C60" s="2829">
        <v>0.3</v>
      </c>
      <c r="D60" s="2829">
        <v>0.25</v>
      </c>
      <c r="E60" s="2829">
        <v>0.25</v>
      </c>
      <c r="F60" s="2829">
        <v>0.25</v>
      </c>
      <c r="G60" s="2829">
        <v>0.15</v>
      </c>
    </row>
    <row r="61" spans="1:7" ht="19.5" customHeight="1">
      <c r="A61" s="2861" t="s">
        <v>2587</v>
      </c>
      <c r="B61" s="2829">
        <v>0.6</v>
      </c>
      <c r="C61" s="2829">
        <v>0.3</v>
      </c>
      <c r="D61" s="2829">
        <v>0.25</v>
      </c>
      <c r="E61" s="2829">
        <v>0.25</v>
      </c>
      <c r="F61" s="2829">
        <v>0.25</v>
      </c>
      <c r="G61" s="2829">
        <v>0.15</v>
      </c>
    </row>
    <row r="62" spans="1:7" ht="19.5" customHeight="1">
      <c r="A62" s="2861" t="s">
        <v>2588</v>
      </c>
      <c r="B62" s="2829">
        <v>0.6</v>
      </c>
      <c r="C62" s="2829">
        <v>0.3</v>
      </c>
      <c r="D62" s="2829">
        <v>0.25</v>
      </c>
      <c r="E62" s="2829">
        <v>0.25</v>
      </c>
      <c r="F62" s="2829">
        <v>0.25</v>
      </c>
      <c r="G62" s="2829">
        <v>0.15</v>
      </c>
    </row>
    <row r="63" spans="1:7" ht="19.5" customHeight="1">
      <c r="A63" s="2861" t="s">
        <v>2589</v>
      </c>
      <c r="B63" s="2829">
        <v>0.6</v>
      </c>
      <c r="C63" s="2829">
        <v>0.3</v>
      </c>
      <c r="D63" s="2829">
        <v>0.25</v>
      </c>
      <c r="E63" s="2829">
        <v>0.25</v>
      </c>
      <c r="F63" s="2829">
        <v>0.25</v>
      </c>
      <c r="G63" s="2829">
        <v>0.15</v>
      </c>
    </row>
    <row r="64" spans="1:7" ht="19.5" customHeight="1">
      <c r="A64" s="2861" t="s">
        <v>2590</v>
      </c>
      <c r="B64" s="2829">
        <v>0.5</v>
      </c>
      <c r="C64" s="2829">
        <v>0.2</v>
      </c>
      <c r="D64" s="2829">
        <v>0.2</v>
      </c>
      <c r="E64" s="2829">
        <v>0.2</v>
      </c>
      <c r="F64" s="2829">
        <v>0.2</v>
      </c>
      <c r="G64" s="2829">
        <v>0.1</v>
      </c>
    </row>
    <row r="65" spans="1:7" ht="19.5" customHeight="1">
      <c r="A65" s="2861" t="s">
        <v>2591</v>
      </c>
      <c r="B65" s="2829">
        <v>0.5</v>
      </c>
      <c r="C65" s="2829">
        <v>0.2</v>
      </c>
      <c r="D65" s="2829">
        <v>0.2</v>
      </c>
      <c r="E65" s="2829">
        <v>0.2</v>
      </c>
      <c r="F65" s="2829">
        <v>0.2</v>
      </c>
      <c r="G65" s="2829">
        <v>0.1</v>
      </c>
    </row>
    <row r="66" spans="1:7" ht="19.5" customHeight="1">
      <c r="A66" s="2861" t="s">
        <v>2592</v>
      </c>
      <c r="B66" s="2829">
        <v>0.5</v>
      </c>
      <c r="C66" s="2829">
        <v>0.2</v>
      </c>
      <c r="D66" s="2829">
        <v>0.2</v>
      </c>
      <c r="E66" s="2829">
        <v>0.2</v>
      </c>
      <c r="F66" s="2829">
        <v>0.2</v>
      </c>
      <c r="G66" s="2829">
        <v>0.1</v>
      </c>
    </row>
    <row r="67" spans="1:7" ht="19.5" customHeight="1">
      <c r="A67" s="2861" t="s">
        <v>2593</v>
      </c>
      <c r="B67" s="2829">
        <v>0.5</v>
      </c>
      <c r="C67" s="2829">
        <v>0.2</v>
      </c>
      <c r="D67" s="2829">
        <v>0.2</v>
      </c>
      <c r="E67" s="2829">
        <v>0.2</v>
      </c>
      <c r="F67" s="2829">
        <v>0.2</v>
      </c>
      <c r="G67" s="2829">
        <v>0.1</v>
      </c>
    </row>
    <row r="68" spans="1:7" ht="19.5" customHeight="1">
      <c r="A68" s="2861" t="s">
        <v>2594</v>
      </c>
      <c r="B68" s="2829">
        <v>0.5</v>
      </c>
      <c r="C68" s="2829">
        <v>0.2</v>
      </c>
      <c r="D68" s="2829">
        <v>0.2</v>
      </c>
      <c r="E68" s="2829">
        <v>0.2</v>
      </c>
      <c r="F68" s="2829">
        <v>0.2</v>
      </c>
      <c r="G68" s="2829">
        <v>0.1</v>
      </c>
    </row>
    <row r="70" spans="1:7" ht="19.5" customHeight="1">
      <c r="A70" s="2843"/>
      <c r="B70" s="2862"/>
      <c r="C70" s="2862"/>
      <c r="D70" s="2862" t="s">
        <v>2631</v>
      </c>
      <c r="E70" s="2862"/>
      <c r="F70" s="2862"/>
    </row>
    <row r="71" spans="1:7" ht="19.5" customHeight="1">
      <c r="A71" s="2855" t="s">
        <v>2632</v>
      </c>
      <c r="B71" s="2855" t="s">
        <v>2633</v>
      </c>
      <c r="C71" s="2855" t="s">
        <v>2634</v>
      </c>
      <c r="D71" s="2855" t="s">
        <v>2635</v>
      </c>
      <c r="E71" s="2855" t="s">
        <v>2636</v>
      </c>
      <c r="F71" s="2855" t="s">
        <v>2637</v>
      </c>
    </row>
    <row r="72" spans="1:7" ht="14.4">
      <c r="A72" s="2855"/>
      <c r="B72" s="2855"/>
      <c r="C72" s="2855" t="s">
        <v>2638</v>
      </c>
      <c r="D72" s="2855"/>
      <c r="E72" s="2855" t="s">
        <v>2609</v>
      </c>
      <c r="F72" s="2855" t="s">
        <v>2609</v>
      </c>
    </row>
    <row r="73" spans="1:7" ht="14.4">
      <c r="A73" s="2855">
        <v>1</v>
      </c>
      <c r="B73" s="3530" t="s">
        <v>2639</v>
      </c>
      <c r="C73" s="2829" t="s">
        <v>2640</v>
      </c>
      <c r="D73" s="2829" t="s">
        <v>2641</v>
      </c>
      <c r="E73" s="2855">
        <v>0.2</v>
      </c>
      <c r="F73" s="2855">
        <v>25</v>
      </c>
    </row>
    <row r="74" spans="1:7" ht="24">
      <c r="A74" s="2855">
        <v>2</v>
      </c>
      <c r="B74" s="3525"/>
      <c r="C74" s="2829" t="s">
        <v>2642</v>
      </c>
      <c r="D74" s="2829" t="s">
        <v>2643</v>
      </c>
      <c r="E74" s="2855">
        <v>0.2</v>
      </c>
      <c r="F74" s="2855">
        <v>25</v>
      </c>
    </row>
    <row r="75" spans="1:7" ht="24">
      <c r="A75" s="2855">
        <v>3</v>
      </c>
      <c r="B75" s="3525"/>
      <c r="C75" s="2829" t="s">
        <v>2644</v>
      </c>
      <c r="D75" s="2829" t="s">
        <v>2645</v>
      </c>
      <c r="E75" s="2855">
        <v>0.2</v>
      </c>
      <c r="F75" s="2855">
        <v>25</v>
      </c>
    </row>
    <row r="76" spans="1:7" ht="14.4">
      <c r="A76" s="2855">
        <v>4</v>
      </c>
      <c r="B76" s="3525"/>
      <c r="C76" s="2829" t="s">
        <v>2646</v>
      </c>
      <c r="D76" s="2829" t="s">
        <v>2647</v>
      </c>
      <c r="E76" s="2855">
        <v>0.15</v>
      </c>
      <c r="F76" s="2855">
        <v>20</v>
      </c>
    </row>
    <row r="77" spans="1:7" ht="24">
      <c r="A77" s="2855">
        <v>5</v>
      </c>
      <c r="B77" s="3525"/>
      <c r="C77" s="2829" t="s">
        <v>2648</v>
      </c>
      <c r="D77" s="2829" t="s">
        <v>2649</v>
      </c>
      <c r="E77" s="2855">
        <v>0.15</v>
      </c>
      <c r="F77" s="2855">
        <v>20</v>
      </c>
    </row>
    <row r="78" spans="1:7" ht="24">
      <c r="A78" s="2855">
        <v>6</v>
      </c>
      <c r="B78" s="3525"/>
      <c r="C78" s="2829" t="s">
        <v>2650</v>
      </c>
      <c r="D78" s="2829" t="s">
        <v>2651</v>
      </c>
      <c r="E78" s="2855">
        <v>0.15</v>
      </c>
      <c r="F78" s="2855">
        <v>20</v>
      </c>
    </row>
    <row r="79" spans="1:7" ht="24">
      <c r="A79" s="2855">
        <v>7</v>
      </c>
      <c r="B79" s="3525"/>
      <c r="C79" s="2829" t="s">
        <v>2652</v>
      </c>
      <c r="D79" s="2829" t="s">
        <v>2653</v>
      </c>
      <c r="E79" s="2855">
        <v>0.15</v>
      </c>
      <c r="F79" s="2855">
        <v>20</v>
      </c>
    </row>
    <row r="80" spans="1:7" ht="24">
      <c r="A80" s="2855">
        <v>8</v>
      </c>
      <c r="B80" s="3525"/>
      <c r="C80" s="2829" t="s">
        <v>2654</v>
      </c>
      <c r="D80" s="2829" t="s">
        <v>2655</v>
      </c>
      <c r="E80" s="2855">
        <v>0.1</v>
      </c>
      <c r="F80" s="2855">
        <v>15</v>
      </c>
    </row>
    <row r="81" spans="1:6" ht="24">
      <c r="A81" s="2855">
        <v>9</v>
      </c>
      <c r="B81" s="3525"/>
      <c r="C81" s="2829" t="s">
        <v>2656</v>
      </c>
      <c r="D81" s="2829" t="s">
        <v>2657</v>
      </c>
      <c r="E81" s="2855">
        <v>0.1</v>
      </c>
      <c r="F81" s="2855">
        <v>15</v>
      </c>
    </row>
    <row r="82" spans="1:6" ht="24">
      <c r="A82" s="2855">
        <v>10</v>
      </c>
      <c r="B82" s="3525"/>
      <c r="C82" s="2829" t="s">
        <v>2658</v>
      </c>
      <c r="D82" s="2829" t="s">
        <v>2659</v>
      </c>
      <c r="E82" s="2855">
        <v>0.1</v>
      </c>
      <c r="F82" s="2855">
        <v>15</v>
      </c>
    </row>
    <row r="83" spans="1:6" ht="24">
      <c r="A83" s="2855">
        <v>11</v>
      </c>
      <c r="B83" s="3525"/>
      <c r="C83" s="2829" t="s">
        <v>2660</v>
      </c>
      <c r="D83" s="2829" t="s">
        <v>2661</v>
      </c>
      <c r="E83" s="2855">
        <v>0.1</v>
      </c>
      <c r="F83" s="2855">
        <v>15</v>
      </c>
    </row>
    <row r="84" spans="1:6" ht="24">
      <c r="A84" s="2855">
        <v>12</v>
      </c>
      <c r="B84" s="3525"/>
      <c r="C84" s="2829" t="s">
        <v>2662</v>
      </c>
      <c r="D84" s="2829" t="s">
        <v>2663</v>
      </c>
      <c r="E84" s="2855">
        <v>0.1</v>
      </c>
      <c r="F84" s="2855">
        <v>15</v>
      </c>
    </row>
    <row r="85" spans="1:6" ht="24">
      <c r="A85" s="2855">
        <v>13</v>
      </c>
      <c r="B85" s="3525"/>
      <c r="C85" s="2829" t="s">
        <v>2664</v>
      </c>
      <c r="D85" s="2829" t="s">
        <v>2665</v>
      </c>
      <c r="E85" s="2855">
        <v>0.1</v>
      </c>
      <c r="F85" s="2855">
        <v>15</v>
      </c>
    </row>
    <row r="86" spans="1:6" ht="24">
      <c r="A86" s="2855">
        <v>14</v>
      </c>
      <c r="B86" s="3525"/>
      <c r="C86" s="2829" t="s">
        <v>2666</v>
      </c>
      <c r="D86" s="2829" t="s">
        <v>2667</v>
      </c>
      <c r="E86" s="2855">
        <v>0.1</v>
      </c>
      <c r="F86" s="2855">
        <v>15</v>
      </c>
    </row>
    <row r="87" spans="1:6" ht="24">
      <c r="A87" s="2855">
        <v>15</v>
      </c>
      <c r="B87" s="3525"/>
      <c r="C87" s="2829" t="s">
        <v>2668</v>
      </c>
      <c r="D87" s="2829" t="s">
        <v>2669</v>
      </c>
      <c r="E87" s="2855">
        <v>0.1</v>
      </c>
      <c r="F87" s="2855">
        <v>15</v>
      </c>
    </row>
    <row r="88" spans="1:6" ht="24">
      <c r="A88" s="2855">
        <v>16</v>
      </c>
      <c r="B88" s="3525"/>
      <c r="C88" s="2829" t="s">
        <v>2670</v>
      </c>
      <c r="D88" s="2829" t="s">
        <v>2671</v>
      </c>
      <c r="E88" s="2855">
        <v>0.1</v>
      </c>
      <c r="F88" s="2855">
        <v>15</v>
      </c>
    </row>
    <row r="89" spans="1:6" ht="24">
      <c r="A89" s="2855">
        <v>17</v>
      </c>
      <c r="B89" s="3534"/>
      <c r="C89" s="2829" t="s">
        <v>2672</v>
      </c>
      <c r="D89" s="2829" t="s">
        <v>2673</v>
      </c>
      <c r="E89" s="2855">
        <v>0.1</v>
      </c>
      <c r="F89" s="2855">
        <v>15</v>
      </c>
    </row>
    <row r="90" spans="1:6" ht="14.4">
      <c r="A90" s="2855">
        <v>18</v>
      </c>
      <c r="B90" s="3530" t="s">
        <v>2674</v>
      </c>
      <c r="C90" s="2829" t="s">
        <v>2675</v>
      </c>
      <c r="D90" s="2829" t="s">
        <v>2676</v>
      </c>
      <c r="E90" s="2855">
        <v>0.2</v>
      </c>
      <c r="F90" s="2855">
        <v>25</v>
      </c>
    </row>
    <row r="91" spans="1:6" ht="24">
      <c r="A91" s="2855">
        <v>19</v>
      </c>
      <c r="B91" s="3525"/>
      <c r="C91" s="2829" t="s">
        <v>2677</v>
      </c>
      <c r="D91" s="2829" t="s">
        <v>2678</v>
      </c>
      <c r="E91" s="2855">
        <v>0.2</v>
      </c>
      <c r="F91" s="2855">
        <v>25</v>
      </c>
    </row>
    <row r="92" spans="1:6" ht="14.4">
      <c r="A92" s="2855">
        <v>20</v>
      </c>
      <c r="B92" s="3525"/>
      <c r="C92" s="2829" t="s">
        <v>2679</v>
      </c>
      <c r="D92" s="2829" t="s">
        <v>2680</v>
      </c>
      <c r="E92" s="2855">
        <v>0.15</v>
      </c>
      <c r="F92" s="2855">
        <v>20</v>
      </c>
    </row>
    <row r="93" spans="1:6" ht="24">
      <c r="A93" s="2855">
        <v>21</v>
      </c>
      <c r="B93" s="3525"/>
      <c r="C93" s="2829" t="s">
        <v>2681</v>
      </c>
      <c r="D93" s="2829" t="s">
        <v>2682</v>
      </c>
      <c r="E93" s="2855">
        <v>0.15</v>
      </c>
      <c r="F93" s="2855">
        <v>20</v>
      </c>
    </row>
    <row r="94" spans="1:6" ht="24">
      <c r="A94" s="2855">
        <v>22</v>
      </c>
      <c r="B94" s="3525"/>
      <c r="C94" s="2829" t="s">
        <v>2683</v>
      </c>
      <c r="D94" s="2829" t="s">
        <v>2684</v>
      </c>
      <c r="E94" s="2855">
        <v>0.15</v>
      </c>
      <c r="F94" s="2855">
        <v>20</v>
      </c>
    </row>
    <row r="95" spans="1:6" ht="36">
      <c r="A95" s="2855">
        <v>23</v>
      </c>
      <c r="B95" s="3525"/>
      <c r="C95" s="2829" t="s">
        <v>2685</v>
      </c>
      <c r="D95" s="2829" t="s">
        <v>2686</v>
      </c>
      <c r="E95" s="2855">
        <v>0.15</v>
      </c>
      <c r="F95" s="2855">
        <v>20</v>
      </c>
    </row>
    <row r="96" spans="1:6" ht="24">
      <c r="A96" s="2855">
        <v>24</v>
      </c>
      <c r="B96" s="3525"/>
      <c r="C96" s="2829" t="s">
        <v>2687</v>
      </c>
      <c r="D96" s="2829" t="s">
        <v>2688</v>
      </c>
      <c r="E96" s="2855">
        <v>0.1</v>
      </c>
      <c r="F96" s="2855">
        <v>15</v>
      </c>
    </row>
    <row r="97" spans="1:6" ht="24">
      <c r="A97" s="2855">
        <v>25</v>
      </c>
      <c r="B97" s="3525"/>
      <c r="C97" s="2829" t="s">
        <v>2689</v>
      </c>
      <c r="D97" s="2829" t="s">
        <v>2690</v>
      </c>
      <c r="E97" s="2855">
        <v>0.1</v>
      </c>
      <c r="F97" s="2855">
        <v>15</v>
      </c>
    </row>
    <row r="98" spans="1:6" ht="24">
      <c r="A98" s="2855">
        <v>26</v>
      </c>
      <c r="B98" s="3525"/>
      <c r="C98" s="2829" t="s">
        <v>2691</v>
      </c>
      <c r="D98" s="2829" t="s">
        <v>2692</v>
      </c>
      <c r="E98" s="2855">
        <v>0.1</v>
      </c>
      <c r="F98" s="2855">
        <v>15</v>
      </c>
    </row>
    <row r="99" spans="1:6" ht="24">
      <c r="A99" s="2855">
        <v>27</v>
      </c>
      <c r="B99" s="3525"/>
      <c r="C99" s="2829" t="s">
        <v>2693</v>
      </c>
      <c r="D99" s="2829" t="s">
        <v>2694</v>
      </c>
      <c r="E99" s="2855">
        <v>0.1</v>
      </c>
      <c r="F99" s="2855">
        <v>15</v>
      </c>
    </row>
    <row r="100" spans="1:6" ht="24">
      <c r="A100" s="2855">
        <v>28</v>
      </c>
      <c r="B100" s="3525"/>
      <c r="C100" s="2829" t="s">
        <v>2695</v>
      </c>
      <c r="D100" s="2829" t="s">
        <v>2696</v>
      </c>
      <c r="E100" s="2855">
        <v>0.1</v>
      </c>
      <c r="F100" s="2855">
        <v>15</v>
      </c>
    </row>
    <row r="101" spans="1:6" ht="24">
      <c r="A101" s="2855">
        <v>29</v>
      </c>
      <c r="B101" s="3525"/>
      <c r="C101" s="2829" t="s">
        <v>2697</v>
      </c>
      <c r="D101" s="2829" t="s">
        <v>2698</v>
      </c>
      <c r="E101" s="2855">
        <v>0.1</v>
      </c>
      <c r="F101" s="2855">
        <v>15</v>
      </c>
    </row>
    <row r="102" spans="1:6" ht="24">
      <c r="A102" s="2855">
        <v>30</v>
      </c>
      <c r="B102" s="3525"/>
      <c r="C102" s="2829" t="s">
        <v>2699</v>
      </c>
      <c r="D102" s="2829" t="s">
        <v>2700</v>
      </c>
      <c r="E102" s="2855">
        <v>0.1</v>
      </c>
      <c r="F102" s="2855">
        <v>15</v>
      </c>
    </row>
    <row r="103" spans="1:6" ht="24">
      <c r="A103" s="2855">
        <v>31</v>
      </c>
      <c r="B103" s="3525"/>
      <c r="C103" s="2829" t="s">
        <v>2701</v>
      </c>
      <c r="D103" s="2829" t="s">
        <v>2702</v>
      </c>
      <c r="E103" s="2855">
        <v>0.1</v>
      </c>
      <c r="F103" s="2855">
        <v>15</v>
      </c>
    </row>
    <row r="104" spans="1:6" ht="24">
      <c r="A104" s="2855">
        <v>32</v>
      </c>
      <c r="B104" s="3525"/>
      <c r="C104" s="2829" t="s">
        <v>2703</v>
      </c>
      <c r="D104" s="2829" t="s">
        <v>2704</v>
      </c>
      <c r="E104" s="2855">
        <v>0.1</v>
      </c>
      <c r="F104" s="2855">
        <v>15</v>
      </c>
    </row>
    <row r="105" spans="1:6" ht="24">
      <c r="A105" s="2855">
        <v>33</v>
      </c>
      <c r="B105" s="3525"/>
      <c r="C105" s="2829" t="s">
        <v>2705</v>
      </c>
      <c r="D105" s="2829" t="s">
        <v>2706</v>
      </c>
      <c r="E105" s="2855">
        <v>0.1</v>
      </c>
      <c r="F105" s="2855">
        <v>15</v>
      </c>
    </row>
    <row r="106" spans="1:6" ht="24">
      <c r="A106" s="2855">
        <v>34</v>
      </c>
      <c r="B106" s="3534"/>
      <c r="C106" s="2829" t="s">
        <v>2707</v>
      </c>
      <c r="D106" s="2829" t="s">
        <v>2708</v>
      </c>
      <c r="E106" s="2855">
        <v>0.1</v>
      </c>
      <c r="F106" s="2855">
        <v>15</v>
      </c>
    </row>
    <row r="107" spans="1:6" ht="36">
      <c r="A107" s="2855">
        <v>35</v>
      </c>
      <c r="B107" s="3530" t="s">
        <v>2709</v>
      </c>
      <c r="C107" s="2855" t="s">
        <v>2710</v>
      </c>
      <c r="D107" s="2829" t="s">
        <v>2711</v>
      </c>
      <c r="E107" s="2855">
        <v>0.15</v>
      </c>
      <c r="F107" s="2855">
        <v>20</v>
      </c>
    </row>
    <row r="108" spans="1:6" ht="24">
      <c r="A108" s="2855">
        <v>36</v>
      </c>
      <c r="B108" s="3525"/>
      <c r="C108" s="2855" t="s">
        <v>2712</v>
      </c>
      <c r="D108" s="2829" t="s">
        <v>2713</v>
      </c>
      <c r="E108" s="2855">
        <v>0.15</v>
      </c>
      <c r="F108" s="2855">
        <v>20</v>
      </c>
    </row>
    <row r="109" spans="1:6" ht="24">
      <c r="A109" s="2855">
        <v>37</v>
      </c>
      <c r="B109" s="3525"/>
      <c r="C109" s="2855" t="s">
        <v>2714</v>
      </c>
      <c r="D109" s="2829" t="s">
        <v>2715</v>
      </c>
      <c r="E109" s="2855">
        <v>0.15</v>
      </c>
      <c r="F109" s="2855">
        <v>20</v>
      </c>
    </row>
    <row r="110" spans="1:6" ht="24">
      <c r="A110" s="2855">
        <v>38</v>
      </c>
      <c r="B110" s="3525"/>
      <c r="C110" s="2855" t="s">
        <v>2716</v>
      </c>
      <c r="D110" s="2829" t="s">
        <v>2717</v>
      </c>
      <c r="E110" s="2855">
        <v>0.1</v>
      </c>
      <c r="F110" s="2855">
        <v>15</v>
      </c>
    </row>
    <row r="111" spans="1:6" ht="24">
      <c r="A111" s="2855">
        <v>39</v>
      </c>
      <c r="B111" s="3525"/>
      <c r="C111" s="2855" t="s">
        <v>2718</v>
      </c>
      <c r="D111" s="2829" t="s">
        <v>2719</v>
      </c>
      <c r="E111" s="2855">
        <v>0.1</v>
      </c>
      <c r="F111" s="2855">
        <v>15</v>
      </c>
    </row>
    <row r="112" spans="1:6" ht="24">
      <c r="A112" s="2855">
        <v>40</v>
      </c>
      <c r="B112" s="3534"/>
      <c r="C112" s="2855" t="s">
        <v>2720</v>
      </c>
      <c r="D112" s="2829" t="s">
        <v>2721</v>
      </c>
      <c r="E112" s="2855">
        <v>0.1</v>
      </c>
      <c r="F112" s="2855">
        <v>15</v>
      </c>
    </row>
    <row r="113" spans="1:6" ht="24">
      <c r="A113" s="2855">
        <v>41</v>
      </c>
      <c r="B113" s="3535" t="s">
        <v>2722</v>
      </c>
      <c r="C113" s="2855" t="s">
        <v>2723</v>
      </c>
      <c r="D113" s="2829" t="s">
        <v>2724</v>
      </c>
      <c r="E113" s="2855">
        <v>0.1</v>
      </c>
      <c r="F113" s="2855">
        <v>15</v>
      </c>
    </row>
    <row r="114" spans="1:6" ht="24">
      <c r="A114" s="2855">
        <v>42</v>
      </c>
      <c r="B114" s="3535"/>
      <c r="C114" s="2855" t="s">
        <v>2725</v>
      </c>
      <c r="D114" s="2829" t="s">
        <v>2726</v>
      </c>
      <c r="E114" s="2855">
        <v>0.1</v>
      </c>
      <c r="F114" s="2855">
        <v>15</v>
      </c>
    </row>
    <row r="115" spans="1:6" ht="24">
      <c r="A115" s="2855">
        <v>43</v>
      </c>
      <c r="B115" s="3535"/>
      <c r="C115" s="2855" t="s">
        <v>2727</v>
      </c>
      <c r="D115" s="2829" t="s">
        <v>2728</v>
      </c>
      <c r="E115" s="2855">
        <v>0.1</v>
      </c>
      <c r="F115" s="2855">
        <v>15</v>
      </c>
    </row>
    <row r="116" spans="1:6" ht="24">
      <c r="A116" s="2855">
        <v>44</v>
      </c>
      <c r="B116" s="3530" t="s">
        <v>2729</v>
      </c>
      <c r="C116" s="2855" t="s">
        <v>2730</v>
      </c>
      <c r="D116" s="2829" t="s">
        <v>2731</v>
      </c>
      <c r="E116" s="2855">
        <v>0.1</v>
      </c>
      <c r="F116" s="2855">
        <v>15</v>
      </c>
    </row>
    <row r="117" spans="1:6" ht="24">
      <c r="A117" s="2855">
        <v>45</v>
      </c>
      <c r="B117" s="3534"/>
      <c r="C117" s="2829" t="s">
        <v>2732</v>
      </c>
      <c r="D117" s="2829" t="s">
        <v>2733</v>
      </c>
      <c r="E117" s="2855">
        <v>0.1</v>
      </c>
      <c r="F117" s="2855">
        <v>15</v>
      </c>
    </row>
    <row r="118" spans="1:6" ht="24">
      <c r="A118" s="2855">
        <v>46</v>
      </c>
      <c r="B118" s="3530" t="s">
        <v>2734</v>
      </c>
      <c r="C118" s="2855" t="s">
        <v>2735</v>
      </c>
      <c r="D118" s="2829" t="s">
        <v>2736</v>
      </c>
      <c r="E118" s="2855">
        <v>0.1</v>
      </c>
      <c r="F118" s="2855">
        <v>15</v>
      </c>
    </row>
    <row r="119" spans="1:6" ht="24">
      <c r="A119" s="2855">
        <v>47</v>
      </c>
      <c r="B119" s="3534"/>
      <c r="C119" s="2855" t="s">
        <v>2737</v>
      </c>
      <c r="D119" s="2829" t="s">
        <v>2738</v>
      </c>
      <c r="E119" s="2855">
        <v>0.1</v>
      </c>
      <c r="F119" s="2855">
        <v>15</v>
      </c>
    </row>
    <row r="120" spans="1:6" ht="24">
      <c r="A120" s="2855">
        <v>48</v>
      </c>
      <c r="B120" s="3530" t="s">
        <v>2739</v>
      </c>
      <c r="C120" s="2855" t="s">
        <v>2740</v>
      </c>
      <c r="D120" s="2829" t="s">
        <v>2741</v>
      </c>
      <c r="E120" s="2855">
        <v>0.1</v>
      </c>
      <c r="F120" s="2855">
        <v>15</v>
      </c>
    </row>
    <row r="121" spans="1:6" ht="24">
      <c r="A121" s="2855">
        <v>49</v>
      </c>
      <c r="B121" s="3534"/>
      <c r="C121" s="2855" t="s">
        <v>2742</v>
      </c>
      <c r="D121" s="2829" t="s">
        <v>2743</v>
      </c>
      <c r="E121" s="2855">
        <v>0.1</v>
      </c>
      <c r="F121" s="2855">
        <v>15</v>
      </c>
    </row>
    <row r="122" spans="1:6" ht="24">
      <c r="A122" s="2855">
        <v>50</v>
      </c>
      <c r="B122" s="3535" t="s">
        <v>2744</v>
      </c>
      <c r="C122" s="2855" t="s">
        <v>2745</v>
      </c>
      <c r="D122" s="2829" t="s">
        <v>2746</v>
      </c>
      <c r="E122" s="2855">
        <v>0.1</v>
      </c>
      <c r="F122" s="2855">
        <v>15</v>
      </c>
    </row>
    <row r="123" spans="1:6" ht="24">
      <c r="A123" s="2855">
        <v>51</v>
      </c>
      <c r="B123" s="3535"/>
      <c r="C123" s="2855" t="s">
        <v>2747</v>
      </c>
      <c r="D123" s="2829" t="s">
        <v>2748</v>
      </c>
      <c r="E123" s="2855">
        <v>0.1</v>
      </c>
      <c r="F123" s="2855">
        <v>15</v>
      </c>
    </row>
    <row r="124" spans="1:6" ht="24">
      <c r="A124" s="2855">
        <v>52</v>
      </c>
      <c r="B124" s="3535" t="s">
        <v>2749</v>
      </c>
      <c r="C124" s="2855" t="s">
        <v>2750</v>
      </c>
      <c r="D124" s="2829" t="s">
        <v>2751</v>
      </c>
      <c r="E124" s="2855">
        <v>0.1</v>
      </c>
      <c r="F124" s="2855">
        <v>15</v>
      </c>
    </row>
    <row r="125" spans="1:6" ht="24">
      <c r="A125" s="2855">
        <v>53</v>
      </c>
      <c r="B125" s="3535"/>
      <c r="C125" s="2855" t="s">
        <v>2752</v>
      </c>
      <c r="D125" s="2829" t="s">
        <v>2753</v>
      </c>
      <c r="E125" s="2855">
        <v>0.1</v>
      </c>
      <c r="F125" s="2855">
        <v>15</v>
      </c>
    </row>
    <row r="126" spans="1:6" ht="24">
      <c r="A126" s="2855">
        <v>54</v>
      </c>
      <c r="B126" s="2855" t="s">
        <v>2754</v>
      </c>
      <c r="C126" s="2855" t="s">
        <v>2755</v>
      </c>
      <c r="D126" s="2829" t="s">
        <v>2756</v>
      </c>
      <c r="E126" s="2855">
        <v>0.1</v>
      </c>
      <c r="F126" s="2855">
        <v>15</v>
      </c>
    </row>
    <row r="127" spans="1:6" ht="24">
      <c r="A127" s="2855">
        <v>55</v>
      </c>
      <c r="B127" s="3535" t="s">
        <v>2757</v>
      </c>
      <c r="C127" s="2855" t="s">
        <v>2758</v>
      </c>
      <c r="D127" s="2829" t="s">
        <v>2759</v>
      </c>
      <c r="E127" s="2855">
        <v>0.1</v>
      </c>
      <c r="F127" s="2855">
        <v>15</v>
      </c>
    </row>
    <row r="128" spans="1:6" ht="24">
      <c r="A128" s="2855">
        <v>56</v>
      </c>
      <c r="B128" s="3535"/>
      <c r="C128" s="2855" t="s">
        <v>2760</v>
      </c>
      <c r="D128" s="2829" t="s">
        <v>2761</v>
      </c>
      <c r="E128" s="2855">
        <v>0.1</v>
      </c>
      <c r="F128" s="2855">
        <v>15</v>
      </c>
    </row>
    <row r="129" spans="1:6" ht="24">
      <c r="A129" s="2855">
        <v>57</v>
      </c>
      <c r="B129" s="3535"/>
      <c r="C129" s="2855" t="s">
        <v>2762</v>
      </c>
      <c r="D129" s="2829" t="s">
        <v>2763</v>
      </c>
      <c r="E129" s="2855">
        <v>0.1</v>
      </c>
      <c r="F129" s="2855">
        <v>15</v>
      </c>
    </row>
    <row r="130" spans="1:6" ht="24">
      <c r="A130" s="2855">
        <v>58</v>
      </c>
      <c r="B130" s="3535" t="s">
        <v>2764</v>
      </c>
      <c r="C130" s="2855" t="s">
        <v>2765</v>
      </c>
      <c r="D130" s="2829" t="s">
        <v>2766</v>
      </c>
      <c r="E130" s="2855">
        <v>0.1</v>
      </c>
      <c r="F130" s="2855">
        <v>15</v>
      </c>
    </row>
    <row r="131" spans="1:6" ht="24">
      <c r="A131" s="2855">
        <v>59</v>
      </c>
      <c r="B131" s="3535"/>
      <c r="C131" s="2855" t="s">
        <v>2767</v>
      </c>
      <c r="D131" s="2829" t="s">
        <v>2768</v>
      </c>
      <c r="E131" s="2855">
        <v>0.1</v>
      </c>
      <c r="F131" s="2855">
        <v>15</v>
      </c>
    </row>
    <row r="132" spans="1:6" ht="24">
      <c r="A132" s="2855">
        <v>60</v>
      </c>
      <c r="B132" s="3530" t="s">
        <v>2769</v>
      </c>
      <c r="C132" s="2855" t="s">
        <v>2770</v>
      </c>
      <c r="D132" s="2829" t="s">
        <v>2771</v>
      </c>
      <c r="E132" s="2855">
        <v>0.1</v>
      </c>
      <c r="F132" s="2855">
        <v>15</v>
      </c>
    </row>
    <row r="133" spans="1:6" ht="24">
      <c r="A133" s="2855">
        <v>61</v>
      </c>
      <c r="B133" s="3534"/>
      <c r="C133" s="2855" t="s">
        <v>2772</v>
      </c>
      <c r="D133" s="2829" t="s">
        <v>2773</v>
      </c>
      <c r="E133" s="2855">
        <v>0.1</v>
      </c>
      <c r="F133" s="2855">
        <v>15</v>
      </c>
    </row>
    <row r="134" spans="1:6" ht="24">
      <c r="A134" s="2855">
        <v>62</v>
      </c>
      <c r="B134" s="2855" t="s">
        <v>2774</v>
      </c>
      <c r="C134" s="2855" t="s">
        <v>2775</v>
      </c>
      <c r="D134" s="2829" t="s">
        <v>2776</v>
      </c>
      <c r="E134" s="2855">
        <v>0.1</v>
      </c>
      <c r="F134" s="2855">
        <v>15</v>
      </c>
    </row>
    <row r="135" spans="1:6" ht="24">
      <c r="A135" s="2855">
        <v>63</v>
      </c>
      <c r="B135" s="3535" t="s">
        <v>2777</v>
      </c>
      <c r="C135" s="2855" t="s">
        <v>2778</v>
      </c>
      <c r="D135" s="2829" t="s">
        <v>2779</v>
      </c>
      <c r="E135" s="2855">
        <v>0.1</v>
      </c>
      <c r="F135" s="2855">
        <v>15</v>
      </c>
    </row>
    <row r="136" spans="1:6" ht="24">
      <c r="A136" s="2855">
        <v>64</v>
      </c>
      <c r="B136" s="3535"/>
      <c r="C136" s="2855" t="s">
        <v>2780</v>
      </c>
      <c r="D136" s="2829" t="s">
        <v>2781</v>
      </c>
      <c r="E136" s="2855">
        <v>0.1</v>
      </c>
      <c r="F136" s="2855">
        <v>15</v>
      </c>
    </row>
    <row r="137" spans="1:6" ht="24">
      <c r="A137" s="2855">
        <v>65</v>
      </c>
      <c r="B137" s="2855" t="s">
        <v>2782</v>
      </c>
      <c r="C137" s="2855" t="s">
        <v>2783</v>
      </c>
      <c r="D137" s="2829" t="s">
        <v>2784</v>
      </c>
      <c r="E137" s="2855">
        <v>0.1</v>
      </c>
      <c r="F137" s="2855">
        <v>15</v>
      </c>
    </row>
    <row r="138" spans="1:6" ht="14.4">
      <c r="A138" s="2855"/>
      <c r="B138" s="2855"/>
      <c r="C138" s="2855"/>
      <c r="D138" s="2855"/>
      <c r="E138" s="2855" t="s">
        <v>2785</v>
      </c>
      <c r="F138" s="2855"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2786</v>
      </c>
      <c r="B1" s="2863"/>
      <c r="C1" s="2863"/>
      <c r="D1" s="2863"/>
      <c r="E1" s="2863"/>
      <c r="F1" s="2863"/>
      <c r="G1" s="2863"/>
      <c r="H1" s="2863"/>
      <c r="I1" s="2863"/>
      <c r="J1" s="2863"/>
      <c r="K1" s="2863"/>
      <c r="L1" s="2863"/>
      <c r="M1" s="2863"/>
      <c r="N1" s="705"/>
    </row>
    <row r="2" spans="1:20">
      <c r="A2" s="2864" t="s">
        <v>2787</v>
      </c>
      <c r="B2" s="2865" t="s">
        <v>2583</v>
      </c>
      <c r="C2" s="2865" t="s">
        <v>2584</v>
      </c>
      <c r="D2" s="2865" t="s">
        <v>2585</v>
      </c>
      <c r="E2" s="2865" t="s">
        <v>2586</v>
      </c>
      <c r="F2" s="2865" t="s">
        <v>2587</v>
      </c>
      <c r="G2" s="2865" t="s">
        <v>2588</v>
      </c>
      <c r="H2" s="2866" t="s">
        <v>2589</v>
      </c>
      <c r="I2" s="2866" t="s">
        <v>2590</v>
      </c>
      <c r="J2" s="2867" t="s">
        <v>2591</v>
      </c>
      <c r="K2" s="2867" t="s">
        <v>2592</v>
      </c>
      <c r="L2" s="2867" t="s">
        <v>2593</v>
      </c>
      <c r="M2" s="2868" t="s">
        <v>2594</v>
      </c>
      <c r="Q2" s="2878" t="s">
        <v>2792</v>
      </c>
      <c r="R2" s="2878" t="s">
        <v>2793</v>
      </c>
      <c r="S2" s="2878" t="s">
        <v>2794</v>
      </c>
      <c r="T2" s="2878" t="s">
        <v>2795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2788</v>
      </c>
      <c r="B93" s="2863"/>
      <c r="C93" s="2863"/>
      <c r="D93" s="2863"/>
      <c r="E93" s="2863"/>
      <c r="F93" s="2863"/>
      <c r="G93" s="2863"/>
      <c r="H93" s="2863"/>
      <c r="I93" s="2863"/>
      <c r="J93" s="2863"/>
      <c r="K93" s="2863"/>
      <c r="L93" s="2863"/>
      <c r="M93" s="2863"/>
    </row>
    <row r="94" spans="1:20">
      <c r="A94" s="2864" t="s">
        <v>2787</v>
      </c>
      <c r="B94" s="2865" t="s">
        <v>2583</v>
      </c>
      <c r="C94" s="2865" t="s">
        <v>2584</v>
      </c>
      <c r="D94" s="2865" t="s">
        <v>2585</v>
      </c>
      <c r="E94" s="2865" t="s">
        <v>2586</v>
      </c>
      <c r="F94" s="2865" t="s">
        <v>2587</v>
      </c>
      <c r="G94" s="2865" t="s">
        <v>2588</v>
      </c>
      <c r="H94" s="2866" t="s">
        <v>2589</v>
      </c>
      <c r="I94" s="2866" t="s">
        <v>2590</v>
      </c>
      <c r="J94" s="2867" t="s">
        <v>2591</v>
      </c>
      <c r="K94" s="2867" t="s">
        <v>2592</v>
      </c>
      <c r="L94" s="2867" t="s">
        <v>2593</v>
      </c>
      <c r="M94" s="2868" t="s">
        <v>2594</v>
      </c>
      <c r="N94">
        <f>SUMPRODUCT((A95:A184=ROUNDDOWN(基准地价修正!G3,1))*(B94:M94=基准地价修正!G2)*(B95:M184))</f>
        <v>1.2302</v>
      </c>
      <c r="Q94" s="2878" t="s">
        <v>2792</v>
      </c>
      <c r="R94" s="2878" t="s">
        <v>2793</v>
      </c>
      <c r="S94" s="2878" t="s">
        <v>2794</v>
      </c>
      <c r="T94" s="2878" t="s">
        <v>2795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2789</v>
      </c>
      <c r="B185" s="2863"/>
      <c r="C185" s="2863"/>
      <c r="D185" s="2863"/>
      <c r="E185" s="2863"/>
      <c r="F185" s="2863"/>
      <c r="G185" s="2863"/>
      <c r="H185" s="2863"/>
      <c r="I185" s="2863"/>
      <c r="J185" s="2863"/>
      <c r="K185" s="2863"/>
      <c r="L185" s="2863"/>
      <c r="M185" s="2863"/>
    </row>
    <row r="186" spans="1:20">
      <c r="A186" s="2864" t="s">
        <v>2787</v>
      </c>
      <c r="B186" s="2865" t="s">
        <v>2583</v>
      </c>
      <c r="C186" s="2865" t="s">
        <v>2584</v>
      </c>
      <c r="D186" s="2865" t="s">
        <v>2585</v>
      </c>
      <c r="E186" s="2865" t="s">
        <v>2586</v>
      </c>
      <c r="F186" s="2865" t="s">
        <v>2587</v>
      </c>
      <c r="G186" s="2865" t="s">
        <v>2588</v>
      </c>
      <c r="H186" s="2866" t="s">
        <v>2589</v>
      </c>
      <c r="I186" s="2866" t="s">
        <v>2590</v>
      </c>
      <c r="J186" s="2867" t="s">
        <v>2591</v>
      </c>
      <c r="K186" s="2867" t="s">
        <v>2592</v>
      </c>
      <c r="L186" s="2867" t="s">
        <v>2593</v>
      </c>
      <c r="M186" s="2868" t="s">
        <v>2594</v>
      </c>
      <c r="Q186" s="2878" t="s">
        <v>2792</v>
      </c>
      <c r="R186" s="2878" t="s">
        <v>2793</v>
      </c>
      <c r="S186" s="2878" t="s">
        <v>2794</v>
      </c>
      <c r="T186" s="2878" t="s">
        <v>2795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2790</v>
      </c>
      <c r="B277" s="2863"/>
      <c r="C277" s="2863"/>
      <c r="D277" s="2863"/>
      <c r="E277" s="2863"/>
      <c r="F277" s="2863"/>
      <c r="G277" s="2863"/>
      <c r="H277" s="2863"/>
      <c r="I277" s="2863"/>
      <c r="J277" s="2863"/>
      <c r="K277" s="2863"/>
      <c r="L277" s="2863"/>
      <c r="M277" s="2863"/>
    </row>
    <row r="278" spans="1:21">
      <c r="A278" s="2864" t="s">
        <v>2787</v>
      </c>
      <c r="B278" s="2865" t="s">
        <v>2583</v>
      </c>
      <c r="C278" s="2865" t="s">
        <v>2584</v>
      </c>
      <c r="D278" s="2865" t="s">
        <v>2585</v>
      </c>
      <c r="E278" s="2865" t="s">
        <v>2586</v>
      </c>
      <c r="F278" s="2865" t="s">
        <v>2587</v>
      </c>
      <c r="G278" s="2865" t="s">
        <v>2588</v>
      </c>
      <c r="H278" s="2866" t="s">
        <v>2589</v>
      </c>
      <c r="I278" s="2866" t="s">
        <v>2590</v>
      </c>
      <c r="J278" s="2867" t="s">
        <v>2591</v>
      </c>
      <c r="K278" s="2867" t="s">
        <v>2592</v>
      </c>
      <c r="L278" s="2867" t="s">
        <v>2593</v>
      </c>
      <c r="M278" s="2868" t="s">
        <v>2594</v>
      </c>
      <c r="Q278" s="2878" t="s">
        <v>2792</v>
      </c>
      <c r="R278" s="2878" t="s">
        <v>2793</v>
      </c>
      <c r="S278" s="2878" t="s">
        <v>2796</v>
      </c>
      <c r="T278" s="2878" t="s">
        <v>2797</v>
      </c>
      <c r="U278" s="2878" t="s">
        <v>2795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2791</v>
      </c>
      <c r="B369" s="2876"/>
      <c r="C369" s="2876"/>
      <c r="D369" s="2876"/>
      <c r="E369" s="2876"/>
      <c r="F369" s="2876"/>
      <c r="G369" s="2876"/>
      <c r="H369" s="2876"/>
      <c r="I369" s="2876"/>
      <c r="J369" s="2876"/>
      <c r="K369" s="2876"/>
      <c r="L369" s="2876"/>
      <c r="M369" s="2876"/>
    </row>
    <row r="370" spans="1:20">
      <c r="A370" s="2864" t="s">
        <v>2787</v>
      </c>
      <c r="B370" s="2865" t="s">
        <v>2583</v>
      </c>
      <c r="C370" s="2865" t="s">
        <v>2584</v>
      </c>
      <c r="D370" s="2865" t="s">
        <v>2585</v>
      </c>
      <c r="E370" s="2865" t="s">
        <v>2586</v>
      </c>
      <c r="F370" s="2865" t="s">
        <v>2587</v>
      </c>
      <c r="G370" s="2865" t="s">
        <v>2588</v>
      </c>
      <c r="H370" s="2866" t="s">
        <v>2589</v>
      </c>
      <c r="I370" s="2866" t="s">
        <v>2590</v>
      </c>
      <c r="J370" s="2867" t="s">
        <v>2591</v>
      </c>
      <c r="K370" s="2867" t="s">
        <v>2592</v>
      </c>
      <c r="L370" s="2867" t="s">
        <v>2593</v>
      </c>
      <c r="M370" s="2868" t="s">
        <v>2594</v>
      </c>
      <c r="N370">
        <f>SUMPRODUCT((A371:A460=ROUNDDOWN(基准地价修正!G3,1))*(B370:M370=基准地价修正!G2)*(B371:M460))</f>
        <v>1.1198999999999999</v>
      </c>
      <c r="Q370" s="2878" t="s">
        <v>2792</v>
      </c>
      <c r="R370" s="2878" t="s">
        <v>2793</v>
      </c>
      <c r="S370" s="2878" t="s">
        <v>2794</v>
      </c>
      <c r="T370" s="2878" t="s">
        <v>2795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32548</v>
      </c>
      <c r="C2" s="2" t="s">
        <v>106</v>
      </c>
      <c r="D2" s="189"/>
      <c r="E2" s="189"/>
      <c r="F2" s="189"/>
      <c r="G2" s="189"/>
    </row>
    <row r="3" spans="1:7" s="190" customFormat="1" ht="18" customHeight="1" thickBot="1">
      <c r="A3" s="193" t="s">
        <v>58</v>
      </c>
      <c r="B3" s="194">
        <f ca="1">ROUND(B2*10000/'数据-汇总表'!E3,0)</f>
        <v>264019</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160</v>
      </c>
      <c r="F9" s="211"/>
      <c r="G9" s="216"/>
    </row>
    <row r="10" spans="1:7" s="204" customFormat="1" ht="13.5" customHeight="1">
      <c r="A10" s="731" t="s">
        <v>356</v>
      </c>
      <c r="B10" s="214" t="s">
        <v>67</v>
      </c>
      <c r="C10" s="215">
        <f>ROUND(D10*E10/10000,0)</f>
        <v>25</v>
      </c>
      <c r="D10" s="793">
        <f>'数据-汇总表'!E6</f>
        <v>1232.79</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25</v>
      </c>
      <c r="D19" s="202">
        <f>'数据-汇总表'!E3</f>
        <v>1232.79</v>
      </c>
      <c r="E19" s="201">
        <f>'数据-取费表'!B31</f>
        <v>200</v>
      </c>
      <c r="F19" s="221"/>
      <c r="G19" s="1" t="s">
        <v>436</v>
      </c>
    </row>
    <row r="20" spans="1:7" s="204" customFormat="1" ht="13.5" customHeight="1">
      <c r="A20" s="729" t="s">
        <v>419</v>
      </c>
      <c r="B20" s="200" t="s">
        <v>77</v>
      </c>
      <c r="C20" s="222">
        <f>ROUND((C5+C19)*F20,0)</f>
        <v>1032</v>
      </c>
      <c r="D20" s="222"/>
      <c r="E20" s="222"/>
      <c r="F20" s="223">
        <f>'数据-取费表'!B37</f>
        <v>0.05</v>
      </c>
      <c r="G20" s="1002" t="s">
        <v>430</v>
      </c>
    </row>
    <row r="21" spans="1:7" s="204" customFormat="1" ht="13.5" customHeight="1">
      <c r="A21" s="729" t="s">
        <v>421</v>
      </c>
      <c r="B21" s="200" t="s">
        <v>78</v>
      </c>
      <c r="C21" s="225">
        <f>F21</f>
        <v>0.03</v>
      </c>
      <c r="D21" s="226" t="s">
        <v>99</v>
      </c>
      <c r="E21" s="222"/>
      <c r="F21" s="223">
        <f>'数据-取费表'!B38</f>
        <v>0.03</v>
      </c>
      <c r="G21" s="224" t="s">
        <v>79</v>
      </c>
    </row>
    <row r="22" spans="1:7" s="204" customFormat="1" ht="13.5" customHeight="1">
      <c r="A22" s="729" t="s">
        <v>341</v>
      </c>
      <c r="B22" s="200" t="s">
        <v>80</v>
      </c>
      <c r="C22" s="1039">
        <f ca="1">ROUND(SUM(C23:C25),0)</f>
        <v>2027</v>
      </c>
      <c r="D22" s="225">
        <f ca="1">C26</f>
        <v>1.4E-3</v>
      </c>
      <c r="E22" s="226" t="s">
        <v>99</v>
      </c>
      <c r="F22" s="227">
        <f ca="1">'数据-取费表'!B40</f>
        <v>3.1E-2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1977</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2</v>
      </c>
      <c r="D24" s="228"/>
      <c r="E24" s="228"/>
      <c r="F24" s="229"/>
      <c r="G24" s="230" t="s">
        <v>82</v>
      </c>
    </row>
    <row r="25" spans="1:7" s="204" customFormat="1" ht="24">
      <c r="A25" s="732" t="s">
        <v>348</v>
      </c>
      <c r="B25" s="205" t="s">
        <v>420</v>
      </c>
      <c r="C25" s="1040">
        <f ca="1">ROUND(IF('数据-取费表'!B22&lt;=1,C20*F22*'数据-取费表'!B23/2,C20*(POWER((1+F22),'数据-取费表'!B23/2)-1)),0)</f>
        <v>48</v>
      </c>
      <c r="D25" s="228"/>
      <c r="E25" s="231"/>
      <c r="F25" s="229"/>
      <c r="G25" s="232" t="s">
        <v>83</v>
      </c>
    </row>
    <row r="26" spans="1:7" s="204" customFormat="1">
      <c r="A26" s="732" t="s">
        <v>350</v>
      </c>
      <c r="B26" s="205" t="s">
        <v>422</v>
      </c>
      <c r="C26" s="228">
        <f ca="1">ROUND(IF('数据-取费表'!B22&lt;=1,F21*F22*'数据-取费表'!B23/2,F21*(POWER((1+F22),'数据-取费表'!B23/2)-1)),4)</f>
        <v>1.4E-3</v>
      </c>
      <c r="D26" s="228"/>
      <c r="E26" s="231"/>
      <c r="F26" s="229"/>
      <c r="G26" s="233"/>
    </row>
    <row r="27" spans="1:7" s="204" customFormat="1" ht="26.4">
      <c r="A27" s="729" t="s">
        <v>342</v>
      </c>
      <c r="B27" s="234" t="s">
        <v>85</v>
      </c>
      <c r="C27" s="235">
        <f>C28</f>
        <v>4333</v>
      </c>
      <c r="D27" s="225">
        <f>C29</f>
        <v>6.0000000000000001E-3</v>
      </c>
      <c r="E27" s="226" t="s">
        <v>99</v>
      </c>
      <c r="F27" s="236">
        <f>'数据-取费表'!Q16</f>
        <v>0.2</v>
      </c>
      <c r="G27" s="237" t="s">
        <v>431</v>
      </c>
    </row>
    <row r="28" spans="1:7" s="204" customFormat="1" ht="13.5" customHeight="1">
      <c r="A28" s="732" t="s">
        <v>349</v>
      </c>
      <c r="B28" s="238" t="s">
        <v>424</v>
      </c>
      <c r="C28" s="239">
        <f>ROUND((C5+C19+C20)*F27*'数据-取费表'!B21/'数据-取费表'!B20,0)</f>
        <v>4333</v>
      </c>
      <c r="D28" s="225"/>
      <c r="E28" s="226"/>
      <c r="F28" s="236"/>
      <c r="G28" s="237"/>
    </row>
    <row r="29" spans="1:7" s="204" customFormat="1" ht="13.5" customHeight="1">
      <c r="A29" s="732" t="s">
        <v>347</v>
      </c>
      <c r="B29" s="238" t="s">
        <v>425</v>
      </c>
      <c r="C29" s="228">
        <f>ROUND(C21*F27*'数据-取费表'!B21/'数据-取费表'!B20,4)</f>
        <v>6.0000000000000001E-3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30791</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1357</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1233</v>
      </c>
      <c r="D34" s="207"/>
      <c r="E34" s="210"/>
      <c r="F34" s="247">
        <f>IF('数据-取费表'!B24=0,1,'数据-取费表'!N16)</f>
        <v>1</v>
      </c>
      <c r="G34" s="209" t="s">
        <v>89</v>
      </c>
    </row>
    <row r="35" spans="1:7" ht="13.5" customHeight="1">
      <c r="A35" s="732" t="s">
        <v>351</v>
      </c>
      <c r="B35" s="205" t="s">
        <v>33</v>
      </c>
      <c r="C35" s="210">
        <f>ROUND(C34*F35,0)</f>
        <v>62</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25</v>
      </c>
      <c r="D37" s="207">
        <f>'数据-汇总表'!E3</f>
        <v>1232.79</v>
      </c>
      <c r="E37" s="239">
        <f>'数据-取费表'!B35</f>
        <v>200</v>
      </c>
      <c r="F37" s="249"/>
      <c r="G37" s="251" t="s">
        <v>92</v>
      </c>
    </row>
    <row r="38" spans="1:7" ht="13.5" customHeight="1">
      <c r="A38" s="732" t="s">
        <v>354</v>
      </c>
      <c r="B38" s="205" t="s">
        <v>36</v>
      </c>
      <c r="C38" s="210">
        <f>ROUND(C34*F38,0)</f>
        <v>37</v>
      </c>
      <c r="D38" s="210"/>
      <c r="E38" s="210"/>
      <c r="F38" s="249">
        <f>'数据-取费表'!B36</f>
        <v>0.03</v>
      </c>
      <c r="G38" s="209" t="s">
        <v>90</v>
      </c>
    </row>
    <row r="39" spans="1:7" s="204" customFormat="1" ht="13.5" customHeight="1">
      <c r="A39" s="729" t="s">
        <v>338</v>
      </c>
      <c r="B39" s="200" t="s">
        <v>77</v>
      </c>
      <c r="C39" s="222">
        <f>ROUND(C33*F20,0)</f>
        <v>68</v>
      </c>
      <c r="D39" s="222"/>
      <c r="E39" s="222"/>
      <c r="F39" s="223"/>
      <c r="G39" s="1002" t="s">
        <v>433</v>
      </c>
    </row>
    <row r="40" spans="1:7" s="204" customFormat="1" ht="13.5" customHeight="1">
      <c r="A40" s="729" t="s">
        <v>339</v>
      </c>
      <c r="B40" s="200" t="s">
        <v>78</v>
      </c>
      <c r="C40" s="252">
        <f>F21</f>
        <v>0.03</v>
      </c>
      <c r="D40" s="226" t="s">
        <v>102</v>
      </c>
      <c r="E40" s="222"/>
      <c r="F40" s="223"/>
      <c r="G40" s="224" t="s">
        <v>93</v>
      </c>
    </row>
    <row r="41" spans="1:7" s="204" customFormat="1" ht="13.5" customHeight="1">
      <c r="A41" s="729" t="s">
        <v>340</v>
      </c>
      <c r="B41" s="200" t="s">
        <v>80</v>
      </c>
      <c r="C41" s="222">
        <f ca="1">ROUND(SUM(C42:C43),0)</f>
        <v>67</v>
      </c>
      <c r="D41" s="225">
        <f ca="1">C44</f>
        <v>1.4E-3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64</v>
      </c>
      <c r="D42" s="228"/>
      <c r="E42" s="228"/>
      <c r="F42" s="229"/>
      <c r="G42" s="3401" t="s">
        <v>94</v>
      </c>
    </row>
    <row r="43" spans="1:7" ht="13.5" customHeight="1">
      <c r="A43" s="732" t="s">
        <v>347</v>
      </c>
      <c r="B43" s="205" t="s">
        <v>426</v>
      </c>
      <c r="C43" s="228">
        <f ca="1">ROUND(IF('数据-取费表'!B22&lt;=1,C39*F22*'数据-取费表'!B21/2,C39*(POWER((1+F22),'数据-取费表'!B21/2)-1)),0)</f>
        <v>3</v>
      </c>
      <c r="D43" s="228"/>
      <c r="E43" s="228"/>
      <c r="F43" s="229"/>
      <c r="G43" s="3402"/>
    </row>
    <row r="44" spans="1:7" ht="13.5" customHeight="1">
      <c r="A44" s="732" t="s">
        <v>348</v>
      </c>
      <c r="B44" s="205" t="s">
        <v>428</v>
      </c>
      <c r="C44" s="228">
        <f ca="1">ROUND(IF('数据-取费表'!B22&lt;=1,C40*F22*'数据-取费表'!B21/2,C40*(POWER((1+F22),'数据-取费表'!B21/2)-1)),4)</f>
        <v>1.4E-3</v>
      </c>
      <c r="D44" s="228"/>
      <c r="E44" s="228"/>
      <c r="F44" s="229"/>
      <c r="G44" s="3403"/>
    </row>
    <row r="45" spans="1:7" s="204" customFormat="1" ht="13.5" customHeight="1">
      <c r="A45" s="729" t="s">
        <v>341</v>
      </c>
      <c r="B45" s="234" t="s">
        <v>85</v>
      </c>
      <c r="C45" s="235">
        <f>C46</f>
        <v>285</v>
      </c>
      <c r="D45" s="225">
        <f>C47</f>
        <v>6.0000000000000001E-3</v>
      </c>
      <c r="E45" s="226" t="s">
        <v>102</v>
      </c>
      <c r="F45" s="236"/>
      <c r="G45" s="237" t="s">
        <v>434</v>
      </c>
    </row>
    <row r="46" spans="1:7" s="204" customFormat="1" ht="13.5" customHeight="1">
      <c r="A46" s="732" t="s">
        <v>349</v>
      </c>
      <c r="B46" s="238" t="s">
        <v>427</v>
      </c>
      <c r="C46" s="239">
        <f>ROUND((C33+C39)*F27,0)</f>
        <v>285</v>
      </c>
      <c r="D46" s="253"/>
      <c r="E46" s="226"/>
      <c r="F46" s="236"/>
      <c r="G46" s="237"/>
    </row>
    <row r="47" spans="1:7" s="204" customFormat="1" ht="13.5" customHeight="1">
      <c r="A47" s="732" t="s">
        <v>347</v>
      </c>
      <c r="B47" s="238" t="s">
        <v>429</v>
      </c>
      <c r="C47" s="228">
        <f>ROUND(C40*F27,4)</f>
        <v>6.0000000000000001E-3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1952</v>
      </c>
      <c r="D49" s="222"/>
      <c r="E49" s="222"/>
      <c r="F49" s="254"/>
      <c r="G49" s="224" t="s">
        <v>435</v>
      </c>
    </row>
    <row r="50" spans="1:7" s="248" customFormat="1" ht="24">
      <c r="A50" s="729" t="s">
        <v>344</v>
      </c>
      <c r="B50" s="200" t="s">
        <v>97</v>
      </c>
      <c r="C50" s="222"/>
      <c r="D50" s="222"/>
      <c r="E50" s="222"/>
      <c r="F50" s="254">
        <f>IF('数据-取费表'!B24=0,'数据-取费表'!N16,1)</f>
        <v>0.9</v>
      </c>
      <c r="G50" s="237" t="s">
        <v>98</v>
      </c>
    </row>
    <row r="51" spans="1:7" ht="16.5" customHeight="1">
      <c r="A51" s="729" t="s">
        <v>345</v>
      </c>
      <c r="B51" s="200" t="s">
        <v>105</v>
      </c>
      <c r="C51" s="222">
        <f ca="1">ROUND(C49*F50,0)</f>
        <v>1757</v>
      </c>
      <c r="D51" s="222"/>
      <c r="E51" s="222"/>
      <c r="F51" s="254"/>
      <c r="G51" s="224" t="s">
        <v>37</v>
      </c>
    </row>
    <row r="52" spans="1:7" s="198" customFormat="1" ht="16.8" thickBot="1">
      <c r="A52" s="255" t="s">
        <v>38</v>
      </c>
      <c r="B52" s="256"/>
      <c r="C52" s="257">
        <f ca="1">C31+C51</f>
        <v>32548</v>
      </c>
      <c r="D52" s="256"/>
      <c r="E52" s="256"/>
      <c r="F52" s="256"/>
      <c r="G52" s="258"/>
    </row>
    <row r="55" spans="1:7" ht="15">
      <c r="B55" s="260" t="s">
        <v>39</v>
      </c>
      <c r="C55" s="261"/>
    </row>
    <row r="56" spans="1:7">
      <c r="B56" s="263" t="s">
        <v>40</v>
      </c>
      <c r="C56" s="264">
        <f ca="1">ROUND(C51/C52,3)</f>
        <v>5.3999999999999999E-2</v>
      </c>
    </row>
    <row r="57" spans="1:7">
      <c r="B57" s="263" t="s">
        <v>41</v>
      </c>
      <c r="C57" s="265">
        <f ca="1">1-C56</f>
        <v>0.94599999999999995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38" t="s">
        <v>2827</v>
      </c>
      <c r="B1" s="3538"/>
      <c r="C1" s="3538"/>
      <c r="D1" s="3538"/>
      <c r="E1" s="3538"/>
      <c r="F1" s="3538"/>
      <c r="G1" s="3539"/>
      <c r="I1" s="2936" t="s">
        <v>2828</v>
      </c>
      <c r="J1" s="2937" t="s">
        <v>2829</v>
      </c>
      <c r="K1" s="2937" t="s">
        <v>2830</v>
      </c>
      <c r="L1" s="2937" t="s">
        <v>2831</v>
      </c>
      <c r="M1" s="2937" t="s">
        <v>2832</v>
      </c>
      <c r="N1" s="2937" t="s">
        <v>2833</v>
      </c>
      <c r="O1" s="2937" t="s">
        <v>2834</v>
      </c>
      <c r="P1" s="2937" t="s">
        <v>2835</v>
      </c>
      <c r="Q1" s="2937" t="s">
        <v>2836</v>
      </c>
      <c r="R1" s="2937" t="s">
        <v>2837</v>
      </c>
      <c r="S1" s="2937" t="s">
        <v>2838</v>
      </c>
      <c r="T1" s="2938" t="s">
        <v>2839</v>
      </c>
    </row>
    <row r="2" spans="1:20" ht="11.4" thickBot="1">
      <c r="A2" s="2939" t="s">
        <v>2840</v>
      </c>
      <c r="B2" s="2939"/>
      <c r="C2" s="2939"/>
      <c r="D2" s="2939"/>
      <c r="E2" s="2939"/>
      <c r="F2" s="2939"/>
      <c r="G2" s="2940" t="s">
        <v>2841</v>
      </c>
      <c r="I2" s="2941" t="s">
        <v>2842</v>
      </c>
      <c r="J2" s="2941" t="s">
        <v>2843</v>
      </c>
      <c r="K2" s="2941" t="s">
        <v>2844</v>
      </c>
      <c r="L2" s="2941" t="s">
        <v>2845</v>
      </c>
      <c r="M2" s="2941" t="s">
        <v>2846</v>
      </c>
      <c r="N2" s="2941" t="s">
        <v>2847</v>
      </c>
      <c r="O2" s="2941" t="s">
        <v>2848</v>
      </c>
      <c r="P2" s="2941" t="s">
        <v>2849</v>
      </c>
      <c r="Q2" s="2941" t="s">
        <v>2850</v>
      </c>
      <c r="R2" s="2941" t="s">
        <v>2851</v>
      </c>
      <c r="S2" s="2941" t="s">
        <v>2852</v>
      </c>
      <c r="T2" s="2941" t="s">
        <v>2853</v>
      </c>
    </row>
    <row r="3" spans="1:20" s="2947" customFormat="1">
      <c r="A3" s="3536" t="s">
        <v>2854</v>
      </c>
      <c r="B3" s="2942"/>
      <c r="C3" s="2943" t="s">
        <v>2799</v>
      </c>
      <c r="D3" s="2943" t="s">
        <v>2855</v>
      </c>
      <c r="E3" s="2943" t="s">
        <v>2801</v>
      </c>
      <c r="F3" s="2943" t="s">
        <v>2856</v>
      </c>
      <c r="G3" s="2943" t="s">
        <v>2619</v>
      </c>
      <c r="H3" s="2944"/>
      <c r="I3" s="2945" t="s">
        <v>2857</v>
      </c>
      <c r="J3" s="2946" t="s">
        <v>128</v>
      </c>
      <c r="K3" s="2946" t="s">
        <v>129</v>
      </c>
      <c r="L3" s="2945" t="s">
        <v>130</v>
      </c>
      <c r="M3" s="2945" t="s">
        <v>131</v>
      </c>
      <c r="N3" s="2945" t="s">
        <v>132</v>
      </c>
      <c r="O3" s="2945" t="s">
        <v>133</v>
      </c>
      <c r="P3" s="2945" t="s">
        <v>134</v>
      </c>
      <c r="Q3" s="2945" t="s">
        <v>135</v>
      </c>
      <c r="R3" s="2945" t="s">
        <v>136</v>
      </c>
      <c r="S3" s="2945" t="s">
        <v>2858</v>
      </c>
      <c r="T3" s="2945" t="s">
        <v>2859</v>
      </c>
    </row>
    <row r="4" spans="1:20" s="2947" customFormat="1" ht="11.4" thickBot="1">
      <c r="A4" s="3537"/>
      <c r="B4" s="2948" t="s">
        <v>2860</v>
      </c>
      <c r="C4" s="2948" t="s">
        <v>2861</v>
      </c>
      <c r="D4" s="2948" t="s">
        <v>2861</v>
      </c>
      <c r="E4" s="2948" t="s">
        <v>2861</v>
      </c>
      <c r="F4" s="2949" t="s">
        <v>2861</v>
      </c>
      <c r="G4" s="2949" t="s">
        <v>2861</v>
      </c>
      <c r="H4" s="2944"/>
      <c r="I4" s="2946" t="s">
        <v>137</v>
      </c>
      <c r="J4" s="2946" t="s">
        <v>111</v>
      </c>
      <c r="K4" s="2946" t="s">
        <v>138</v>
      </c>
      <c r="L4" s="2945" t="s">
        <v>139</v>
      </c>
      <c r="M4" s="2945" t="s">
        <v>140</v>
      </c>
      <c r="N4" s="2945" t="s">
        <v>141</v>
      </c>
      <c r="O4" s="2945" t="s">
        <v>142</v>
      </c>
      <c r="P4" s="2945" t="s">
        <v>143</v>
      </c>
      <c r="Q4" s="2945" t="s">
        <v>2862</v>
      </c>
      <c r="R4" s="2945" t="s">
        <v>2863</v>
      </c>
      <c r="S4" s="2945" t="s">
        <v>2864</v>
      </c>
      <c r="T4" s="2945" t="s">
        <v>2865</v>
      </c>
    </row>
    <row r="5" spans="1:20">
      <c r="A5" s="2950" t="s">
        <v>2828</v>
      </c>
      <c r="B5" s="2941" t="s">
        <v>2842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2866</v>
      </c>
      <c r="R5" s="2945" t="s">
        <v>2867</v>
      </c>
      <c r="S5" s="2945" t="s">
        <v>153</v>
      </c>
      <c r="T5" s="2945" t="s">
        <v>2868</v>
      </c>
    </row>
    <row r="6" spans="1:20" ht="11.4" thickBot="1">
      <c r="A6" s="2945" t="s">
        <v>144</v>
      </c>
      <c r="B6" s="2945" t="s">
        <v>2857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2869</v>
      </c>
      <c r="Q6" s="2945" t="s">
        <v>2870</v>
      </c>
      <c r="R6" s="2945" t="s">
        <v>161</v>
      </c>
      <c r="S6" s="2945" t="s">
        <v>2871</v>
      </c>
      <c r="T6" s="2945" t="s">
        <v>2872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2873</v>
      </c>
      <c r="Q7" s="2945" t="s">
        <v>2874</v>
      </c>
      <c r="R7" s="2945" t="s">
        <v>2875</v>
      </c>
      <c r="S7" s="2945" t="s">
        <v>2876</v>
      </c>
      <c r="T7" s="2945" t="s">
        <v>2877</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2878</v>
      </c>
      <c r="Q8" s="2945" t="s">
        <v>174</v>
      </c>
      <c r="R8" s="2945" t="s">
        <v>2879</v>
      </c>
      <c r="S8" s="2945" t="s">
        <v>2880</v>
      </c>
      <c r="T8" s="2952" t="s">
        <v>2881</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2882</v>
      </c>
      <c r="Q9" s="2945" t="s">
        <v>182</v>
      </c>
      <c r="R9" s="2945" t="s">
        <v>183</v>
      </c>
      <c r="S9" s="2945" t="s">
        <v>200</v>
      </c>
    </row>
    <row r="10" spans="1:20">
      <c r="A10" s="2950" t="s">
        <v>184</v>
      </c>
      <c r="B10" s="2941" t="s">
        <v>2843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2884</v>
      </c>
      <c r="P11" s="2945" t="s">
        <v>191</v>
      </c>
      <c r="Q11" s="2945" t="s">
        <v>199</v>
      </c>
      <c r="R11" s="2945" t="s">
        <v>2885</v>
      </c>
      <c r="S11" s="2945" t="s">
        <v>2886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2887</v>
      </c>
      <c r="P12" s="2945" t="s">
        <v>2888</v>
      </c>
      <c r="Q12" s="2945" t="s">
        <v>2889</v>
      </c>
      <c r="R12" s="2945" t="s">
        <v>2890</v>
      </c>
      <c r="S12" s="2945" t="s">
        <v>2891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2893</v>
      </c>
      <c r="K14" s="2946" t="s">
        <v>215</v>
      </c>
      <c r="L14" s="2945" t="s">
        <v>216</v>
      </c>
      <c r="M14" s="2945" t="s">
        <v>217</v>
      </c>
      <c r="N14" s="2945" t="s">
        <v>218</v>
      </c>
      <c r="O14" s="2945" t="s">
        <v>240</v>
      </c>
      <c r="P14" s="2945" t="s">
        <v>213</v>
      </c>
      <c r="Q14" s="2945" t="s">
        <v>2894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2895</v>
      </c>
      <c r="P15" s="2945" t="s">
        <v>2896</v>
      </c>
      <c r="Q15" s="2945" t="s">
        <v>242</v>
      </c>
      <c r="R15" s="2945" t="s">
        <v>2897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2898</v>
      </c>
      <c r="P16" s="2945" t="s">
        <v>227</v>
      </c>
      <c r="Q16" s="2945" t="s">
        <v>250</v>
      </c>
      <c r="R16" s="2945" t="s">
        <v>207</v>
      </c>
      <c r="S16" s="2945" t="s">
        <v>2899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2900</v>
      </c>
      <c r="P17" s="2945" t="s">
        <v>2901</v>
      </c>
      <c r="Q17" s="2945" t="s">
        <v>256</v>
      </c>
      <c r="R17" s="2945" t="s">
        <v>2902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2903</v>
      </c>
      <c r="P18" s="2945" t="s">
        <v>241</v>
      </c>
      <c r="Q18" s="2945" t="s">
        <v>2904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2905</v>
      </c>
      <c r="P19" s="2945" t="s">
        <v>249</v>
      </c>
      <c r="Q19" s="2945" t="s">
        <v>2906</v>
      </c>
      <c r="R19" s="2945" t="s">
        <v>265</v>
      </c>
      <c r="S19" s="2945" t="s">
        <v>2907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2908</v>
      </c>
      <c r="P20" s="2945" t="s">
        <v>2909</v>
      </c>
      <c r="Q20" s="2945" t="s">
        <v>290</v>
      </c>
      <c r="R20" s="2945" t="s">
        <v>2910</v>
      </c>
      <c r="S20" s="2945" t="s">
        <v>277</v>
      </c>
    </row>
    <row r="21" spans="1:19" ht="14.25" customHeight="1" thickBot="1">
      <c r="A21" s="2945" t="s">
        <v>184</v>
      </c>
      <c r="B21" s="2946" t="s">
        <v>208</v>
      </c>
      <c r="C21" s="2945">
        <v>32370</v>
      </c>
      <c r="D21" s="2945">
        <v>26730</v>
      </c>
      <c r="E21" s="2945">
        <v>26640</v>
      </c>
      <c r="F21" s="2945"/>
      <c r="G21" s="2945">
        <v>19440</v>
      </c>
      <c r="J21" s="2952" t="s">
        <v>2911</v>
      </c>
      <c r="K21" s="2946" t="s">
        <v>267</v>
      </c>
      <c r="L21" s="2945" t="s">
        <v>268</v>
      </c>
      <c r="M21" s="2945" t="s">
        <v>269</v>
      </c>
      <c r="N21" s="2945" t="s">
        <v>270</v>
      </c>
      <c r="O21" s="2945" t="s">
        <v>264</v>
      </c>
      <c r="P21" s="2945" t="s">
        <v>283</v>
      </c>
      <c r="Q21" s="2945" t="s">
        <v>293</v>
      </c>
      <c r="R21" s="2945" t="s">
        <v>2912</v>
      </c>
      <c r="S21" s="2952" t="s">
        <v>2913</v>
      </c>
    </row>
    <row r="22" spans="1:19" ht="14.25" customHeight="1">
      <c r="A22" s="2945" t="s">
        <v>184</v>
      </c>
      <c r="B22" s="2946" t="s">
        <v>2893</v>
      </c>
      <c r="C22" s="2945">
        <v>29830</v>
      </c>
      <c r="D22" s="2945">
        <v>27600</v>
      </c>
      <c r="E22" s="2945">
        <v>28150</v>
      </c>
      <c r="F22" s="2945"/>
      <c r="G22" s="2945">
        <v>20080</v>
      </c>
      <c r="K22" s="2946" t="s">
        <v>2914</v>
      </c>
      <c r="L22" s="2945" t="s">
        <v>272</v>
      </c>
      <c r="M22" s="2945" t="s">
        <v>273</v>
      </c>
      <c r="N22" s="2945" t="s">
        <v>274</v>
      </c>
      <c r="O22" s="2945" t="s">
        <v>2915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2916</v>
      </c>
      <c r="L23" s="2945" t="s">
        <v>278</v>
      </c>
      <c r="M23" s="2945" t="s">
        <v>279</v>
      </c>
      <c r="N23" s="2945" t="s">
        <v>2917</v>
      </c>
      <c r="O23" s="2945" t="s">
        <v>2918</v>
      </c>
      <c r="P23" s="2945" t="s">
        <v>289</v>
      </c>
      <c r="Q23" s="2945" t="s">
        <v>298</v>
      </c>
      <c r="R23" s="2945" t="s">
        <v>2919</v>
      </c>
    </row>
    <row r="24" spans="1:19" ht="14.25" customHeight="1">
      <c r="A24" s="2945" t="s">
        <v>184</v>
      </c>
      <c r="B24" s="2946" t="s">
        <v>230</v>
      </c>
      <c r="C24" s="2945">
        <v>27930</v>
      </c>
      <c r="D24" s="2945">
        <v>32260</v>
      </c>
      <c r="E24" s="2945">
        <v>32120</v>
      </c>
      <c r="F24" s="2945"/>
      <c r="G24" s="2945">
        <v>23470</v>
      </c>
      <c r="K24" s="2946" t="s">
        <v>2920</v>
      </c>
      <c r="L24" s="2945" t="s">
        <v>281</v>
      </c>
      <c r="M24" s="2945" t="s">
        <v>282</v>
      </c>
      <c r="N24" s="2945" t="s">
        <v>2921</v>
      </c>
      <c r="O24" s="2945" t="s">
        <v>285</v>
      </c>
      <c r="P24" s="2945" t="s">
        <v>2922</v>
      </c>
      <c r="Q24" s="2954" t="s">
        <v>2923</v>
      </c>
      <c r="R24" s="2945" t="s">
        <v>2924</v>
      </c>
    </row>
    <row r="25" spans="1:19" ht="14.25" customHeight="1">
      <c r="A25" s="2945" t="s">
        <v>184</v>
      </c>
      <c r="B25" s="2946" t="s">
        <v>235</v>
      </c>
      <c r="C25" s="2945">
        <v>32230</v>
      </c>
      <c r="D25" s="2945">
        <v>29640</v>
      </c>
      <c r="E25" s="2945">
        <v>29510</v>
      </c>
      <c r="F25" s="2945"/>
      <c r="G25" s="2945">
        <v>21560</v>
      </c>
      <c r="K25" s="2946" t="s">
        <v>2925</v>
      </c>
      <c r="L25" s="2945" t="s">
        <v>2926</v>
      </c>
      <c r="M25" s="2945" t="s">
        <v>284</v>
      </c>
      <c r="N25" s="2945" t="s">
        <v>292</v>
      </c>
      <c r="O25" s="2945" t="s">
        <v>288</v>
      </c>
      <c r="P25" s="2945" t="s">
        <v>275</v>
      </c>
      <c r="Q25" s="2954" t="s">
        <v>271</v>
      </c>
      <c r="R25" s="2945" t="s">
        <v>2927</v>
      </c>
    </row>
    <row r="26" spans="1:19" ht="14.25" customHeight="1" thickBot="1">
      <c r="A26" s="2945" t="s">
        <v>184</v>
      </c>
      <c r="B26" s="2946" t="s">
        <v>244</v>
      </c>
      <c r="C26" s="2945">
        <v>31690</v>
      </c>
      <c r="D26" s="2945">
        <v>27650</v>
      </c>
      <c r="E26" s="2945">
        <v>28200</v>
      </c>
      <c r="F26" s="2945"/>
      <c r="G26" s="2945">
        <v>20110</v>
      </c>
      <c r="K26" s="2951" t="s">
        <v>2928</v>
      </c>
      <c r="L26" s="2945" t="s">
        <v>2929</v>
      </c>
      <c r="M26" s="2945" t="s">
        <v>287</v>
      </c>
      <c r="N26" s="2945" t="s">
        <v>294</v>
      </c>
      <c r="O26" s="2945" t="s">
        <v>2930</v>
      </c>
      <c r="P26" s="2945" t="s">
        <v>2931</v>
      </c>
      <c r="Q26" s="2954" t="s">
        <v>276</v>
      </c>
      <c r="R26" s="2945" t="s">
        <v>2932</v>
      </c>
    </row>
    <row r="27" spans="1:19" ht="14.25" customHeight="1">
      <c r="A27" s="2945" t="s">
        <v>184</v>
      </c>
      <c r="B27" s="2946" t="s">
        <v>251</v>
      </c>
      <c r="C27" s="2945">
        <v>29610</v>
      </c>
      <c r="D27" s="2945">
        <v>27770</v>
      </c>
      <c r="E27" s="2945">
        <v>28300</v>
      </c>
      <c r="F27" s="2945"/>
      <c r="G27" s="2945">
        <v>20210</v>
      </c>
      <c r="L27" s="2945" t="s">
        <v>2933</v>
      </c>
      <c r="M27" s="2945" t="s">
        <v>291</v>
      </c>
      <c r="N27" s="2945" t="s">
        <v>297</v>
      </c>
      <c r="O27" s="2945" t="s">
        <v>2934</v>
      </c>
      <c r="P27" s="2945" t="s">
        <v>2935</v>
      </c>
      <c r="Q27" s="2945" t="s">
        <v>2936</v>
      </c>
      <c r="R27" s="2945" t="s">
        <v>2937</v>
      </c>
    </row>
    <row r="28" spans="1:19" ht="14.25" customHeight="1">
      <c r="A28" s="2945" t="s">
        <v>184</v>
      </c>
      <c r="B28" s="2946" t="s">
        <v>259</v>
      </c>
      <c r="C28" s="2945"/>
      <c r="D28" s="2945">
        <v>31520</v>
      </c>
      <c r="E28" s="2945">
        <v>31410</v>
      </c>
      <c r="F28" s="2945"/>
      <c r="G28" s="2945">
        <v>22940</v>
      </c>
      <c r="L28" s="2945" t="s">
        <v>2938</v>
      </c>
      <c r="M28" s="2945" t="s">
        <v>2939</v>
      </c>
      <c r="N28" s="2945" t="s">
        <v>2940</v>
      </c>
      <c r="O28" s="2945" t="s">
        <v>2941</v>
      </c>
      <c r="P28" s="2945" t="s">
        <v>2942</v>
      </c>
      <c r="Q28" s="2945" t="s">
        <v>2943</v>
      </c>
      <c r="R28" s="2945" t="s">
        <v>2944</v>
      </c>
    </row>
    <row r="29" spans="1:19" ht="14.25" customHeight="1" thickBot="1">
      <c r="A29" s="2953" t="s">
        <v>184</v>
      </c>
      <c r="B29" s="2955" t="s">
        <v>2911</v>
      </c>
      <c r="C29" s="2956"/>
      <c r="D29" s="2956">
        <v>29460</v>
      </c>
      <c r="E29" s="2956">
        <v>28640</v>
      </c>
      <c r="F29" s="2956"/>
      <c r="G29" s="2956">
        <v>21430</v>
      </c>
      <c r="L29" s="2945" t="s">
        <v>2945</v>
      </c>
      <c r="M29" s="2945" t="s">
        <v>2946</v>
      </c>
      <c r="N29" s="2945" t="s">
        <v>2947</v>
      </c>
      <c r="O29" s="2945" t="s">
        <v>2948</v>
      </c>
      <c r="P29" s="2945" t="s">
        <v>2949</v>
      </c>
      <c r="Q29" s="2945" t="s">
        <v>2950</v>
      </c>
      <c r="R29" s="2945" t="s">
        <v>280</v>
      </c>
    </row>
    <row r="30" spans="1:19" ht="14.25" customHeight="1">
      <c r="A30" s="2950" t="s">
        <v>296</v>
      </c>
      <c r="B30" s="2941" t="s">
        <v>2844</v>
      </c>
      <c r="C30" s="2941">
        <v>26890</v>
      </c>
      <c r="D30" s="2941">
        <v>26770</v>
      </c>
      <c r="E30" s="2941">
        <v>25700</v>
      </c>
      <c r="F30" s="2941">
        <v>8180</v>
      </c>
      <c r="G30" s="2957">
        <v>18740</v>
      </c>
      <c r="L30" s="2945" t="s">
        <v>2951</v>
      </c>
      <c r="M30" s="2945" t="s">
        <v>2952</v>
      </c>
      <c r="N30" s="2945" t="s">
        <v>2953</v>
      </c>
      <c r="O30" s="2945" t="s">
        <v>2954</v>
      </c>
      <c r="P30" s="2945" t="s">
        <v>2955</v>
      </c>
      <c r="Q30" s="2945" t="s">
        <v>2956</v>
      </c>
      <c r="R30" s="2945" t="s">
        <v>2957</v>
      </c>
    </row>
    <row r="31" spans="1:19" ht="14.25" customHeight="1">
      <c r="A31" s="2945" t="s">
        <v>296</v>
      </c>
      <c r="B31" s="2946" t="s">
        <v>129</v>
      </c>
      <c r="C31" s="2945">
        <v>24550</v>
      </c>
      <c r="D31" s="2945">
        <v>23990</v>
      </c>
      <c r="E31" s="2945">
        <v>22930</v>
      </c>
      <c r="F31" s="2945">
        <v>7470</v>
      </c>
      <c r="G31" s="2958">
        <v>16790</v>
      </c>
      <c r="L31" s="2945" t="s">
        <v>2958</v>
      </c>
      <c r="M31" s="2945" t="s">
        <v>2959</v>
      </c>
      <c r="N31" s="2945" t="s">
        <v>2960</v>
      </c>
      <c r="O31" s="2945" t="s">
        <v>2961</v>
      </c>
      <c r="P31" s="2945" t="s">
        <v>2962</v>
      </c>
      <c r="Q31" s="2945" t="s">
        <v>2963</v>
      </c>
      <c r="R31" s="2945" t="s">
        <v>2964</v>
      </c>
    </row>
    <row r="32" spans="1:19" ht="14.25" customHeight="1" thickBot="1">
      <c r="A32" s="2945" t="s">
        <v>296</v>
      </c>
      <c r="B32" s="2946" t="s">
        <v>138</v>
      </c>
      <c r="C32" s="2945">
        <v>27210</v>
      </c>
      <c r="D32" s="2945">
        <v>23240</v>
      </c>
      <c r="E32" s="2945">
        <v>23260</v>
      </c>
      <c r="F32" s="2945">
        <v>7130</v>
      </c>
      <c r="G32" s="2958">
        <v>16270</v>
      </c>
      <c r="L32" s="2945" t="s">
        <v>2965</v>
      </c>
      <c r="M32" s="2945" t="s">
        <v>2966</v>
      </c>
      <c r="N32" s="2945" t="s">
        <v>300</v>
      </c>
      <c r="O32" s="2945" t="s">
        <v>2967</v>
      </c>
      <c r="P32" s="2945" t="s">
        <v>299</v>
      </c>
      <c r="Q32" s="2945" t="s">
        <v>2968</v>
      </c>
      <c r="R32" s="2952" t="s">
        <v>2969</v>
      </c>
    </row>
    <row r="33" spans="1:17" ht="14.25" customHeight="1" thickBot="1">
      <c r="A33" s="2945" t="s">
        <v>296</v>
      </c>
      <c r="B33" s="2946" t="s">
        <v>147</v>
      </c>
      <c r="C33" s="2945">
        <v>27300</v>
      </c>
      <c r="D33" s="2945">
        <v>22980</v>
      </c>
      <c r="E33" s="2945">
        <v>24260</v>
      </c>
      <c r="F33" s="2945">
        <v>5860</v>
      </c>
      <c r="G33" s="2958">
        <v>16090</v>
      </c>
      <c r="L33" s="2952" t="s">
        <v>2970</v>
      </c>
      <c r="M33" s="2945" t="s">
        <v>2971</v>
      </c>
      <c r="N33" s="2945" t="s">
        <v>301</v>
      </c>
      <c r="O33" s="2945" t="s">
        <v>2972</v>
      </c>
      <c r="P33" s="2945" t="s">
        <v>2973</v>
      </c>
      <c r="Q33" s="2945" t="s">
        <v>2974</v>
      </c>
    </row>
    <row r="34" spans="1:17" ht="14.25" customHeight="1">
      <c r="A34" s="2945" t="s">
        <v>296</v>
      </c>
      <c r="B34" s="2946" t="s">
        <v>156</v>
      </c>
      <c r="C34" s="2945">
        <v>23090</v>
      </c>
      <c r="D34" s="2945">
        <v>23390</v>
      </c>
      <c r="E34" s="2945">
        <v>23510</v>
      </c>
      <c r="F34" s="2945">
        <v>6700</v>
      </c>
      <c r="G34" s="2958">
        <v>16370</v>
      </c>
      <c r="M34" s="2945" t="s">
        <v>2975</v>
      </c>
      <c r="N34" s="2945" t="s">
        <v>302</v>
      </c>
      <c r="O34" s="2945" t="s">
        <v>2976</v>
      </c>
      <c r="P34" s="2945" t="s">
        <v>2977</v>
      </c>
      <c r="Q34" s="2945" t="s">
        <v>2978</v>
      </c>
    </row>
    <row r="35" spans="1:17" ht="14.25" customHeight="1">
      <c r="A35" s="2945" t="s">
        <v>296</v>
      </c>
      <c r="B35" s="2946" t="s">
        <v>163</v>
      </c>
      <c r="C35" s="2945">
        <v>27270</v>
      </c>
      <c r="D35" s="2945">
        <v>24270</v>
      </c>
      <c r="E35" s="2945">
        <v>24950</v>
      </c>
      <c r="F35" s="2945">
        <v>6600</v>
      </c>
      <c r="G35" s="2958">
        <v>16990</v>
      </c>
      <c r="M35" s="2945" t="s">
        <v>2979</v>
      </c>
      <c r="N35" s="2945" t="s">
        <v>2980</v>
      </c>
      <c r="O35" s="2945" t="s">
        <v>2981</v>
      </c>
      <c r="P35" s="2945" t="s">
        <v>2982</v>
      </c>
      <c r="Q35" s="2945" t="s">
        <v>2983</v>
      </c>
    </row>
    <row r="36" spans="1:17" ht="14.25" customHeight="1">
      <c r="A36" s="2945" t="s">
        <v>296</v>
      </c>
      <c r="B36" s="2946" t="s">
        <v>169</v>
      </c>
      <c r="C36" s="2945">
        <v>23490</v>
      </c>
      <c r="D36" s="2945">
        <v>23020</v>
      </c>
      <c r="E36" s="2945">
        <v>25230</v>
      </c>
      <c r="F36" s="2945">
        <v>6780</v>
      </c>
      <c r="G36" s="2958">
        <v>16120</v>
      </c>
      <c r="M36" s="2945" t="s">
        <v>2984</v>
      </c>
      <c r="N36" s="2945" t="s">
        <v>2985</v>
      </c>
      <c r="O36" s="2945" t="s">
        <v>2986</v>
      </c>
      <c r="P36" s="2945" t="s">
        <v>2987</v>
      </c>
      <c r="Q36" s="2945" t="s">
        <v>2988</v>
      </c>
    </row>
    <row r="37" spans="1:17" ht="14.25" customHeight="1">
      <c r="A37" s="2945" t="s">
        <v>296</v>
      </c>
      <c r="B37" s="2946" t="s">
        <v>176</v>
      </c>
      <c r="C37" s="2945">
        <v>24380</v>
      </c>
      <c r="D37" s="2945">
        <v>22240</v>
      </c>
      <c r="E37" s="2945">
        <v>25980</v>
      </c>
      <c r="F37" s="2945">
        <v>8160</v>
      </c>
      <c r="G37" s="2958">
        <v>15570</v>
      </c>
      <c r="M37" s="2945" t="s">
        <v>2989</v>
      </c>
      <c r="N37" s="2945" t="s">
        <v>2990</v>
      </c>
      <c r="O37" s="2945" t="s">
        <v>2991</v>
      </c>
      <c r="P37" s="2945" t="s">
        <v>2992</v>
      </c>
      <c r="Q37" s="2945" t="s">
        <v>2993</v>
      </c>
    </row>
    <row r="38" spans="1:17" ht="14.25" customHeight="1">
      <c r="A38" s="2945" t="s">
        <v>296</v>
      </c>
      <c r="B38" s="2946" t="s">
        <v>186</v>
      </c>
      <c r="C38" s="2945">
        <v>23120</v>
      </c>
      <c r="D38" s="2945">
        <v>24630</v>
      </c>
      <c r="E38" s="2945">
        <v>25030</v>
      </c>
      <c r="F38" s="2945">
        <v>7710</v>
      </c>
      <c r="G38" s="2958">
        <v>17240</v>
      </c>
      <c r="M38" s="2945" t="s">
        <v>2994</v>
      </c>
      <c r="N38" s="2945" t="s">
        <v>2995</v>
      </c>
      <c r="O38" s="2945" t="s">
        <v>2996</v>
      </c>
      <c r="P38" s="2945" t="s">
        <v>2997</v>
      </c>
      <c r="Q38" s="2945" t="s">
        <v>2998</v>
      </c>
    </row>
    <row r="39" spans="1:17" ht="14.25" customHeight="1">
      <c r="A39" s="2945" t="s">
        <v>296</v>
      </c>
      <c r="B39" s="2946" t="s">
        <v>195</v>
      </c>
      <c r="C39" s="2945">
        <v>22330</v>
      </c>
      <c r="D39" s="2945">
        <v>21140</v>
      </c>
      <c r="E39" s="2945">
        <v>23970</v>
      </c>
      <c r="F39" s="2945">
        <v>7940</v>
      </c>
      <c r="G39" s="2958">
        <v>14790</v>
      </c>
      <c r="M39" s="2945" t="s">
        <v>2999</v>
      </c>
      <c r="N39" s="2945" t="s">
        <v>3000</v>
      </c>
      <c r="O39" s="2945" t="s">
        <v>3001</v>
      </c>
      <c r="P39" s="2945" t="s">
        <v>3002</v>
      </c>
      <c r="Q39" s="2945" t="s">
        <v>3003</v>
      </c>
    </row>
    <row r="40" spans="1:17" ht="14.25" customHeight="1">
      <c r="A40" s="2945" t="s">
        <v>296</v>
      </c>
      <c r="B40" s="2946" t="s">
        <v>202</v>
      </c>
      <c r="C40" s="2945">
        <v>24740</v>
      </c>
      <c r="D40" s="2945">
        <v>24690</v>
      </c>
      <c r="E40" s="2945">
        <v>22610</v>
      </c>
      <c r="F40" s="2945"/>
      <c r="G40" s="2958">
        <v>17280</v>
      </c>
      <c r="M40" s="2945" t="s">
        <v>3004</v>
      </c>
      <c r="N40" s="2945" t="s">
        <v>3005</v>
      </c>
      <c r="O40" s="2945" t="s">
        <v>3006</v>
      </c>
      <c r="P40" s="2945" t="s">
        <v>3007</v>
      </c>
      <c r="Q40" s="2945" t="s">
        <v>3008</v>
      </c>
    </row>
    <row r="41" spans="1:17" ht="14.25" customHeight="1" thickBot="1">
      <c r="A41" s="2945" t="s">
        <v>296</v>
      </c>
      <c r="B41" s="2946" t="s">
        <v>209</v>
      </c>
      <c r="C41" s="2945">
        <v>21220</v>
      </c>
      <c r="D41" s="2945">
        <v>21120</v>
      </c>
      <c r="E41" s="2945">
        <v>22590</v>
      </c>
      <c r="F41" s="2945"/>
      <c r="G41" s="2958">
        <v>14780</v>
      </c>
      <c r="M41" s="2952" t="s">
        <v>3009</v>
      </c>
      <c r="N41" s="2945" t="s">
        <v>3010</v>
      </c>
      <c r="O41" s="2945" t="s">
        <v>3011</v>
      </c>
      <c r="P41" s="2945" t="s">
        <v>3012</v>
      </c>
      <c r="Q41" s="2945" t="s">
        <v>3013</v>
      </c>
    </row>
    <row r="42" spans="1:17" ht="14.25" customHeight="1">
      <c r="A42" s="2945" t="s">
        <v>296</v>
      </c>
      <c r="B42" s="2946" t="s">
        <v>215</v>
      </c>
      <c r="C42" s="2945">
        <v>24800</v>
      </c>
      <c r="D42" s="2945">
        <v>22280</v>
      </c>
      <c r="E42" s="2945">
        <v>24350</v>
      </c>
      <c r="F42" s="2945"/>
      <c r="G42" s="2958">
        <v>15590</v>
      </c>
      <c r="N42" s="2945" t="s">
        <v>3014</v>
      </c>
      <c r="O42" s="2945" t="s">
        <v>3015</v>
      </c>
      <c r="P42" s="2945" t="s">
        <v>3016</v>
      </c>
      <c r="Q42" s="2945" t="s">
        <v>3017</v>
      </c>
    </row>
    <row r="43" spans="1:17" ht="14.25" customHeight="1">
      <c r="A43" s="2945" t="s">
        <v>3018</v>
      </c>
      <c r="B43" s="2946" t="s">
        <v>223</v>
      </c>
      <c r="C43" s="2945">
        <v>21210</v>
      </c>
      <c r="D43" s="2945">
        <v>21160</v>
      </c>
      <c r="E43" s="2945">
        <v>22650</v>
      </c>
      <c r="F43" s="2945"/>
      <c r="G43" s="2958">
        <v>14800</v>
      </c>
      <c r="N43" s="2945" t="s">
        <v>3019</v>
      </c>
      <c r="O43" s="2945" t="s">
        <v>3020</v>
      </c>
      <c r="P43" s="2945" t="s">
        <v>3021</v>
      </c>
      <c r="Q43" s="2945" t="s">
        <v>3022</v>
      </c>
    </row>
    <row r="44" spans="1:17" ht="14.25" customHeight="1" thickBot="1">
      <c r="A44" s="2945" t="s">
        <v>296</v>
      </c>
      <c r="B44" s="2946" t="s">
        <v>231</v>
      </c>
      <c r="C44" s="2945">
        <v>22370</v>
      </c>
      <c r="D44" s="2945">
        <v>23140</v>
      </c>
      <c r="E44" s="2945">
        <v>25090</v>
      </c>
      <c r="F44" s="2945"/>
      <c r="G44" s="2958">
        <v>16190</v>
      </c>
      <c r="N44" s="2945" t="s">
        <v>3023</v>
      </c>
      <c r="O44" s="2945" t="s">
        <v>3024</v>
      </c>
      <c r="P44" s="2952" t="s">
        <v>3025</v>
      </c>
      <c r="Q44" s="2945" t="s">
        <v>3026</v>
      </c>
    </row>
    <row r="45" spans="1:17" ht="14.25" customHeight="1" thickBot="1">
      <c r="A45" s="2945" t="s">
        <v>296</v>
      </c>
      <c r="B45" s="2946" t="s">
        <v>236</v>
      </c>
      <c r="C45" s="2945">
        <v>21240</v>
      </c>
      <c r="D45" s="2945">
        <v>27050</v>
      </c>
      <c r="E45" s="2945">
        <v>28000</v>
      </c>
      <c r="F45" s="2945"/>
      <c r="G45" s="2958">
        <v>18940</v>
      </c>
      <c r="N45" s="2945" t="s">
        <v>3027</v>
      </c>
      <c r="O45" s="2952" t="s">
        <v>3028</v>
      </c>
      <c r="Q45" s="2945" t="s">
        <v>3029</v>
      </c>
    </row>
    <row r="46" spans="1:17" ht="14.25" customHeight="1">
      <c r="A46" s="2945" t="s">
        <v>296</v>
      </c>
      <c r="B46" s="2946" t="s">
        <v>245</v>
      </c>
      <c r="C46" s="2945">
        <v>23240</v>
      </c>
      <c r="D46" s="2945">
        <v>23000</v>
      </c>
      <c r="E46" s="2945">
        <v>24980</v>
      </c>
      <c r="F46" s="2945"/>
      <c r="G46" s="2958">
        <v>16100</v>
      </c>
      <c r="N46" s="2945" t="s">
        <v>3030</v>
      </c>
      <c r="Q46" s="2945" t="s">
        <v>3031</v>
      </c>
    </row>
    <row r="47" spans="1:17" ht="14.25" customHeight="1">
      <c r="A47" s="2945" t="s">
        <v>296</v>
      </c>
      <c r="B47" s="2946" t="s">
        <v>252</v>
      </c>
      <c r="C47" s="2945">
        <v>27150</v>
      </c>
      <c r="D47" s="2945">
        <v>23310</v>
      </c>
      <c r="E47" s="2945">
        <v>25150</v>
      </c>
      <c r="F47" s="2945"/>
      <c r="G47" s="2958">
        <v>16310</v>
      </c>
      <c r="N47" s="2945" t="s">
        <v>3032</v>
      </c>
      <c r="Q47" s="2945" t="s">
        <v>3033</v>
      </c>
    </row>
    <row r="48" spans="1:17" ht="14.25" customHeight="1">
      <c r="A48" s="2945" t="s">
        <v>296</v>
      </c>
      <c r="B48" s="2946" t="s">
        <v>260</v>
      </c>
      <c r="C48" s="2945">
        <v>23100</v>
      </c>
      <c r="D48" s="2945">
        <v>21110</v>
      </c>
      <c r="E48" s="2945">
        <v>23080</v>
      </c>
      <c r="F48" s="2945"/>
      <c r="G48" s="2958">
        <v>14780</v>
      </c>
      <c r="N48" s="2945" t="s">
        <v>3034</v>
      </c>
      <c r="Q48" s="2945" t="s">
        <v>3035</v>
      </c>
    </row>
    <row r="49" spans="1:17" ht="14.25" customHeight="1">
      <c r="A49" s="2945" t="s">
        <v>296</v>
      </c>
      <c r="B49" s="2946" t="s">
        <v>267</v>
      </c>
      <c r="C49" s="2945">
        <v>23400</v>
      </c>
      <c r="D49" s="2945">
        <v>22920</v>
      </c>
      <c r="E49" s="2945">
        <v>24900</v>
      </c>
      <c r="F49" s="2945"/>
      <c r="G49" s="2958">
        <v>16040</v>
      </c>
      <c r="N49" s="2945" t="s">
        <v>3036</v>
      </c>
      <c r="Q49" s="2945" t="s">
        <v>3037</v>
      </c>
    </row>
    <row r="50" spans="1:17" ht="14.25" customHeight="1">
      <c r="A50" s="2945" t="s">
        <v>296</v>
      </c>
      <c r="B50" s="2946" t="s">
        <v>2914</v>
      </c>
      <c r="C50" s="2945">
        <v>21200</v>
      </c>
      <c r="D50" s="2945">
        <v>26540</v>
      </c>
      <c r="E50" s="2945">
        <v>23200</v>
      </c>
      <c r="F50" s="2945"/>
      <c r="G50" s="2958">
        <v>18580</v>
      </c>
      <c r="N50" s="2945" t="s">
        <v>3038</v>
      </c>
      <c r="Q50" s="2946" t="s">
        <v>3039</v>
      </c>
    </row>
    <row r="51" spans="1:17" ht="14.25" customHeight="1" thickBot="1">
      <c r="A51" s="2945" t="s">
        <v>296</v>
      </c>
      <c r="B51" s="2946" t="s">
        <v>2916</v>
      </c>
      <c r="C51" s="2945">
        <v>23000</v>
      </c>
      <c r="D51" s="2945">
        <v>23460</v>
      </c>
      <c r="E51" s="2945">
        <v>25290</v>
      </c>
      <c r="F51" s="2945"/>
      <c r="G51" s="2958">
        <v>16420</v>
      </c>
      <c r="N51" s="2945" t="s">
        <v>3040</v>
      </c>
      <c r="Q51" s="2952" t="s">
        <v>3041</v>
      </c>
    </row>
    <row r="52" spans="1:17" ht="14.25" customHeight="1">
      <c r="A52" s="2945" t="s">
        <v>296</v>
      </c>
      <c r="B52" s="2946" t="s">
        <v>2920</v>
      </c>
      <c r="C52" s="2945">
        <v>26660</v>
      </c>
      <c r="D52" s="2945">
        <v>22350</v>
      </c>
      <c r="E52" s="2945">
        <v>22920</v>
      </c>
      <c r="F52" s="2945"/>
      <c r="G52" s="2958">
        <v>15640</v>
      </c>
      <c r="N52" s="2945" t="s">
        <v>3042</v>
      </c>
    </row>
    <row r="53" spans="1:17" ht="14.25" customHeight="1">
      <c r="A53" s="2945" t="s">
        <v>296</v>
      </c>
      <c r="B53" s="2946" t="s">
        <v>2925</v>
      </c>
      <c r="C53" s="2945">
        <v>23580</v>
      </c>
      <c r="D53" s="2945"/>
      <c r="E53" s="2945">
        <v>24280</v>
      </c>
      <c r="F53" s="2945"/>
      <c r="G53" s="2958"/>
      <c r="N53" s="2945" t="s">
        <v>3043</v>
      </c>
    </row>
    <row r="54" spans="1:17" ht="14.25" customHeight="1" thickBot="1">
      <c r="A54" s="2959" t="s">
        <v>296</v>
      </c>
      <c r="B54" s="2951" t="s">
        <v>2928</v>
      </c>
      <c r="C54" s="2952">
        <v>22460</v>
      </c>
      <c r="D54" s="2952"/>
      <c r="E54" s="2952"/>
      <c r="F54" s="2952"/>
      <c r="G54" s="2960"/>
      <c r="N54" s="2945" t="s">
        <v>3044</v>
      </c>
    </row>
    <row r="55" spans="1:17" ht="14.25" customHeight="1">
      <c r="A55" s="2950" t="s">
        <v>110</v>
      </c>
      <c r="B55" s="2941" t="s">
        <v>3045</v>
      </c>
      <c r="C55" s="2945">
        <v>21970</v>
      </c>
      <c r="D55" s="2945">
        <v>20370</v>
      </c>
      <c r="E55" s="2945">
        <v>20180</v>
      </c>
      <c r="F55" s="2945">
        <v>5730</v>
      </c>
      <c r="G55" s="2945">
        <v>13820</v>
      </c>
      <c r="N55" s="2945" t="s">
        <v>3046</v>
      </c>
    </row>
    <row r="56" spans="1:17" ht="14.25" customHeight="1">
      <c r="A56" s="2945" t="s">
        <v>110</v>
      </c>
      <c r="B56" s="2945" t="s">
        <v>130</v>
      </c>
      <c r="C56" s="2945">
        <v>20470</v>
      </c>
      <c r="D56" s="2945">
        <v>20700</v>
      </c>
      <c r="E56" s="2945">
        <v>20380</v>
      </c>
      <c r="F56" s="2945">
        <v>4760</v>
      </c>
      <c r="G56" s="2945">
        <v>14050</v>
      </c>
      <c r="N56" s="2945" t="s">
        <v>3047</v>
      </c>
    </row>
    <row r="57" spans="1:17" ht="14.25" customHeight="1">
      <c r="A57" s="2945" t="s">
        <v>110</v>
      </c>
      <c r="B57" s="2945" t="s">
        <v>139</v>
      </c>
      <c r="C57" s="2945">
        <v>20790</v>
      </c>
      <c r="D57" s="2945">
        <v>21370</v>
      </c>
      <c r="E57" s="2945">
        <v>20890</v>
      </c>
      <c r="F57" s="2945">
        <v>4910</v>
      </c>
      <c r="G57" s="2945">
        <v>14510</v>
      </c>
      <c r="N57" s="2945" t="s">
        <v>3048</v>
      </c>
    </row>
    <row r="58" spans="1:17" ht="14.25" customHeight="1">
      <c r="A58" s="2945" t="s">
        <v>110</v>
      </c>
      <c r="B58" s="2945" t="s">
        <v>148</v>
      </c>
      <c r="C58" s="2945">
        <v>21460</v>
      </c>
      <c r="D58" s="2945">
        <v>20920</v>
      </c>
      <c r="E58" s="2945">
        <v>23410</v>
      </c>
      <c r="F58" s="2945">
        <v>5100</v>
      </c>
      <c r="G58" s="2945">
        <v>14200</v>
      </c>
      <c r="N58" s="2945" t="s">
        <v>3049</v>
      </c>
    </row>
    <row r="59" spans="1:17" ht="14.25" customHeight="1">
      <c r="A59" s="2945" t="s">
        <v>110</v>
      </c>
      <c r="B59" s="2945" t="s">
        <v>157</v>
      </c>
      <c r="C59" s="2945">
        <v>21000</v>
      </c>
      <c r="D59" s="2945">
        <v>21550</v>
      </c>
      <c r="E59" s="2945">
        <v>21150</v>
      </c>
      <c r="F59" s="2945">
        <v>5250</v>
      </c>
      <c r="G59" s="2945">
        <v>14630</v>
      </c>
      <c r="N59" s="2945" t="s">
        <v>3050</v>
      </c>
    </row>
    <row r="60" spans="1:17" ht="14.25" customHeight="1">
      <c r="A60" s="2945" t="s">
        <v>110</v>
      </c>
      <c r="B60" s="2945" t="s">
        <v>164</v>
      </c>
      <c r="C60" s="2945">
        <v>21640</v>
      </c>
      <c r="D60" s="2945">
        <v>21260</v>
      </c>
      <c r="E60" s="2945">
        <v>24040</v>
      </c>
      <c r="F60" s="2945">
        <v>4470</v>
      </c>
      <c r="G60" s="2945">
        <v>14430</v>
      </c>
      <c r="N60" s="2945" t="s">
        <v>3051</v>
      </c>
    </row>
    <row r="61" spans="1:17" ht="14.25" customHeight="1">
      <c r="A61" s="2945" t="s">
        <v>110</v>
      </c>
      <c r="B61" s="2945" t="s">
        <v>170</v>
      </c>
      <c r="C61" s="2945">
        <v>21330</v>
      </c>
      <c r="D61" s="2945">
        <v>18640</v>
      </c>
      <c r="E61" s="2945">
        <v>21190</v>
      </c>
      <c r="F61" s="2945">
        <v>4180</v>
      </c>
      <c r="G61" s="2945">
        <v>12650</v>
      </c>
      <c r="N61" s="2945" t="s">
        <v>3052</v>
      </c>
    </row>
    <row r="62" spans="1:17" ht="14.25" customHeight="1">
      <c r="A62" s="2945" t="s">
        <v>110</v>
      </c>
      <c r="B62" s="2945" t="s">
        <v>177</v>
      </c>
      <c r="C62" s="2945">
        <v>18710</v>
      </c>
      <c r="D62" s="2945">
        <v>19400</v>
      </c>
      <c r="E62" s="2945">
        <v>23750</v>
      </c>
      <c r="F62" s="2945">
        <v>4860</v>
      </c>
      <c r="G62" s="2945">
        <v>13170</v>
      </c>
      <c r="N62" s="2945" t="s">
        <v>3053</v>
      </c>
    </row>
    <row r="63" spans="1:17" ht="14.25" customHeight="1">
      <c r="A63" s="2945" t="s">
        <v>110</v>
      </c>
      <c r="B63" s="2945" t="s">
        <v>187</v>
      </c>
      <c r="C63" s="2945">
        <v>19480</v>
      </c>
      <c r="D63" s="2945">
        <v>16830</v>
      </c>
      <c r="E63" s="2945">
        <v>21590</v>
      </c>
      <c r="F63" s="2945">
        <v>4560</v>
      </c>
      <c r="G63" s="2945">
        <v>11420</v>
      </c>
      <c r="N63" s="2945" t="s">
        <v>3054</v>
      </c>
    </row>
    <row r="64" spans="1:17" ht="14.25" customHeight="1" thickBot="1">
      <c r="A64" s="2945" t="s">
        <v>110</v>
      </c>
      <c r="B64" s="2945" t="s">
        <v>196</v>
      </c>
      <c r="C64" s="2945">
        <v>16920</v>
      </c>
      <c r="D64" s="2945">
        <v>19190</v>
      </c>
      <c r="E64" s="2945">
        <v>22200</v>
      </c>
      <c r="F64" s="2945">
        <v>4390</v>
      </c>
      <c r="G64" s="2945">
        <v>13030</v>
      </c>
      <c r="N64" s="2952" t="s">
        <v>3055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2926</v>
      </c>
      <c r="C78" s="2945">
        <v>19820</v>
      </c>
      <c r="D78" s="2945">
        <v>19780</v>
      </c>
      <c r="E78" s="2945">
        <v>18560</v>
      </c>
      <c r="F78" s="2945"/>
      <c r="G78" s="2945">
        <v>13430</v>
      </c>
    </row>
    <row r="79" spans="1:7" s="2779" customFormat="1" ht="14.25" customHeight="1">
      <c r="A79" s="2945" t="s">
        <v>110</v>
      </c>
      <c r="B79" s="2945" t="s">
        <v>2929</v>
      </c>
      <c r="C79" s="2945">
        <v>21660</v>
      </c>
      <c r="D79" s="2945">
        <v>18000</v>
      </c>
      <c r="E79" s="2945">
        <v>22570</v>
      </c>
      <c r="F79" s="2945"/>
      <c r="G79" s="2945">
        <v>12220</v>
      </c>
    </row>
    <row r="80" spans="1:7" s="2779" customFormat="1" ht="14.25" customHeight="1">
      <c r="A80" s="2945" t="s">
        <v>110</v>
      </c>
      <c r="B80" s="2945" t="s">
        <v>2933</v>
      </c>
      <c r="C80" s="2945">
        <v>19850</v>
      </c>
      <c r="D80" s="2945"/>
      <c r="E80" s="2945">
        <v>21700</v>
      </c>
      <c r="F80" s="2945"/>
      <c r="G80" s="2945"/>
    </row>
    <row r="81" spans="1:7" s="2779" customFormat="1" ht="14.25" customHeight="1">
      <c r="A81" s="2945" t="s">
        <v>110</v>
      </c>
      <c r="B81" s="2945" t="s">
        <v>2938</v>
      </c>
      <c r="C81" s="2945">
        <v>18080</v>
      </c>
      <c r="D81" s="2945"/>
      <c r="E81" s="2945">
        <v>20900</v>
      </c>
      <c r="F81" s="2945"/>
      <c r="G81" s="2945"/>
    </row>
    <row r="82" spans="1:7" s="2779" customFormat="1" ht="14.25" customHeight="1">
      <c r="A82" s="2945" t="s">
        <v>110</v>
      </c>
      <c r="B82" s="2945" t="s">
        <v>2945</v>
      </c>
      <c r="C82" s="2945"/>
      <c r="D82" s="2945"/>
      <c r="E82" s="2945">
        <v>20840</v>
      </c>
      <c r="F82" s="2945"/>
      <c r="G82" s="2945"/>
    </row>
    <row r="83" spans="1:7" s="2779" customFormat="1" ht="14.25" customHeight="1">
      <c r="A83" s="2945" t="s">
        <v>110</v>
      </c>
      <c r="B83" s="2945" t="s">
        <v>3056</v>
      </c>
      <c r="C83" s="2945"/>
      <c r="D83" s="2945"/>
      <c r="E83" s="2945"/>
      <c r="F83" s="2945">
        <v>4770</v>
      </c>
      <c r="G83" s="2945"/>
    </row>
    <row r="84" spans="1:7" s="2779" customFormat="1" ht="14.25" customHeight="1">
      <c r="A84" s="2945" t="s">
        <v>110</v>
      </c>
      <c r="B84" s="2945" t="s">
        <v>3057</v>
      </c>
      <c r="C84" s="2945"/>
      <c r="D84" s="2945"/>
      <c r="E84" s="2945"/>
      <c r="F84" s="2945">
        <v>4600</v>
      </c>
      <c r="G84" s="2945"/>
    </row>
    <row r="85" spans="1:7" s="2779" customFormat="1" ht="14.25" customHeight="1">
      <c r="A85" s="2945" t="s">
        <v>110</v>
      </c>
      <c r="B85" s="2945" t="s">
        <v>3058</v>
      </c>
      <c r="C85" s="2945"/>
      <c r="D85" s="2945"/>
      <c r="E85" s="2945"/>
      <c r="F85" s="2945">
        <v>4680</v>
      </c>
      <c r="G85" s="2945"/>
    </row>
    <row r="86" spans="1:7" s="2779" customFormat="1" ht="14.25" customHeight="1" thickBot="1">
      <c r="A86" s="2953" t="s">
        <v>110</v>
      </c>
      <c r="B86" s="2955" t="s">
        <v>3059</v>
      </c>
      <c r="C86" s="2956">
        <v>16610</v>
      </c>
      <c r="D86" s="2956">
        <v>16540</v>
      </c>
      <c r="E86" s="2956">
        <v>18850</v>
      </c>
      <c r="F86" s="2956"/>
      <c r="G86" s="2956">
        <v>11220</v>
      </c>
    </row>
    <row r="87" spans="1:7" s="2779" customFormat="1" ht="14.25" customHeight="1">
      <c r="A87" s="2950" t="s">
        <v>303</v>
      </c>
      <c r="B87" s="2941" t="s">
        <v>3060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2939</v>
      </c>
      <c r="C113" s="2945">
        <v>15520</v>
      </c>
      <c r="D113" s="2945">
        <v>15450</v>
      </c>
      <c r="E113" s="2945"/>
      <c r="F113" s="2945"/>
      <c r="G113" s="2958">
        <v>10210</v>
      </c>
    </row>
    <row r="114" spans="1:7" s="2779" customFormat="1" ht="14.25" customHeight="1">
      <c r="A114" s="2945" t="s">
        <v>303</v>
      </c>
      <c r="B114" s="2945" t="s">
        <v>2946</v>
      </c>
      <c r="C114" s="2945">
        <v>13110</v>
      </c>
      <c r="D114" s="2945">
        <v>13050</v>
      </c>
      <c r="E114" s="2945"/>
      <c r="F114" s="2945"/>
      <c r="G114" s="2958">
        <v>8620</v>
      </c>
    </row>
    <row r="115" spans="1:7" s="2779" customFormat="1" ht="14.25" customHeight="1">
      <c r="A115" s="2945" t="s">
        <v>303</v>
      </c>
      <c r="B115" s="2945" t="s">
        <v>2952</v>
      </c>
      <c r="C115" s="2945">
        <v>12460</v>
      </c>
      <c r="D115" s="2945">
        <v>12390</v>
      </c>
      <c r="E115" s="2945"/>
      <c r="F115" s="2945"/>
      <c r="G115" s="2958">
        <v>8190</v>
      </c>
    </row>
    <row r="116" spans="1:7" s="2779" customFormat="1" ht="14.25" customHeight="1">
      <c r="A116" s="2945" t="s">
        <v>303</v>
      </c>
      <c r="B116" s="2945" t="s">
        <v>2959</v>
      </c>
      <c r="C116" s="2945">
        <v>13580</v>
      </c>
      <c r="D116" s="2945">
        <v>13520</v>
      </c>
      <c r="E116" s="2945"/>
      <c r="F116" s="2945"/>
      <c r="G116" s="2958">
        <v>8930</v>
      </c>
    </row>
    <row r="117" spans="1:7" s="2779" customFormat="1" ht="14.25" customHeight="1">
      <c r="A117" s="2945" t="s">
        <v>303</v>
      </c>
      <c r="B117" s="2945" t="s">
        <v>2966</v>
      </c>
      <c r="C117" s="2945">
        <v>17120</v>
      </c>
      <c r="D117" s="2945">
        <v>17040</v>
      </c>
      <c r="E117" s="2945"/>
      <c r="F117" s="2945"/>
      <c r="G117" s="2958">
        <v>11260</v>
      </c>
    </row>
    <row r="118" spans="1:7" s="2779" customFormat="1" ht="14.25" customHeight="1">
      <c r="A118" s="2945" t="s">
        <v>303</v>
      </c>
      <c r="B118" s="2945" t="s">
        <v>2971</v>
      </c>
      <c r="C118" s="2945">
        <v>14860</v>
      </c>
      <c r="D118" s="2945">
        <v>14790</v>
      </c>
      <c r="E118" s="2945"/>
      <c r="F118" s="2945"/>
      <c r="G118" s="2958">
        <v>9780</v>
      </c>
    </row>
    <row r="119" spans="1:7" s="2779" customFormat="1" ht="14.25" customHeight="1">
      <c r="A119" s="2945" t="s">
        <v>303</v>
      </c>
      <c r="B119" s="2945" t="s">
        <v>2975</v>
      </c>
      <c r="C119" s="2945">
        <v>16470</v>
      </c>
      <c r="D119" s="2945">
        <v>16400</v>
      </c>
      <c r="E119" s="2945"/>
      <c r="F119" s="2945"/>
      <c r="G119" s="2958">
        <v>10840</v>
      </c>
    </row>
    <row r="120" spans="1:7" s="2779" customFormat="1" ht="14.25" customHeight="1">
      <c r="A120" s="2945" t="s">
        <v>303</v>
      </c>
      <c r="B120" s="2945" t="s">
        <v>3061</v>
      </c>
      <c r="C120" s="2945"/>
      <c r="D120" s="2945"/>
      <c r="E120" s="2945"/>
      <c r="F120" s="2945">
        <v>4160</v>
      </c>
      <c r="G120" s="2958"/>
    </row>
    <row r="121" spans="1:7" s="2779" customFormat="1" ht="14.25" customHeight="1">
      <c r="A121" s="2945" t="s">
        <v>303</v>
      </c>
      <c r="B121" s="2945" t="s">
        <v>3062</v>
      </c>
      <c r="C121" s="2945"/>
      <c r="D121" s="2945"/>
      <c r="E121" s="2945"/>
      <c r="F121" s="2945">
        <v>3880</v>
      </c>
      <c r="G121" s="2958"/>
    </row>
    <row r="122" spans="1:7" s="2779" customFormat="1" ht="14.25" customHeight="1">
      <c r="A122" s="2945" t="s">
        <v>303</v>
      </c>
      <c r="B122" s="2945" t="s">
        <v>3063</v>
      </c>
      <c r="C122" s="2945">
        <v>13750</v>
      </c>
      <c r="D122" s="2945">
        <v>13680</v>
      </c>
      <c r="E122" s="2945">
        <v>16460</v>
      </c>
      <c r="F122" s="2945">
        <v>2880</v>
      </c>
      <c r="G122" s="2958">
        <v>9040</v>
      </c>
    </row>
    <row r="123" spans="1:7" s="2779" customFormat="1" ht="14.25" customHeight="1">
      <c r="A123" s="2945" t="s">
        <v>303</v>
      </c>
      <c r="B123" s="2945" t="s">
        <v>2994</v>
      </c>
      <c r="C123" s="2945">
        <v>13590</v>
      </c>
      <c r="D123" s="2945">
        <v>13520</v>
      </c>
      <c r="E123" s="2945">
        <v>16290</v>
      </c>
      <c r="F123" s="2945">
        <v>2790</v>
      </c>
      <c r="G123" s="2958">
        <v>8930</v>
      </c>
    </row>
    <row r="124" spans="1:7" s="2779" customFormat="1" ht="14.25" customHeight="1">
      <c r="A124" s="2945" t="s">
        <v>303</v>
      </c>
      <c r="B124" s="2945" t="s">
        <v>2999</v>
      </c>
      <c r="C124" s="2945">
        <v>13400</v>
      </c>
      <c r="D124" s="2945">
        <v>13320</v>
      </c>
      <c r="E124" s="2945">
        <v>16100</v>
      </c>
      <c r="F124" s="2945">
        <v>2320</v>
      </c>
      <c r="G124" s="2958">
        <v>8800</v>
      </c>
    </row>
    <row r="125" spans="1:7" s="2779" customFormat="1" ht="14.25" customHeight="1">
      <c r="A125" s="2945" t="s">
        <v>303</v>
      </c>
      <c r="B125" s="2945" t="s">
        <v>3004</v>
      </c>
      <c r="C125" s="2945">
        <v>12860</v>
      </c>
      <c r="D125" s="2945">
        <v>12790</v>
      </c>
      <c r="E125" s="2945">
        <v>15370</v>
      </c>
      <c r="F125" s="2945">
        <v>2280</v>
      </c>
      <c r="G125" s="2958">
        <v>8450</v>
      </c>
    </row>
    <row r="126" spans="1:7" s="2779" customFormat="1" ht="14.25" customHeight="1" thickBot="1">
      <c r="A126" s="2959" t="s">
        <v>303</v>
      </c>
      <c r="B126" s="2952" t="s">
        <v>3009</v>
      </c>
      <c r="C126" s="2952">
        <v>12960</v>
      </c>
      <c r="D126" s="2952">
        <v>12890</v>
      </c>
      <c r="E126" s="2952">
        <v>15530</v>
      </c>
      <c r="F126" s="2952">
        <v>2910</v>
      </c>
      <c r="G126" s="2960">
        <v>8520</v>
      </c>
    </row>
    <row r="127" spans="1:7" s="2779" customFormat="1" ht="14.25" customHeight="1">
      <c r="A127" s="2950" t="s">
        <v>29</v>
      </c>
      <c r="B127" s="2941" t="s">
        <v>3064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3065</v>
      </c>
      <c r="C148" s="2945">
        <v>10370</v>
      </c>
      <c r="D148" s="2945">
        <v>10310</v>
      </c>
      <c r="E148" s="2945">
        <v>12970</v>
      </c>
      <c r="F148" s="2945"/>
      <c r="G148" s="2945">
        <v>6630</v>
      </c>
    </row>
    <row r="149" spans="1:7" s="2779" customFormat="1" ht="14.25" customHeight="1">
      <c r="A149" s="2945" t="s">
        <v>29</v>
      </c>
      <c r="B149" s="2945" t="s">
        <v>3066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2940</v>
      </c>
      <c r="C153" s="2945">
        <v>10880</v>
      </c>
      <c r="D153" s="2945">
        <v>10820</v>
      </c>
      <c r="E153" s="2945">
        <v>13660</v>
      </c>
      <c r="F153" s="2945">
        <v>2260</v>
      </c>
      <c r="G153" s="2945">
        <v>6970</v>
      </c>
    </row>
    <row r="154" spans="1:7" s="2779" customFormat="1" ht="14.25" customHeight="1">
      <c r="A154" s="2945" t="s">
        <v>29</v>
      </c>
      <c r="B154" s="2945" t="s">
        <v>3067</v>
      </c>
      <c r="C154" s="2945">
        <v>11220</v>
      </c>
      <c r="D154" s="2945">
        <v>11160</v>
      </c>
      <c r="E154" s="2945">
        <v>14130</v>
      </c>
      <c r="F154" s="2945">
        <v>2230</v>
      </c>
      <c r="G154" s="2945">
        <v>7180</v>
      </c>
    </row>
    <row r="155" spans="1:7" s="2779" customFormat="1" ht="14.25" customHeight="1">
      <c r="A155" s="2945" t="s">
        <v>29</v>
      </c>
      <c r="B155" s="2945" t="s">
        <v>2953</v>
      </c>
      <c r="C155" s="2945">
        <v>10430</v>
      </c>
      <c r="D155" s="2945">
        <v>10380</v>
      </c>
      <c r="E155" s="2945">
        <v>13140</v>
      </c>
      <c r="F155" s="2945">
        <v>2080</v>
      </c>
      <c r="G155" s="2945">
        <v>6650</v>
      </c>
    </row>
    <row r="156" spans="1:7" s="2779" customFormat="1" ht="14.25" customHeight="1">
      <c r="A156" s="2945" t="s">
        <v>29</v>
      </c>
      <c r="B156" s="2945" t="s">
        <v>3068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3069</v>
      </c>
      <c r="C160" s="2945">
        <v>11180</v>
      </c>
      <c r="D160" s="2945">
        <v>11140</v>
      </c>
      <c r="E160" s="2945">
        <v>14050</v>
      </c>
      <c r="F160" s="2945">
        <v>2270</v>
      </c>
      <c r="G160" s="2945">
        <v>7170</v>
      </c>
    </row>
    <row r="161" spans="1:7" s="2779" customFormat="1" ht="14.25" customHeight="1">
      <c r="A161" s="2945" t="s">
        <v>29</v>
      </c>
      <c r="B161" s="2945" t="s">
        <v>2985</v>
      </c>
      <c r="C161" s="2945">
        <v>11160</v>
      </c>
      <c r="D161" s="2945">
        <v>11120</v>
      </c>
      <c r="E161" s="2945">
        <v>14020</v>
      </c>
      <c r="F161" s="2945">
        <v>2150</v>
      </c>
      <c r="G161" s="2945">
        <v>7160</v>
      </c>
    </row>
    <row r="162" spans="1:7" s="2779" customFormat="1" ht="14.25" customHeight="1">
      <c r="A162" s="2945" t="s">
        <v>29</v>
      </c>
      <c r="B162" s="2945" t="s">
        <v>2990</v>
      </c>
      <c r="C162" s="2945">
        <v>9620</v>
      </c>
      <c r="D162" s="2945">
        <v>9570</v>
      </c>
      <c r="E162" s="2945">
        <v>12320</v>
      </c>
      <c r="F162" s="2945">
        <v>2010</v>
      </c>
      <c r="G162" s="2945">
        <v>6160</v>
      </c>
    </row>
    <row r="163" spans="1:7" s="2779" customFormat="1" ht="14.25" customHeight="1">
      <c r="A163" s="2945" t="s">
        <v>29</v>
      </c>
      <c r="B163" s="2945" t="s">
        <v>2995</v>
      </c>
      <c r="C163" s="2945">
        <v>9320</v>
      </c>
      <c r="D163" s="2945">
        <v>9270</v>
      </c>
      <c r="E163" s="2945">
        <v>11790</v>
      </c>
      <c r="F163" s="2945">
        <v>1920</v>
      </c>
      <c r="G163" s="2945">
        <v>5960</v>
      </c>
    </row>
    <row r="164" spans="1:7" s="2779" customFormat="1" ht="14.25" customHeight="1">
      <c r="A164" s="2945" t="s">
        <v>29</v>
      </c>
      <c r="B164" s="2945" t="s">
        <v>3000</v>
      </c>
      <c r="C164" s="2945"/>
      <c r="D164" s="2945"/>
      <c r="E164" s="2945"/>
      <c r="F164" s="2945">
        <v>1980</v>
      </c>
      <c r="G164" s="2945"/>
    </row>
    <row r="165" spans="1:7" s="2779" customFormat="1" ht="14.25" customHeight="1">
      <c r="A165" s="2945" t="s">
        <v>29</v>
      </c>
      <c r="B165" s="2945" t="s">
        <v>3070</v>
      </c>
      <c r="C165" s="2945">
        <v>11060</v>
      </c>
      <c r="D165" s="2945">
        <v>11030</v>
      </c>
      <c r="E165" s="2945">
        <v>13850</v>
      </c>
      <c r="F165" s="2945">
        <v>2170</v>
      </c>
      <c r="G165" s="2945">
        <v>7090</v>
      </c>
    </row>
    <row r="166" spans="1:7" s="2779" customFormat="1" ht="14.25" customHeight="1">
      <c r="A166" s="2945" t="s">
        <v>29</v>
      </c>
      <c r="B166" s="2945" t="s">
        <v>3010</v>
      </c>
      <c r="C166" s="2945">
        <v>11050</v>
      </c>
      <c r="D166" s="2945">
        <v>11010</v>
      </c>
      <c r="E166" s="2945">
        <v>13920</v>
      </c>
      <c r="F166" s="2945">
        <v>2140</v>
      </c>
      <c r="G166" s="2945">
        <v>7080</v>
      </c>
    </row>
    <row r="167" spans="1:7" s="2779" customFormat="1" ht="14.25" customHeight="1">
      <c r="A167" s="2945" t="s">
        <v>29</v>
      </c>
      <c r="B167" s="2945" t="s">
        <v>3014</v>
      </c>
      <c r="C167" s="2945">
        <v>10930</v>
      </c>
      <c r="D167" s="2945">
        <v>10890</v>
      </c>
      <c r="E167" s="2945">
        <v>13790</v>
      </c>
      <c r="F167" s="2945">
        <v>2010</v>
      </c>
      <c r="G167" s="2945">
        <v>7000</v>
      </c>
    </row>
    <row r="168" spans="1:7" s="2779" customFormat="1" ht="14.25" customHeight="1">
      <c r="A168" s="2945" t="s">
        <v>29</v>
      </c>
      <c r="B168" s="2945" t="s">
        <v>3019</v>
      </c>
      <c r="C168" s="2945">
        <v>9420</v>
      </c>
      <c r="D168" s="2945">
        <v>9380</v>
      </c>
      <c r="E168" s="2945">
        <v>11970</v>
      </c>
      <c r="F168" s="2945"/>
      <c r="G168" s="2945">
        <v>6040</v>
      </c>
    </row>
    <row r="169" spans="1:7" s="2779" customFormat="1" ht="14.25" customHeight="1">
      <c r="A169" s="2945" t="s">
        <v>29</v>
      </c>
      <c r="B169" s="2945" t="s">
        <v>3071</v>
      </c>
      <c r="C169" s="2945"/>
      <c r="D169" s="2945"/>
      <c r="E169" s="2945"/>
      <c r="F169" s="2945">
        <v>2880</v>
      </c>
      <c r="G169" s="2945"/>
    </row>
    <row r="170" spans="1:7" s="2779" customFormat="1" ht="14.25" customHeight="1">
      <c r="A170" s="2945" t="s">
        <v>29</v>
      </c>
      <c r="B170" s="2945" t="s">
        <v>3027</v>
      </c>
      <c r="C170" s="2945"/>
      <c r="D170" s="2945"/>
      <c r="E170" s="2945"/>
      <c r="F170" s="2945">
        <v>2880</v>
      </c>
      <c r="G170" s="2945"/>
    </row>
    <row r="171" spans="1:7" s="2779" customFormat="1" ht="14.25" customHeight="1">
      <c r="A171" s="2945" t="s">
        <v>29</v>
      </c>
      <c r="B171" s="2945" t="s">
        <v>3030</v>
      </c>
      <c r="C171" s="2945"/>
      <c r="D171" s="2945"/>
      <c r="E171" s="2945"/>
      <c r="F171" s="2945">
        <v>2880</v>
      </c>
      <c r="G171" s="2945"/>
    </row>
    <row r="172" spans="1:7" s="2779" customFormat="1" ht="14.25" customHeight="1">
      <c r="A172" s="2945" t="s">
        <v>29</v>
      </c>
      <c r="B172" s="2945" t="s">
        <v>3032</v>
      </c>
      <c r="C172" s="2945"/>
      <c r="D172" s="2945"/>
      <c r="E172" s="2945"/>
      <c r="F172" s="2945">
        <v>2880</v>
      </c>
      <c r="G172" s="2945"/>
    </row>
    <row r="173" spans="1:7" s="2779" customFormat="1" ht="14.25" customHeight="1">
      <c r="A173" s="2945" t="s">
        <v>29</v>
      </c>
      <c r="B173" s="2945" t="s">
        <v>3034</v>
      </c>
      <c r="C173" s="2945"/>
      <c r="D173" s="2945"/>
      <c r="E173" s="2945"/>
      <c r="F173" s="2945">
        <v>2150</v>
      </c>
      <c r="G173" s="2945"/>
    </row>
    <row r="174" spans="1:7" s="2779" customFormat="1" ht="14.25" customHeight="1">
      <c r="A174" s="2945" t="s">
        <v>29</v>
      </c>
      <c r="B174" s="2945" t="s">
        <v>3036</v>
      </c>
      <c r="C174" s="2945"/>
      <c r="D174" s="2945"/>
      <c r="E174" s="2945"/>
      <c r="F174" s="2945">
        <v>2030</v>
      </c>
      <c r="G174" s="2945"/>
    </row>
    <row r="175" spans="1:7" s="2779" customFormat="1" ht="14.25" customHeight="1">
      <c r="A175" s="2945" t="s">
        <v>29</v>
      </c>
      <c r="B175" s="2945" t="s">
        <v>3038</v>
      </c>
      <c r="C175" s="2945"/>
      <c r="D175" s="2945"/>
      <c r="E175" s="2945"/>
      <c r="F175" s="2945">
        <v>2780</v>
      </c>
      <c r="G175" s="2945"/>
    </row>
    <row r="176" spans="1:7" s="2779" customFormat="1" ht="14.25" customHeight="1">
      <c r="A176" s="2945" t="s">
        <v>29</v>
      </c>
      <c r="B176" s="2945" t="s">
        <v>3040</v>
      </c>
      <c r="C176" s="2945"/>
      <c r="D176" s="2945"/>
      <c r="E176" s="2945"/>
      <c r="F176" s="2945">
        <v>2780</v>
      </c>
      <c r="G176" s="2945"/>
    </row>
    <row r="177" spans="1:7" s="2779" customFormat="1" ht="14.25" customHeight="1">
      <c r="A177" s="2945" t="s">
        <v>29</v>
      </c>
      <c r="B177" s="2945" t="s">
        <v>3072</v>
      </c>
      <c r="C177" s="2945"/>
      <c r="D177" s="2945"/>
      <c r="E177" s="2945"/>
      <c r="F177" s="2945">
        <v>2780</v>
      </c>
      <c r="G177" s="2945"/>
    </row>
    <row r="178" spans="1:7" s="2779" customFormat="1" ht="14.25" customHeight="1">
      <c r="A178" s="2945" t="s">
        <v>29</v>
      </c>
      <c r="B178" s="2945" t="s">
        <v>3073</v>
      </c>
      <c r="C178" s="2945"/>
      <c r="D178" s="2945"/>
      <c r="E178" s="2945"/>
      <c r="F178" s="2945">
        <v>2060</v>
      </c>
      <c r="G178" s="2945"/>
    </row>
    <row r="179" spans="1:7" s="2779" customFormat="1" ht="14.25" customHeight="1">
      <c r="A179" s="2945" t="s">
        <v>29</v>
      </c>
      <c r="B179" s="2945" t="s">
        <v>3074</v>
      </c>
      <c r="C179" s="2945"/>
      <c r="D179" s="2945"/>
      <c r="E179" s="2945"/>
      <c r="F179" s="2945">
        <v>2120</v>
      </c>
      <c r="G179" s="2945"/>
    </row>
    <row r="180" spans="1:7" s="2779" customFormat="1" ht="14.25" customHeight="1">
      <c r="A180" s="2945" t="s">
        <v>29</v>
      </c>
      <c r="B180" s="2945" t="s">
        <v>3046</v>
      </c>
      <c r="C180" s="2945"/>
      <c r="D180" s="2945"/>
      <c r="E180" s="2945"/>
      <c r="F180" s="2945">
        <v>2340</v>
      </c>
      <c r="G180" s="2945"/>
    </row>
    <row r="181" spans="1:7" s="2779" customFormat="1" ht="14.25" customHeight="1">
      <c r="A181" s="2945" t="s">
        <v>29</v>
      </c>
      <c r="B181" s="2945" t="s">
        <v>3047</v>
      </c>
      <c r="C181" s="2945"/>
      <c r="D181" s="2945"/>
      <c r="E181" s="2945"/>
      <c r="F181" s="2945">
        <v>2340</v>
      </c>
      <c r="G181" s="2945"/>
    </row>
    <row r="182" spans="1:7" s="2779" customFormat="1" ht="14.25" customHeight="1">
      <c r="A182" s="2945" t="s">
        <v>29</v>
      </c>
      <c r="B182" s="2945" t="s">
        <v>3048</v>
      </c>
      <c r="C182" s="2945"/>
      <c r="D182" s="2945"/>
      <c r="E182" s="2945"/>
      <c r="F182" s="2945">
        <v>2340</v>
      </c>
      <c r="G182" s="2945"/>
    </row>
    <row r="183" spans="1:7" s="2779" customFormat="1" ht="14.25" customHeight="1">
      <c r="A183" s="2945" t="s">
        <v>29</v>
      </c>
      <c r="B183" s="2945" t="s">
        <v>3049</v>
      </c>
      <c r="C183" s="2945"/>
      <c r="D183" s="2945"/>
      <c r="E183" s="2945"/>
      <c r="F183" s="2945">
        <v>2340</v>
      </c>
      <c r="G183" s="2945"/>
    </row>
    <row r="184" spans="1:7" s="2779" customFormat="1" ht="14.25" customHeight="1">
      <c r="A184" s="2945" t="s">
        <v>29</v>
      </c>
      <c r="B184" s="2945" t="s">
        <v>3050</v>
      </c>
      <c r="C184" s="2945"/>
      <c r="D184" s="2945"/>
      <c r="E184" s="2945"/>
      <c r="F184" s="2945">
        <v>2340</v>
      </c>
      <c r="G184" s="2945"/>
    </row>
    <row r="185" spans="1:7" s="2779" customFormat="1" ht="14.25" customHeight="1">
      <c r="A185" s="2945" t="s">
        <v>29</v>
      </c>
      <c r="B185" s="2945" t="s">
        <v>3051</v>
      </c>
      <c r="C185" s="2945"/>
      <c r="D185" s="2945"/>
      <c r="E185" s="2945"/>
      <c r="F185" s="2945">
        <v>2530</v>
      </c>
      <c r="G185" s="2945"/>
    </row>
    <row r="186" spans="1:7" s="2779" customFormat="1" ht="14.25" customHeight="1">
      <c r="A186" s="2945" t="s">
        <v>29</v>
      </c>
      <c r="B186" s="2945" t="s">
        <v>3052</v>
      </c>
      <c r="C186" s="2945"/>
      <c r="D186" s="2945"/>
      <c r="E186" s="2945"/>
      <c r="F186" s="2945">
        <v>2550</v>
      </c>
      <c r="G186" s="2945"/>
    </row>
    <row r="187" spans="1:7" s="2779" customFormat="1" ht="14.25" customHeight="1">
      <c r="A187" s="2945" t="s">
        <v>29</v>
      </c>
      <c r="B187" s="2945" t="s">
        <v>3053</v>
      </c>
      <c r="C187" s="2945"/>
      <c r="D187" s="2945"/>
      <c r="E187" s="2945"/>
      <c r="F187" s="2945">
        <v>2070</v>
      </c>
      <c r="G187" s="2945"/>
    </row>
    <row r="188" spans="1:7" s="2779" customFormat="1" ht="14.25" customHeight="1">
      <c r="A188" s="2945" t="s">
        <v>29</v>
      </c>
      <c r="B188" s="2945" t="s">
        <v>3054</v>
      </c>
      <c r="C188" s="2945"/>
      <c r="D188" s="2945"/>
      <c r="E188" s="2945"/>
      <c r="F188" s="2945">
        <v>2340</v>
      </c>
      <c r="G188" s="2945"/>
    </row>
    <row r="189" spans="1:7" s="2779" customFormat="1" ht="14.25" customHeight="1" thickBot="1">
      <c r="A189" s="2953" t="s">
        <v>29</v>
      </c>
      <c r="B189" s="2956" t="s">
        <v>3055</v>
      </c>
      <c r="C189" s="2956"/>
      <c r="D189" s="2956"/>
      <c r="E189" s="2956"/>
      <c r="F189" s="2956">
        <v>2050</v>
      </c>
      <c r="G189" s="2956"/>
    </row>
    <row r="190" spans="1:7" s="2779" customFormat="1" ht="14.25" customHeight="1">
      <c r="A190" s="2950" t="s">
        <v>304</v>
      </c>
      <c r="B190" s="2941" t="s">
        <v>3075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3076</v>
      </c>
      <c r="C199" s="2945">
        <v>8690</v>
      </c>
      <c r="D199" s="2945">
        <v>8630</v>
      </c>
      <c r="E199" s="2945">
        <v>11350</v>
      </c>
      <c r="F199" s="2945">
        <v>1600</v>
      </c>
      <c r="G199" s="2958">
        <v>5450</v>
      </c>
    </row>
    <row r="200" spans="1:7" s="2779" customFormat="1" ht="14.25" customHeight="1">
      <c r="A200" s="2945" t="s">
        <v>304</v>
      </c>
      <c r="B200" s="2945" t="s">
        <v>2887</v>
      </c>
      <c r="C200" s="2945"/>
      <c r="D200" s="2945"/>
      <c r="E200" s="2945"/>
      <c r="F200" s="2945">
        <v>1510</v>
      </c>
      <c r="G200" s="2958"/>
    </row>
    <row r="201" spans="1:7" s="2779" customFormat="1" ht="14.25" customHeight="1">
      <c r="A201" s="2945" t="s">
        <v>304</v>
      </c>
      <c r="B201" s="2945" t="s">
        <v>3077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3078</v>
      </c>
      <c r="C203" s="2945">
        <v>8130</v>
      </c>
      <c r="D203" s="2945">
        <v>8070</v>
      </c>
      <c r="E203" s="2945">
        <v>10820</v>
      </c>
      <c r="F203" s="2945">
        <v>1690</v>
      </c>
      <c r="G203" s="2958">
        <v>5100</v>
      </c>
    </row>
    <row r="204" spans="1:7" s="2779" customFormat="1" ht="14.25" customHeight="1">
      <c r="A204" s="2945" t="s">
        <v>304</v>
      </c>
      <c r="B204" s="2945" t="s">
        <v>2898</v>
      </c>
      <c r="C204" s="2945">
        <v>8350</v>
      </c>
      <c r="D204" s="2945">
        <v>8290</v>
      </c>
      <c r="E204" s="2945">
        <v>11080</v>
      </c>
      <c r="F204" s="2945">
        <v>1450</v>
      </c>
      <c r="G204" s="2958">
        <v>5240</v>
      </c>
    </row>
    <row r="205" spans="1:7" s="2779" customFormat="1" ht="14.25" customHeight="1">
      <c r="A205" s="2945" t="s">
        <v>304</v>
      </c>
      <c r="B205" s="2945" t="s">
        <v>2900</v>
      </c>
      <c r="C205" s="2945">
        <v>7190</v>
      </c>
      <c r="D205" s="2945">
        <v>7130</v>
      </c>
      <c r="E205" s="2945">
        <v>9490</v>
      </c>
      <c r="F205" s="2945">
        <v>1470</v>
      </c>
      <c r="G205" s="2958">
        <v>4510</v>
      </c>
    </row>
    <row r="206" spans="1:7" s="2779" customFormat="1" ht="14.25" customHeight="1">
      <c r="A206" s="2945" t="s">
        <v>304</v>
      </c>
      <c r="B206" s="2945" t="s">
        <v>2903</v>
      </c>
      <c r="C206" s="2945">
        <v>7000</v>
      </c>
      <c r="D206" s="2945">
        <v>6950</v>
      </c>
      <c r="E206" s="2945">
        <v>9170</v>
      </c>
      <c r="F206" s="2945">
        <v>1400</v>
      </c>
      <c r="G206" s="2958">
        <v>4380</v>
      </c>
    </row>
    <row r="207" spans="1:7" s="2779" customFormat="1" ht="14.25" customHeight="1">
      <c r="A207" s="2945" t="s">
        <v>304</v>
      </c>
      <c r="B207" s="2945" t="s">
        <v>2905</v>
      </c>
      <c r="C207" s="2945">
        <v>6950</v>
      </c>
      <c r="D207" s="2945">
        <v>6900</v>
      </c>
      <c r="E207" s="2945">
        <v>9110</v>
      </c>
      <c r="F207" s="2945">
        <v>1790</v>
      </c>
      <c r="G207" s="2958">
        <v>4360</v>
      </c>
    </row>
    <row r="208" spans="1:7" s="2779" customFormat="1" ht="14.25" customHeight="1">
      <c r="A208" s="2945" t="s">
        <v>304</v>
      </c>
      <c r="B208" s="2945" t="s">
        <v>3079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2915</v>
      </c>
      <c r="C210" s="2945">
        <v>8710</v>
      </c>
      <c r="D210" s="2945">
        <v>8660</v>
      </c>
      <c r="E210" s="2945">
        <v>11440</v>
      </c>
      <c r="F210" s="2945">
        <v>1740</v>
      </c>
      <c r="G210" s="2958">
        <v>5470</v>
      </c>
    </row>
    <row r="211" spans="1:7" s="2779" customFormat="1" ht="14.25" customHeight="1">
      <c r="A211" s="2945" t="s">
        <v>304</v>
      </c>
      <c r="B211" s="2945" t="s">
        <v>3080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3081</v>
      </c>
      <c r="C214" s="2945">
        <v>8090</v>
      </c>
      <c r="D214" s="2945">
        <v>8030</v>
      </c>
      <c r="E214" s="2945">
        <v>10780</v>
      </c>
      <c r="F214" s="2945">
        <v>1570</v>
      </c>
      <c r="G214" s="2958">
        <v>5070</v>
      </c>
    </row>
    <row r="215" spans="1:7" s="2779" customFormat="1" ht="14.25" customHeight="1">
      <c r="A215" s="2945" t="s">
        <v>304</v>
      </c>
      <c r="B215" s="2945" t="s">
        <v>3082</v>
      </c>
      <c r="C215" s="2945">
        <v>7950</v>
      </c>
      <c r="D215" s="2945">
        <v>7900</v>
      </c>
      <c r="E215" s="2945">
        <v>10560</v>
      </c>
      <c r="F215" s="2945">
        <v>1630</v>
      </c>
      <c r="G215" s="2958">
        <v>4990</v>
      </c>
    </row>
    <row r="216" spans="1:7" s="2779" customFormat="1" ht="14.25" customHeight="1">
      <c r="A216" s="2945" t="s">
        <v>304</v>
      </c>
      <c r="B216" s="2945" t="s">
        <v>3083</v>
      </c>
      <c r="C216" s="2945">
        <v>8490</v>
      </c>
      <c r="D216" s="2945">
        <v>8440</v>
      </c>
      <c r="E216" s="2945">
        <v>11260</v>
      </c>
      <c r="F216" s="2945">
        <v>1690</v>
      </c>
      <c r="G216" s="2958">
        <v>5330</v>
      </c>
    </row>
    <row r="217" spans="1:7" s="2779" customFormat="1" ht="14.25" customHeight="1">
      <c r="A217" s="2945" t="s">
        <v>304</v>
      </c>
      <c r="B217" s="2945" t="s">
        <v>2948</v>
      </c>
      <c r="C217" s="2945">
        <v>8200</v>
      </c>
      <c r="D217" s="2945">
        <v>8150</v>
      </c>
      <c r="E217" s="2945">
        <v>10910</v>
      </c>
      <c r="F217" s="2945">
        <v>1670</v>
      </c>
      <c r="G217" s="2958">
        <v>5150</v>
      </c>
    </row>
    <row r="218" spans="1:7" s="2779" customFormat="1" ht="14.25" customHeight="1">
      <c r="A218" s="2945" t="s">
        <v>304</v>
      </c>
      <c r="B218" s="2945" t="s">
        <v>3084</v>
      </c>
      <c r="C218" s="2945"/>
      <c r="D218" s="2945"/>
      <c r="E218" s="2945"/>
      <c r="F218" s="2945">
        <v>2040</v>
      </c>
      <c r="G218" s="2958"/>
    </row>
    <row r="219" spans="1:7" s="2779" customFormat="1" ht="14.25" customHeight="1">
      <c r="A219" s="2945" t="s">
        <v>304</v>
      </c>
      <c r="B219" s="2945" t="s">
        <v>3085</v>
      </c>
      <c r="C219" s="2945"/>
      <c r="D219" s="2945"/>
      <c r="E219" s="2945"/>
      <c r="F219" s="2945">
        <v>2040</v>
      </c>
      <c r="G219" s="2958"/>
    </row>
    <row r="220" spans="1:7" s="2779" customFormat="1" ht="14.25" customHeight="1">
      <c r="A220" s="2945" t="s">
        <v>304</v>
      </c>
      <c r="B220" s="2945" t="s">
        <v>3086</v>
      </c>
      <c r="C220" s="2945"/>
      <c r="D220" s="2945"/>
      <c r="E220" s="2945"/>
      <c r="F220" s="2945">
        <v>2040</v>
      </c>
      <c r="G220" s="2958"/>
    </row>
    <row r="221" spans="1:7" s="2779" customFormat="1" ht="14.25" customHeight="1">
      <c r="A221" s="2945" t="s">
        <v>304</v>
      </c>
      <c r="B221" s="2945" t="s">
        <v>3087</v>
      </c>
      <c r="C221" s="2945"/>
      <c r="D221" s="2945"/>
      <c r="E221" s="2945"/>
      <c r="F221" s="2945">
        <v>2040</v>
      </c>
      <c r="G221" s="2958"/>
    </row>
    <row r="222" spans="1:7" s="2779" customFormat="1" ht="14.25" customHeight="1">
      <c r="A222" s="2945" t="s">
        <v>304</v>
      </c>
      <c r="B222" s="2945" t="s">
        <v>3088</v>
      </c>
      <c r="C222" s="2945"/>
      <c r="D222" s="2945"/>
      <c r="E222" s="2945"/>
      <c r="F222" s="2945">
        <v>2040</v>
      </c>
      <c r="G222" s="2958"/>
    </row>
    <row r="223" spans="1:7" s="2779" customFormat="1" ht="14.25" customHeight="1">
      <c r="A223" s="2945" t="s">
        <v>304</v>
      </c>
      <c r="B223" s="2945" t="s">
        <v>3089</v>
      </c>
      <c r="C223" s="2945"/>
      <c r="D223" s="2945"/>
      <c r="E223" s="2945"/>
      <c r="F223" s="2945">
        <v>1930</v>
      </c>
      <c r="G223" s="2958"/>
    </row>
    <row r="224" spans="1:7" s="2779" customFormat="1" ht="14.25" customHeight="1">
      <c r="A224" s="2945" t="s">
        <v>304</v>
      </c>
      <c r="B224" s="2945" t="s">
        <v>3090</v>
      </c>
      <c r="C224" s="2945"/>
      <c r="D224" s="2945"/>
      <c r="E224" s="2945"/>
      <c r="F224" s="2945">
        <v>1930</v>
      </c>
      <c r="G224" s="2958"/>
    </row>
    <row r="225" spans="1:7" s="2779" customFormat="1" ht="14.25" customHeight="1">
      <c r="A225" s="2945" t="s">
        <v>304</v>
      </c>
      <c r="B225" s="2945" t="s">
        <v>3091</v>
      </c>
      <c r="C225" s="2945"/>
      <c r="D225" s="2945"/>
      <c r="E225" s="2945"/>
      <c r="F225" s="2945">
        <v>1930</v>
      </c>
      <c r="G225" s="2958"/>
    </row>
    <row r="226" spans="1:7" s="2779" customFormat="1" ht="14.25" customHeight="1">
      <c r="A226" s="2945" t="s">
        <v>304</v>
      </c>
      <c r="B226" s="2945" t="s">
        <v>3092</v>
      </c>
      <c r="C226" s="2945"/>
      <c r="D226" s="2945"/>
      <c r="E226" s="2945"/>
      <c r="F226" s="2945">
        <v>1700</v>
      </c>
      <c r="G226" s="2958"/>
    </row>
    <row r="227" spans="1:7" s="2779" customFormat="1" ht="14.25" customHeight="1">
      <c r="A227" s="2945" t="s">
        <v>304</v>
      </c>
      <c r="B227" s="2945" t="s">
        <v>3093</v>
      </c>
      <c r="C227" s="2945"/>
      <c r="D227" s="2945"/>
      <c r="E227" s="2945"/>
      <c r="F227" s="2945">
        <v>1520</v>
      </c>
      <c r="G227" s="2958"/>
    </row>
    <row r="228" spans="1:7" s="2779" customFormat="1" ht="14.25" customHeight="1">
      <c r="A228" s="2945" t="s">
        <v>304</v>
      </c>
      <c r="B228" s="2945" t="s">
        <v>3094</v>
      </c>
      <c r="C228" s="2945"/>
      <c r="D228" s="2945"/>
      <c r="E228" s="2945"/>
      <c r="F228" s="2945">
        <v>1520</v>
      </c>
      <c r="G228" s="2958"/>
    </row>
    <row r="229" spans="1:7" s="2779" customFormat="1" ht="14.25" customHeight="1">
      <c r="A229" s="2945" t="s">
        <v>304</v>
      </c>
      <c r="B229" s="2945" t="s">
        <v>3011</v>
      </c>
      <c r="C229" s="2945"/>
      <c r="D229" s="2945"/>
      <c r="E229" s="2945"/>
      <c r="F229" s="2945">
        <v>1520</v>
      </c>
      <c r="G229" s="2958"/>
    </row>
    <row r="230" spans="1:7" s="2779" customFormat="1" ht="14.25" customHeight="1">
      <c r="A230" s="2945" t="s">
        <v>304</v>
      </c>
      <c r="B230" s="2945" t="s">
        <v>3095</v>
      </c>
      <c r="C230" s="2945"/>
      <c r="D230" s="2945"/>
      <c r="E230" s="2945"/>
      <c r="F230" s="2945">
        <v>1820</v>
      </c>
      <c r="G230" s="2958"/>
    </row>
    <row r="231" spans="1:7" s="2779" customFormat="1" ht="14.25" customHeight="1">
      <c r="A231" s="2945" t="s">
        <v>304</v>
      </c>
      <c r="B231" s="2945" t="s">
        <v>3096</v>
      </c>
      <c r="C231" s="2945"/>
      <c r="D231" s="2945"/>
      <c r="E231" s="2945"/>
      <c r="F231" s="2945">
        <v>1760</v>
      </c>
      <c r="G231" s="2958"/>
    </row>
    <row r="232" spans="1:7" s="2779" customFormat="1" ht="14.25" customHeight="1">
      <c r="A232" s="2945" t="s">
        <v>304</v>
      </c>
      <c r="B232" s="2945" t="s">
        <v>3097</v>
      </c>
      <c r="C232" s="2945"/>
      <c r="D232" s="2945"/>
      <c r="E232" s="2945"/>
      <c r="F232" s="2945">
        <v>1840</v>
      </c>
      <c r="G232" s="2958"/>
    </row>
    <row r="233" spans="1:7" s="2779" customFormat="1" ht="14.25" customHeight="1" thickBot="1">
      <c r="A233" s="2959" t="s">
        <v>304</v>
      </c>
      <c r="B233" s="2952" t="s">
        <v>3028</v>
      </c>
      <c r="C233" s="2952"/>
      <c r="D233" s="2952"/>
      <c r="E233" s="2952"/>
      <c r="F233" s="2952">
        <v>1770</v>
      </c>
      <c r="G233" s="2960"/>
    </row>
    <row r="234" spans="1:7" s="2779" customFormat="1" ht="14.25" customHeight="1">
      <c r="A234" s="2950" t="s">
        <v>305</v>
      </c>
      <c r="B234" s="2941" t="s">
        <v>3098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2869</v>
      </c>
      <c r="C238" s="2945">
        <v>6920</v>
      </c>
      <c r="D238" s="2945">
        <v>6890</v>
      </c>
      <c r="E238" s="2945">
        <v>8640</v>
      </c>
      <c r="F238" s="2945">
        <v>1310</v>
      </c>
      <c r="G238" s="2945">
        <v>4230</v>
      </c>
    </row>
    <row r="239" spans="1:7" s="2779" customFormat="1" ht="14.25" customHeight="1">
      <c r="A239" s="2945" t="s">
        <v>305</v>
      </c>
      <c r="B239" s="2945" t="s">
        <v>3099</v>
      </c>
      <c r="C239" s="2945">
        <v>6780</v>
      </c>
      <c r="D239" s="2945">
        <v>6750</v>
      </c>
      <c r="E239" s="2945">
        <v>8440</v>
      </c>
      <c r="F239" s="2945">
        <v>1160</v>
      </c>
      <c r="G239" s="2945">
        <v>4140</v>
      </c>
    </row>
    <row r="240" spans="1:7" s="2779" customFormat="1" ht="14.25" customHeight="1">
      <c r="A240" s="2945" t="s">
        <v>305</v>
      </c>
      <c r="B240" s="2945" t="s">
        <v>3100</v>
      </c>
      <c r="C240" s="2945">
        <v>5420</v>
      </c>
      <c r="D240" s="2945">
        <v>5380</v>
      </c>
      <c r="E240" s="2945">
        <v>6640</v>
      </c>
      <c r="F240" s="2945">
        <v>1020</v>
      </c>
      <c r="G240" s="2945">
        <v>3300</v>
      </c>
    </row>
    <row r="241" spans="1:7" s="2779" customFormat="1" ht="14.25" customHeight="1">
      <c r="A241" s="2945" t="s">
        <v>305</v>
      </c>
      <c r="B241" s="2945" t="s">
        <v>3101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2931</v>
      </c>
      <c r="C258" s="2945">
        <v>6190</v>
      </c>
      <c r="D258" s="2945">
        <v>6160</v>
      </c>
      <c r="E258" s="2945">
        <v>7680</v>
      </c>
      <c r="F258" s="2945">
        <v>1170</v>
      </c>
      <c r="G258" s="2945">
        <v>3780</v>
      </c>
    </row>
    <row r="259" spans="1:7" s="2779" customFormat="1" ht="14.25" customHeight="1">
      <c r="A259" s="2945" t="s">
        <v>305</v>
      </c>
      <c r="B259" s="2945" t="s">
        <v>3107</v>
      </c>
      <c r="C259" s="2945">
        <v>7610</v>
      </c>
      <c r="D259" s="2945">
        <v>7570</v>
      </c>
      <c r="E259" s="2945">
        <v>9350</v>
      </c>
      <c r="F259" s="2945">
        <v>1350</v>
      </c>
      <c r="G259" s="2945">
        <v>4650</v>
      </c>
    </row>
    <row r="260" spans="1:7" s="2779" customFormat="1" ht="14.25" customHeight="1">
      <c r="A260" s="2945" t="s">
        <v>305</v>
      </c>
      <c r="B260" s="2945" t="s">
        <v>3108</v>
      </c>
      <c r="C260" s="2945">
        <v>6920</v>
      </c>
      <c r="D260" s="2945">
        <v>6880</v>
      </c>
      <c r="E260" s="2945">
        <v>8380</v>
      </c>
      <c r="F260" s="2945">
        <v>1160</v>
      </c>
      <c r="G260" s="2945">
        <v>4220</v>
      </c>
    </row>
    <row r="261" spans="1:7" s="2779" customFormat="1" ht="14.25" customHeight="1">
      <c r="A261" s="2945" t="s">
        <v>305</v>
      </c>
      <c r="B261" s="2945" t="s">
        <v>3109</v>
      </c>
      <c r="C261" s="2945">
        <v>6850</v>
      </c>
      <c r="D261" s="2945">
        <v>6810</v>
      </c>
      <c r="E261" s="2945">
        <v>8290</v>
      </c>
      <c r="F261" s="2945">
        <v>1130</v>
      </c>
      <c r="G261" s="2945">
        <v>4180</v>
      </c>
    </row>
    <row r="262" spans="1:7" s="2779" customFormat="1" ht="14.25" customHeight="1">
      <c r="A262" s="2945" t="s">
        <v>305</v>
      </c>
      <c r="B262" s="2945" t="s">
        <v>3110</v>
      </c>
      <c r="C262" s="2945">
        <v>5860</v>
      </c>
      <c r="D262" s="2945">
        <v>5820</v>
      </c>
      <c r="E262" s="2945">
        <v>7640</v>
      </c>
      <c r="F262" s="2945">
        <v>1070</v>
      </c>
      <c r="G262" s="2945">
        <v>3570</v>
      </c>
    </row>
    <row r="263" spans="1:7" s="2779" customFormat="1" ht="14.25" customHeight="1">
      <c r="A263" s="2945" t="s">
        <v>305</v>
      </c>
      <c r="B263" s="2945" t="s">
        <v>3111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3112</v>
      </c>
      <c r="C265" s="2945"/>
      <c r="D265" s="2945"/>
      <c r="E265" s="2945"/>
      <c r="F265" s="2945">
        <v>1500</v>
      </c>
      <c r="G265" s="2945"/>
    </row>
    <row r="266" spans="1:7" s="2779" customFormat="1" ht="14.25" customHeight="1">
      <c r="A266" s="2945" t="s">
        <v>305</v>
      </c>
      <c r="B266" s="2945" t="s">
        <v>3113</v>
      </c>
      <c r="C266" s="2945"/>
      <c r="D266" s="2945"/>
      <c r="E266" s="2945"/>
      <c r="F266" s="2945">
        <v>1500</v>
      </c>
      <c r="G266" s="2945"/>
    </row>
    <row r="267" spans="1:7" s="2779" customFormat="1" ht="14.25" customHeight="1">
      <c r="A267" s="2945" t="s">
        <v>305</v>
      </c>
      <c r="B267" s="2945" t="s">
        <v>3114</v>
      </c>
      <c r="C267" s="2945"/>
      <c r="D267" s="2945"/>
      <c r="E267" s="2945"/>
      <c r="F267" s="2945">
        <v>1500</v>
      </c>
      <c r="G267" s="2945"/>
    </row>
    <row r="268" spans="1:7" s="2779" customFormat="1" ht="14.25" customHeight="1">
      <c r="A268" s="2945" t="s">
        <v>305</v>
      </c>
      <c r="B268" s="2945" t="s">
        <v>3115</v>
      </c>
      <c r="C268" s="2945"/>
      <c r="D268" s="2945"/>
      <c r="E268" s="2945"/>
      <c r="F268" s="2945">
        <v>1290</v>
      </c>
      <c r="G268" s="2945"/>
    </row>
    <row r="269" spans="1:7" s="2779" customFormat="1" ht="14.25" customHeight="1">
      <c r="A269" s="2945" t="s">
        <v>305</v>
      </c>
      <c r="B269" s="2945" t="s">
        <v>3116</v>
      </c>
      <c r="C269" s="2945"/>
      <c r="D269" s="2945"/>
      <c r="E269" s="2945"/>
      <c r="F269" s="2945">
        <v>1150</v>
      </c>
      <c r="G269" s="2945"/>
    </row>
    <row r="270" spans="1:7" s="2779" customFormat="1" ht="14.25" customHeight="1">
      <c r="A270" s="2945" t="s">
        <v>305</v>
      </c>
      <c r="B270" s="2945" t="s">
        <v>3117</v>
      </c>
      <c r="C270" s="2945"/>
      <c r="D270" s="2945"/>
      <c r="E270" s="2945"/>
      <c r="F270" s="2945">
        <v>1380</v>
      </c>
      <c r="G270" s="2945"/>
    </row>
    <row r="271" spans="1:7" s="2779" customFormat="1" ht="14.25" customHeight="1">
      <c r="A271" s="2945" t="s">
        <v>305</v>
      </c>
      <c r="B271" s="2945" t="s">
        <v>3118</v>
      </c>
      <c r="C271" s="2945"/>
      <c r="D271" s="2945"/>
      <c r="E271" s="2945"/>
      <c r="F271" s="2945">
        <v>1460</v>
      </c>
      <c r="G271" s="2945"/>
    </row>
    <row r="272" spans="1:7" s="2779" customFormat="1" ht="14.25" customHeight="1">
      <c r="A272" s="2945" t="s">
        <v>305</v>
      </c>
      <c r="B272" s="2945" t="s">
        <v>3119</v>
      </c>
      <c r="C272" s="2945"/>
      <c r="D272" s="2945"/>
      <c r="E272" s="2945"/>
      <c r="F272" s="2945">
        <v>1460</v>
      </c>
      <c r="G272" s="2945"/>
    </row>
    <row r="273" spans="1:7" s="2779" customFormat="1" ht="14.25" customHeight="1">
      <c r="A273" s="2945" t="s">
        <v>305</v>
      </c>
      <c r="B273" s="2945" t="s">
        <v>3012</v>
      </c>
      <c r="C273" s="2945"/>
      <c r="D273" s="2945"/>
      <c r="E273" s="2945"/>
      <c r="F273" s="2945">
        <v>1490</v>
      </c>
      <c r="G273" s="2945"/>
    </row>
    <row r="274" spans="1:7" s="2779" customFormat="1" ht="14.25" customHeight="1">
      <c r="A274" s="2945" t="s">
        <v>305</v>
      </c>
      <c r="B274" s="2945" t="s">
        <v>3120</v>
      </c>
      <c r="C274" s="2945"/>
      <c r="D274" s="2945"/>
      <c r="E274" s="2945"/>
      <c r="F274" s="2945">
        <v>1490</v>
      </c>
      <c r="G274" s="2945"/>
    </row>
    <row r="275" spans="1:7" s="2779" customFormat="1" ht="14.25" customHeight="1">
      <c r="A275" s="2945" t="s">
        <v>305</v>
      </c>
      <c r="B275" s="2945" t="s">
        <v>3121</v>
      </c>
      <c r="C275" s="2945"/>
      <c r="D275" s="2945"/>
      <c r="E275" s="2945"/>
      <c r="F275" s="2945">
        <v>1220</v>
      </c>
      <c r="G275" s="2945"/>
    </row>
    <row r="276" spans="1:7" s="2779" customFormat="1" ht="14.25" customHeight="1" thickBot="1">
      <c r="A276" s="2953" t="s">
        <v>305</v>
      </c>
      <c r="B276" s="2955" t="s">
        <v>3122</v>
      </c>
      <c r="C276" s="2956"/>
      <c r="D276" s="2956"/>
      <c r="E276" s="2956"/>
      <c r="F276" s="2956">
        <v>1380</v>
      </c>
      <c r="G276" s="2956"/>
    </row>
    <row r="277" spans="1:7" s="2779" customFormat="1" ht="14.25" customHeight="1">
      <c r="A277" s="2950" t="s">
        <v>306</v>
      </c>
      <c r="B277" s="2941" t="s">
        <v>3123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3124</v>
      </c>
      <c r="C279" s="2945">
        <v>4760</v>
      </c>
      <c r="D279" s="2945">
        <v>4720</v>
      </c>
      <c r="E279" s="2945">
        <v>5540</v>
      </c>
      <c r="F279" s="2945">
        <v>810</v>
      </c>
      <c r="G279" s="2958">
        <v>2850</v>
      </c>
    </row>
    <row r="280" spans="1:7" s="2779" customFormat="1" ht="14.25" customHeight="1">
      <c r="A280" s="2945" t="s">
        <v>306</v>
      </c>
      <c r="B280" s="2945" t="s">
        <v>3125</v>
      </c>
      <c r="C280" s="2945">
        <v>4010</v>
      </c>
      <c r="D280" s="2945">
        <v>3950</v>
      </c>
      <c r="E280" s="2945">
        <v>4710</v>
      </c>
      <c r="F280" s="2945">
        <v>800</v>
      </c>
      <c r="G280" s="2958">
        <v>2390</v>
      </c>
    </row>
    <row r="281" spans="1:7" s="2779" customFormat="1" ht="14.25" customHeight="1">
      <c r="A281" s="2945" t="s">
        <v>306</v>
      </c>
      <c r="B281" s="2945" t="s">
        <v>3126</v>
      </c>
      <c r="C281" s="2945">
        <v>4480</v>
      </c>
      <c r="D281" s="2945">
        <v>4420</v>
      </c>
      <c r="E281" s="2945">
        <v>5230</v>
      </c>
      <c r="F281" s="2945">
        <v>870</v>
      </c>
      <c r="G281" s="2958">
        <v>2660</v>
      </c>
    </row>
    <row r="282" spans="1:7" s="2779" customFormat="1" ht="14.25" customHeight="1">
      <c r="A282" s="2945" t="s">
        <v>306</v>
      </c>
      <c r="B282" s="2945" t="s">
        <v>3127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3128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3129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2904</v>
      </c>
      <c r="C293" s="2945">
        <v>5320</v>
      </c>
      <c r="D293" s="2945">
        <v>5270</v>
      </c>
      <c r="E293" s="2945">
        <v>6160</v>
      </c>
      <c r="F293" s="2945">
        <v>990</v>
      </c>
      <c r="G293" s="2958">
        <v>3170</v>
      </c>
    </row>
    <row r="294" spans="1:7" s="2779" customFormat="1" ht="14.25" customHeight="1">
      <c r="A294" s="2945" t="s">
        <v>306</v>
      </c>
      <c r="B294" s="2945" t="s">
        <v>3130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3131</v>
      </c>
      <c r="C302" s="2945">
        <v>5520</v>
      </c>
      <c r="D302" s="2945">
        <v>5470</v>
      </c>
      <c r="E302" s="2945">
        <v>6410</v>
      </c>
      <c r="F302" s="2945">
        <v>950</v>
      </c>
      <c r="G302" s="2958">
        <v>3300</v>
      </c>
    </row>
    <row r="303" spans="1:7" s="2779" customFormat="1" ht="14.25" customHeight="1">
      <c r="A303" s="2945" t="s">
        <v>306</v>
      </c>
      <c r="B303" s="2945" t="s">
        <v>2943</v>
      </c>
      <c r="C303" s="2945">
        <v>5630</v>
      </c>
      <c r="D303" s="2945">
        <v>5590</v>
      </c>
      <c r="E303" s="2945">
        <v>6550</v>
      </c>
      <c r="F303" s="2945">
        <v>1010</v>
      </c>
      <c r="G303" s="2958">
        <v>3370</v>
      </c>
    </row>
    <row r="304" spans="1:7" s="2779" customFormat="1" ht="14.25" customHeight="1">
      <c r="A304" s="2945" t="s">
        <v>306</v>
      </c>
      <c r="B304" s="2945" t="s">
        <v>2950</v>
      </c>
      <c r="C304" s="2945">
        <v>5680</v>
      </c>
      <c r="D304" s="2945">
        <v>5620</v>
      </c>
      <c r="E304" s="2945">
        <v>6620</v>
      </c>
      <c r="F304" s="2945">
        <v>1050</v>
      </c>
      <c r="G304" s="2958">
        <v>3390</v>
      </c>
    </row>
    <row r="305" spans="1:7" s="2779" customFormat="1" ht="14.25" customHeight="1">
      <c r="A305" s="2945" t="s">
        <v>306</v>
      </c>
      <c r="B305" s="2945" t="s">
        <v>2956</v>
      </c>
      <c r="C305" s="2945">
        <v>5590</v>
      </c>
      <c r="D305" s="2945">
        <v>5530</v>
      </c>
      <c r="E305" s="2945">
        <v>6460</v>
      </c>
      <c r="F305" s="2945">
        <v>900</v>
      </c>
      <c r="G305" s="2958">
        <v>3340</v>
      </c>
    </row>
    <row r="306" spans="1:7" s="2779" customFormat="1" ht="14.25" customHeight="1">
      <c r="A306" s="2945" t="s">
        <v>306</v>
      </c>
      <c r="B306" s="2945" t="s">
        <v>3132</v>
      </c>
      <c r="C306" s="2945">
        <v>5560</v>
      </c>
      <c r="D306" s="2945">
        <v>5510</v>
      </c>
      <c r="E306" s="2945">
        <v>6440</v>
      </c>
      <c r="F306" s="2945">
        <v>900</v>
      </c>
      <c r="G306" s="2958">
        <v>3320</v>
      </c>
    </row>
    <row r="307" spans="1:7" s="2779" customFormat="1" ht="14.25" customHeight="1">
      <c r="A307" s="2945" t="s">
        <v>306</v>
      </c>
      <c r="B307" s="2945" t="s">
        <v>2968</v>
      </c>
      <c r="C307" s="2945">
        <v>5650</v>
      </c>
      <c r="D307" s="2945">
        <v>5600</v>
      </c>
      <c r="E307" s="2945">
        <v>6590</v>
      </c>
      <c r="F307" s="2945">
        <v>930</v>
      </c>
      <c r="G307" s="2958">
        <v>3380</v>
      </c>
    </row>
    <row r="308" spans="1:7" s="2779" customFormat="1" ht="14.25" customHeight="1">
      <c r="A308" s="2945" t="s">
        <v>306</v>
      </c>
      <c r="B308" s="2945" t="s">
        <v>3133</v>
      </c>
      <c r="C308" s="2945">
        <v>5620</v>
      </c>
      <c r="D308" s="2945">
        <v>5580</v>
      </c>
      <c r="E308" s="2945">
        <v>6540</v>
      </c>
      <c r="F308" s="2945">
        <v>910</v>
      </c>
      <c r="G308" s="2958">
        <v>3370</v>
      </c>
    </row>
    <row r="309" spans="1:7" s="2779" customFormat="1" ht="14.25" customHeight="1">
      <c r="A309" s="2945" t="s">
        <v>306</v>
      </c>
      <c r="B309" s="2945" t="s">
        <v>3134</v>
      </c>
      <c r="C309" s="2945">
        <v>5060</v>
      </c>
      <c r="D309" s="2945">
        <v>5020</v>
      </c>
      <c r="E309" s="2945">
        <v>6370</v>
      </c>
      <c r="F309" s="2945">
        <v>800</v>
      </c>
      <c r="G309" s="2958">
        <v>3020</v>
      </c>
    </row>
    <row r="310" spans="1:7" s="2779" customFormat="1" ht="14.25" customHeight="1">
      <c r="A310" s="2945" t="s">
        <v>306</v>
      </c>
      <c r="B310" s="2945" t="s">
        <v>2983</v>
      </c>
      <c r="C310" s="2945">
        <v>5150</v>
      </c>
      <c r="D310" s="2945">
        <v>5110</v>
      </c>
      <c r="E310" s="2945">
        <v>6500</v>
      </c>
      <c r="F310" s="2945">
        <v>880</v>
      </c>
      <c r="G310" s="2958">
        <v>3080</v>
      </c>
    </row>
    <row r="311" spans="1:7" s="2779" customFormat="1" ht="14.25" customHeight="1">
      <c r="A311" s="2945" t="s">
        <v>306</v>
      </c>
      <c r="B311" s="2945" t="s">
        <v>3135</v>
      </c>
      <c r="C311" s="2945">
        <v>4750</v>
      </c>
      <c r="D311" s="2945">
        <v>4710</v>
      </c>
      <c r="E311" s="2945">
        <v>5510</v>
      </c>
      <c r="F311" s="2945">
        <v>880</v>
      </c>
      <c r="G311" s="2958">
        <v>2840</v>
      </c>
    </row>
    <row r="312" spans="1:7" s="2779" customFormat="1" ht="14.25" customHeight="1">
      <c r="A312" s="2945" t="s">
        <v>306</v>
      </c>
      <c r="B312" s="2945" t="s">
        <v>2993</v>
      </c>
      <c r="C312" s="2945">
        <v>4690</v>
      </c>
      <c r="D312" s="2945">
        <v>4640</v>
      </c>
      <c r="E312" s="2945">
        <v>5420</v>
      </c>
      <c r="F312" s="2945">
        <v>800</v>
      </c>
      <c r="G312" s="2958">
        <v>2800</v>
      </c>
    </row>
    <row r="313" spans="1:7" s="2779" customFormat="1" ht="14.25" customHeight="1">
      <c r="A313" s="2945" t="s">
        <v>306</v>
      </c>
      <c r="B313" s="2945" t="s">
        <v>2998</v>
      </c>
      <c r="C313" s="2945">
        <v>4810</v>
      </c>
      <c r="D313" s="2945">
        <v>4760</v>
      </c>
      <c r="E313" s="2945">
        <v>5550</v>
      </c>
      <c r="F313" s="2945">
        <v>920</v>
      </c>
      <c r="G313" s="2958">
        <v>2870</v>
      </c>
    </row>
    <row r="314" spans="1:7" s="2779" customFormat="1" ht="14.25" customHeight="1">
      <c r="A314" s="2945" t="s">
        <v>306</v>
      </c>
      <c r="B314" s="2945" t="s">
        <v>3136</v>
      </c>
      <c r="C314" s="2945"/>
      <c r="D314" s="2945"/>
      <c r="E314" s="2945"/>
      <c r="F314" s="2945">
        <v>1020</v>
      </c>
      <c r="G314" s="2958"/>
    </row>
    <row r="315" spans="1:7" s="2779" customFormat="1" ht="14.25" customHeight="1">
      <c r="A315" s="2945" t="s">
        <v>306</v>
      </c>
      <c r="B315" s="2945" t="s">
        <v>3137</v>
      </c>
      <c r="C315" s="2945"/>
      <c r="D315" s="2945"/>
      <c r="E315" s="2945"/>
      <c r="F315" s="2945">
        <v>1050</v>
      </c>
      <c r="G315" s="2958"/>
    </row>
    <row r="316" spans="1:7" s="2779" customFormat="1" ht="14.25" customHeight="1">
      <c r="A316" s="2945" t="s">
        <v>306</v>
      </c>
      <c r="B316" s="2945" t="s">
        <v>3013</v>
      </c>
      <c r="C316" s="2945"/>
      <c r="D316" s="2945"/>
      <c r="E316" s="2945"/>
      <c r="F316" s="2945">
        <v>900</v>
      </c>
      <c r="G316" s="2958"/>
    </row>
    <row r="317" spans="1:7" s="2779" customFormat="1" ht="14.25" customHeight="1">
      <c r="A317" s="2945" t="s">
        <v>306</v>
      </c>
      <c r="B317" s="2945" t="s">
        <v>3138</v>
      </c>
      <c r="C317" s="2945"/>
      <c r="D317" s="2945"/>
      <c r="E317" s="2945"/>
      <c r="F317" s="2945">
        <v>920</v>
      </c>
      <c r="G317" s="2958"/>
    </row>
    <row r="318" spans="1:7" s="2779" customFormat="1" ht="14.25" customHeight="1">
      <c r="A318" s="2945" t="s">
        <v>306</v>
      </c>
      <c r="B318" s="2945" t="s">
        <v>3139</v>
      </c>
      <c r="C318" s="2945"/>
      <c r="D318" s="2945"/>
      <c r="E318" s="2945"/>
      <c r="F318" s="2945">
        <v>1080</v>
      </c>
      <c r="G318" s="2958"/>
    </row>
    <row r="319" spans="1:7" s="2779" customFormat="1" ht="14.25" customHeight="1">
      <c r="A319" s="2945" t="s">
        <v>306</v>
      </c>
      <c r="B319" s="2945" t="s">
        <v>3026</v>
      </c>
      <c r="C319" s="2945"/>
      <c r="D319" s="2945"/>
      <c r="E319" s="2945"/>
      <c r="F319" s="2945">
        <v>1020</v>
      </c>
      <c r="G319" s="2958"/>
    </row>
    <row r="320" spans="1:7" s="2779" customFormat="1" ht="14.25" customHeight="1">
      <c r="A320" s="2945" t="s">
        <v>306</v>
      </c>
      <c r="B320" s="2945" t="s">
        <v>3029</v>
      </c>
      <c r="C320" s="2945"/>
      <c r="D320" s="2945"/>
      <c r="E320" s="2945"/>
      <c r="F320" s="2945">
        <v>1050</v>
      </c>
      <c r="G320" s="2958"/>
    </row>
    <row r="321" spans="1:7" s="2779" customFormat="1" ht="14.25" customHeight="1">
      <c r="A321" s="2945" t="s">
        <v>306</v>
      </c>
      <c r="B321" s="2945" t="s">
        <v>3031</v>
      </c>
      <c r="C321" s="2945"/>
      <c r="D321" s="2945"/>
      <c r="E321" s="2945"/>
      <c r="F321" s="2945">
        <v>960</v>
      </c>
      <c r="G321" s="2958"/>
    </row>
    <row r="322" spans="1:7" s="2779" customFormat="1" ht="14.25" customHeight="1">
      <c r="A322" s="2945" t="s">
        <v>306</v>
      </c>
      <c r="B322" s="2945" t="s">
        <v>3033</v>
      </c>
      <c r="C322" s="2945"/>
      <c r="D322" s="2945"/>
      <c r="E322" s="2945"/>
      <c r="F322" s="2945">
        <v>960</v>
      </c>
      <c r="G322" s="2958"/>
    </row>
    <row r="323" spans="1:7" s="2779" customFormat="1" ht="14.25" customHeight="1">
      <c r="A323" s="2945" t="s">
        <v>306</v>
      </c>
      <c r="B323" s="2945" t="s">
        <v>3035</v>
      </c>
      <c r="C323" s="2945"/>
      <c r="D323" s="2945"/>
      <c r="E323" s="2945"/>
      <c r="F323" s="2945">
        <v>880</v>
      </c>
      <c r="G323" s="2958"/>
    </row>
    <row r="324" spans="1:7" s="2779" customFormat="1" ht="14.25" customHeight="1">
      <c r="A324" s="2945" t="s">
        <v>306</v>
      </c>
      <c r="B324" s="2945" t="s">
        <v>3037</v>
      </c>
      <c r="C324" s="2945"/>
      <c r="D324" s="2945"/>
      <c r="E324" s="2945"/>
      <c r="F324" s="2945">
        <v>930</v>
      </c>
      <c r="G324" s="2958"/>
    </row>
    <row r="325" spans="1:7" s="2779" customFormat="1" ht="14.25" customHeight="1">
      <c r="A325" s="2945" t="s">
        <v>306</v>
      </c>
      <c r="B325" s="2946" t="s">
        <v>3039</v>
      </c>
      <c r="C325" s="2945"/>
      <c r="D325" s="2945"/>
      <c r="E325" s="2945"/>
      <c r="F325" s="2945">
        <v>900</v>
      </c>
      <c r="G325" s="2958"/>
    </row>
    <row r="326" spans="1:7" s="2779" customFormat="1" ht="14.25" customHeight="1" thickBot="1">
      <c r="A326" s="2959" t="s">
        <v>306</v>
      </c>
      <c r="B326" s="2952" t="s">
        <v>3041</v>
      </c>
      <c r="C326" s="2952"/>
      <c r="D326" s="2952"/>
      <c r="E326" s="2952"/>
      <c r="F326" s="2952">
        <v>790</v>
      </c>
      <c r="G326" s="2960"/>
    </row>
    <row r="327" spans="1:7" s="2779" customFormat="1" ht="14.25" customHeight="1">
      <c r="A327" s="2950" t="s">
        <v>307</v>
      </c>
      <c r="B327" s="2941" t="s">
        <v>3140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3141</v>
      </c>
      <c r="C329" s="2945">
        <v>2730</v>
      </c>
      <c r="D329" s="2945">
        <v>2690</v>
      </c>
      <c r="E329" s="2945">
        <v>3100</v>
      </c>
      <c r="F329" s="2945">
        <v>660</v>
      </c>
      <c r="G329" s="2945">
        <v>1610</v>
      </c>
    </row>
    <row r="330" spans="1:7" s="2779" customFormat="1" ht="14.25" customHeight="1">
      <c r="A330" s="2945" t="s">
        <v>307</v>
      </c>
      <c r="B330" s="2945" t="s">
        <v>3142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2875</v>
      </c>
      <c r="C332" s="2945">
        <v>3520</v>
      </c>
      <c r="D332" s="2945">
        <v>3480</v>
      </c>
      <c r="E332" s="2945">
        <v>3830</v>
      </c>
      <c r="F332" s="2945">
        <v>720</v>
      </c>
      <c r="G332" s="2945">
        <v>2090</v>
      </c>
    </row>
    <row r="333" spans="1:7" s="2779" customFormat="1" ht="14.25" customHeight="1">
      <c r="A333" s="2945" t="s">
        <v>307</v>
      </c>
      <c r="B333" s="2945" t="s">
        <v>3143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2885</v>
      </c>
      <c r="C336" s="2945">
        <v>3570</v>
      </c>
      <c r="D336" s="2945">
        <v>3530</v>
      </c>
      <c r="E336" s="2945">
        <v>3880</v>
      </c>
      <c r="F336" s="2945">
        <v>770</v>
      </c>
      <c r="G336" s="2945">
        <v>2110</v>
      </c>
    </row>
    <row r="337" spans="1:10" s="2779" customFormat="1" ht="14.25" customHeight="1">
      <c r="A337" s="2945" t="s">
        <v>307</v>
      </c>
      <c r="B337" s="2945" t="s">
        <v>3144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2910</v>
      </c>
      <c r="C345" s="2945">
        <v>3190</v>
      </c>
      <c r="D345" s="2945">
        <v>3140</v>
      </c>
      <c r="E345" s="2945">
        <v>3450</v>
      </c>
      <c r="F345" s="2945">
        <v>720</v>
      </c>
      <c r="G345" s="2945">
        <v>1880</v>
      </c>
      <c r="J345" s="2779"/>
    </row>
    <row r="346" spans="1:10">
      <c r="A346" s="2945" t="s">
        <v>307</v>
      </c>
      <c r="B346" s="2945" t="s">
        <v>3147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2919</v>
      </c>
      <c r="C348" s="2945">
        <v>4000</v>
      </c>
      <c r="D348" s="2945">
        <v>3950</v>
      </c>
      <c r="E348" s="2945">
        <v>4430</v>
      </c>
      <c r="F348" s="2945">
        <v>760</v>
      </c>
      <c r="G348" s="2945">
        <v>2360</v>
      </c>
      <c r="J348" s="2779"/>
    </row>
    <row r="349" spans="1:10">
      <c r="A349" s="2945" t="s">
        <v>307</v>
      </c>
      <c r="B349" s="2945" t="s">
        <v>2924</v>
      </c>
      <c r="C349" s="2945">
        <v>3820</v>
      </c>
      <c r="D349" s="2945">
        <v>3780</v>
      </c>
      <c r="E349" s="2945">
        <v>4170</v>
      </c>
      <c r="F349" s="2945">
        <v>710</v>
      </c>
      <c r="G349" s="2945">
        <v>2260</v>
      </c>
      <c r="J349" s="2779"/>
    </row>
    <row r="350" spans="1:10">
      <c r="A350" s="2945" t="s">
        <v>307</v>
      </c>
      <c r="B350" s="2945" t="s">
        <v>3148</v>
      </c>
      <c r="C350" s="2945">
        <v>3760</v>
      </c>
      <c r="D350" s="2945">
        <v>3730</v>
      </c>
      <c r="E350" s="2945">
        <v>4100</v>
      </c>
      <c r="F350" s="2945">
        <v>800</v>
      </c>
      <c r="G350" s="2945">
        <v>2230</v>
      </c>
      <c r="J350" s="2779"/>
    </row>
    <row r="351" spans="1:10">
      <c r="A351" s="2945" t="s">
        <v>307</v>
      </c>
      <c r="B351" s="2945" t="s">
        <v>2932</v>
      </c>
      <c r="C351" s="2945">
        <v>3610</v>
      </c>
      <c r="D351" s="2945">
        <v>3580</v>
      </c>
      <c r="E351" s="2945">
        <v>3930</v>
      </c>
      <c r="F351" s="2945">
        <v>700</v>
      </c>
      <c r="G351" s="2945">
        <v>2140</v>
      </c>
      <c r="J351" s="2779"/>
    </row>
    <row r="352" spans="1:10">
      <c r="A352" s="2945" t="s">
        <v>307</v>
      </c>
      <c r="B352" s="2945" t="s">
        <v>2937</v>
      </c>
      <c r="C352" s="2945">
        <v>3670</v>
      </c>
      <c r="D352" s="2945">
        <v>3630</v>
      </c>
      <c r="E352" s="2945">
        <v>4000</v>
      </c>
      <c r="F352" s="2945">
        <v>750</v>
      </c>
      <c r="G352" s="2945">
        <v>2180</v>
      </c>
    </row>
    <row r="353" spans="1:7" s="2780" customFormat="1">
      <c r="A353" s="2945" t="s">
        <v>307</v>
      </c>
      <c r="B353" s="2945" t="s">
        <v>3149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2957</v>
      </c>
      <c r="C355" s="2945">
        <v>3650</v>
      </c>
      <c r="D355" s="2945">
        <v>3610</v>
      </c>
      <c r="E355" s="2945">
        <v>4200</v>
      </c>
      <c r="F355" s="2945">
        <v>640</v>
      </c>
      <c r="G355" s="2945">
        <v>2160</v>
      </c>
    </row>
    <row r="356" spans="1:7" s="2780" customFormat="1">
      <c r="A356" s="2945" t="s">
        <v>307</v>
      </c>
      <c r="B356" s="2945" t="s">
        <v>2964</v>
      </c>
      <c r="C356" s="2945">
        <v>3260</v>
      </c>
      <c r="D356" s="2945">
        <v>3230</v>
      </c>
      <c r="E356" s="2945">
        <v>3740</v>
      </c>
      <c r="F356" s="2945">
        <v>600</v>
      </c>
      <c r="G356" s="2945">
        <v>1930</v>
      </c>
    </row>
    <row r="357" spans="1:7" s="2780" customFormat="1" ht="11.4" thickBot="1">
      <c r="A357" s="2953" t="s">
        <v>307</v>
      </c>
      <c r="B357" s="2956" t="s">
        <v>3150</v>
      </c>
      <c r="C357" s="2956">
        <v>3690</v>
      </c>
      <c r="D357" s="2956">
        <v>3650</v>
      </c>
      <c r="E357" s="2956">
        <v>4020</v>
      </c>
      <c r="F357" s="2956">
        <v>700</v>
      </c>
      <c r="G357" s="2956">
        <v>2190</v>
      </c>
    </row>
    <row r="358" spans="1:7" s="2780" customFormat="1">
      <c r="A358" s="2950" t="s">
        <v>3151</v>
      </c>
      <c r="B358" s="2941" t="s">
        <v>3152</v>
      </c>
      <c r="C358" s="2941">
        <v>2080</v>
      </c>
      <c r="D358" s="2941">
        <v>2040</v>
      </c>
      <c r="E358" s="2941">
        <v>2010</v>
      </c>
      <c r="F358" s="2941">
        <v>530</v>
      </c>
      <c r="G358" s="2957">
        <v>1230</v>
      </c>
    </row>
    <row r="359" spans="1:7" s="2780" customFormat="1">
      <c r="A359" s="2945" t="s">
        <v>3151</v>
      </c>
      <c r="B359" s="2945" t="s">
        <v>3153</v>
      </c>
      <c r="C359" s="2945">
        <v>1850</v>
      </c>
      <c r="D359" s="2945">
        <v>1820</v>
      </c>
      <c r="E359" s="2945">
        <v>1780</v>
      </c>
      <c r="F359" s="2945">
        <v>520</v>
      </c>
      <c r="G359" s="2958">
        <v>1100</v>
      </c>
    </row>
    <row r="360" spans="1:7" s="2780" customFormat="1">
      <c r="A360" s="2945" t="s">
        <v>3151</v>
      </c>
      <c r="B360" s="2945" t="s">
        <v>3154</v>
      </c>
      <c r="C360" s="2945">
        <v>2020</v>
      </c>
      <c r="D360" s="2945">
        <v>1990</v>
      </c>
      <c r="E360" s="2945">
        <v>1950</v>
      </c>
      <c r="F360" s="2945">
        <v>500</v>
      </c>
      <c r="G360" s="2958">
        <v>1200</v>
      </c>
    </row>
    <row r="361" spans="1:7" s="2780" customFormat="1">
      <c r="A361" s="2945" t="s">
        <v>3151</v>
      </c>
      <c r="B361" s="2945" t="s">
        <v>153</v>
      </c>
      <c r="C361" s="2945">
        <v>2260</v>
      </c>
      <c r="D361" s="2945">
        <v>2220</v>
      </c>
      <c r="E361" s="2945">
        <v>2180</v>
      </c>
      <c r="F361" s="2945">
        <v>580</v>
      </c>
      <c r="G361" s="2958">
        <v>1340</v>
      </c>
    </row>
    <row r="362" spans="1:7" s="2780" customFormat="1">
      <c r="A362" s="2945" t="s">
        <v>3151</v>
      </c>
      <c r="B362" s="2945" t="s">
        <v>3155</v>
      </c>
      <c r="C362" s="2945">
        <v>2650</v>
      </c>
      <c r="D362" s="2945">
        <v>2610</v>
      </c>
      <c r="E362" s="2945">
        <v>2570</v>
      </c>
      <c r="F362" s="2945">
        <v>630</v>
      </c>
      <c r="G362" s="2958">
        <v>1570</v>
      </c>
    </row>
    <row r="363" spans="1:7" s="2780" customFormat="1">
      <c r="A363" s="2945" t="s">
        <v>3151</v>
      </c>
      <c r="B363" s="2945" t="s">
        <v>2876</v>
      </c>
      <c r="C363" s="2945">
        <v>2390</v>
      </c>
      <c r="D363" s="2945">
        <v>2360</v>
      </c>
      <c r="E363" s="2945">
        <v>2320</v>
      </c>
      <c r="F363" s="2945">
        <v>600</v>
      </c>
      <c r="G363" s="2958">
        <v>1420</v>
      </c>
    </row>
    <row r="364" spans="1:7" s="2780" customFormat="1">
      <c r="A364" s="2945" t="s">
        <v>3151</v>
      </c>
      <c r="B364" s="2945" t="s">
        <v>3156</v>
      </c>
      <c r="C364" s="2945">
        <v>2050</v>
      </c>
      <c r="D364" s="2945">
        <v>2030</v>
      </c>
      <c r="E364" s="2945">
        <v>1990</v>
      </c>
      <c r="F364" s="2945">
        <v>550</v>
      </c>
      <c r="G364" s="2958">
        <v>1220</v>
      </c>
    </row>
    <row r="365" spans="1:7" s="2780" customFormat="1">
      <c r="A365" s="2945" t="s">
        <v>3151</v>
      </c>
      <c r="B365" s="2945" t="s">
        <v>200</v>
      </c>
      <c r="C365" s="2945">
        <v>2140</v>
      </c>
      <c r="D365" s="2945">
        <v>2100</v>
      </c>
      <c r="E365" s="2945">
        <v>2060</v>
      </c>
      <c r="F365" s="2945">
        <v>540</v>
      </c>
      <c r="G365" s="2958">
        <v>1270</v>
      </c>
    </row>
    <row r="366" spans="1:7" s="2780" customFormat="1">
      <c r="A366" s="2945" t="s">
        <v>3151</v>
      </c>
      <c r="B366" s="2945" t="s">
        <v>2883</v>
      </c>
      <c r="C366" s="2945">
        <v>2410</v>
      </c>
      <c r="D366" s="2945">
        <v>2370</v>
      </c>
      <c r="E366" s="2945">
        <v>2330</v>
      </c>
      <c r="F366" s="2945">
        <v>570</v>
      </c>
      <c r="G366" s="2958">
        <v>1440</v>
      </c>
    </row>
    <row r="367" spans="1:7" s="2780" customFormat="1">
      <c r="A367" s="2945" t="s">
        <v>3151</v>
      </c>
      <c r="B367" s="2945" t="s">
        <v>3157</v>
      </c>
      <c r="C367" s="2945">
        <v>2300</v>
      </c>
      <c r="D367" s="2945">
        <v>2260</v>
      </c>
      <c r="E367" s="2945">
        <v>2220</v>
      </c>
      <c r="F367" s="2945">
        <v>560</v>
      </c>
      <c r="G367" s="2958">
        <v>1370</v>
      </c>
    </row>
    <row r="368" spans="1:7" s="2780" customFormat="1">
      <c r="A368" s="2945" t="s">
        <v>3151</v>
      </c>
      <c r="B368" s="2945" t="s">
        <v>3158</v>
      </c>
      <c r="C368" s="2945">
        <v>2430</v>
      </c>
      <c r="D368" s="2945">
        <v>2390</v>
      </c>
      <c r="E368" s="2945">
        <v>2350</v>
      </c>
      <c r="F368" s="2945">
        <v>570</v>
      </c>
      <c r="G368" s="2958">
        <v>1450</v>
      </c>
    </row>
    <row r="369" spans="1:7" s="2780" customFormat="1">
      <c r="A369" s="2945" t="s">
        <v>3151</v>
      </c>
      <c r="B369" s="2945" t="s">
        <v>214</v>
      </c>
      <c r="C369" s="2945">
        <v>2320</v>
      </c>
      <c r="D369" s="2945">
        <v>2290</v>
      </c>
      <c r="E369" s="2945">
        <v>2250</v>
      </c>
      <c r="F369" s="2945">
        <v>550</v>
      </c>
      <c r="G369" s="2958">
        <v>1380</v>
      </c>
    </row>
    <row r="370" spans="1:7" s="2780" customFormat="1">
      <c r="A370" s="2945" t="s">
        <v>3151</v>
      </c>
      <c r="B370" s="2945" t="s">
        <v>221</v>
      </c>
      <c r="C370" s="2945">
        <v>2190</v>
      </c>
      <c r="D370" s="2945">
        <v>2170</v>
      </c>
      <c r="E370" s="2945">
        <v>2130</v>
      </c>
      <c r="F370" s="2945">
        <v>530</v>
      </c>
      <c r="G370" s="2958">
        <v>1310</v>
      </c>
    </row>
    <row r="371" spans="1:7" s="2780" customFormat="1">
      <c r="A371" s="2945" t="s">
        <v>3151</v>
      </c>
      <c r="B371" s="2945" t="s">
        <v>229</v>
      </c>
      <c r="C371" s="2945">
        <v>2460</v>
      </c>
      <c r="D371" s="2945">
        <v>2420</v>
      </c>
      <c r="E371" s="2945">
        <v>2370</v>
      </c>
      <c r="F371" s="2945">
        <v>560</v>
      </c>
      <c r="G371" s="2958">
        <v>1470</v>
      </c>
    </row>
    <row r="372" spans="1:7" s="2780" customFormat="1">
      <c r="A372" s="2945" t="s">
        <v>3151</v>
      </c>
      <c r="B372" s="2945" t="s">
        <v>3159</v>
      </c>
      <c r="C372" s="2945">
        <v>2250</v>
      </c>
      <c r="D372" s="2945">
        <v>2210</v>
      </c>
      <c r="E372" s="2945">
        <v>2180</v>
      </c>
      <c r="F372" s="2945">
        <v>550</v>
      </c>
      <c r="G372" s="2958">
        <v>1340</v>
      </c>
    </row>
    <row r="373" spans="1:7" s="2780" customFormat="1">
      <c r="A373" s="2945" t="s">
        <v>3151</v>
      </c>
      <c r="B373" s="2945" t="s">
        <v>258</v>
      </c>
      <c r="C373" s="2945">
        <v>2210</v>
      </c>
      <c r="D373" s="2945">
        <v>2190</v>
      </c>
      <c r="E373" s="2945">
        <v>2150</v>
      </c>
      <c r="F373" s="2945">
        <v>530</v>
      </c>
      <c r="G373" s="2958">
        <v>1320</v>
      </c>
    </row>
    <row r="374" spans="1:7" s="2780" customFormat="1">
      <c r="A374" s="2945" t="s">
        <v>3151</v>
      </c>
      <c r="B374" s="2945" t="s">
        <v>266</v>
      </c>
      <c r="C374" s="2945">
        <v>2320</v>
      </c>
      <c r="D374" s="2945">
        <v>2280</v>
      </c>
      <c r="E374" s="2945">
        <v>2230</v>
      </c>
      <c r="F374" s="2945">
        <v>580</v>
      </c>
      <c r="G374" s="2958">
        <v>1380</v>
      </c>
    </row>
    <row r="375" spans="1:7" s="2780" customFormat="1">
      <c r="A375" s="2945" t="s">
        <v>3151</v>
      </c>
      <c r="B375" s="2945" t="s">
        <v>3160</v>
      </c>
      <c r="C375" s="2945">
        <v>2090</v>
      </c>
      <c r="D375" s="2945">
        <v>2050</v>
      </c>
      <c r="E375" s="2945">
        <v>2020</v>
      </c>
      <c r="F375" s="2945">
        <v>520</v>
      </c>
      <c r="G375" s="2958">
        <v>1240</v>
      </c>
    </row>
    <row r="376" spans="1:7" s="2780" customFormat="1">
      <c r="A376" s="2945" t="s">
        <v>3151</v>
      </c>
      <c r="B376" s="2945" t="s">
        <v>277</v>
      </c>
      <c r="C376" s="2945">
        <v>2010</v>
      </c>
      <c r="D376" s="2945">
        <v>1980</v>
      </c>
      <c r="E376" s="2945">
        <v>1940</v>
      </c>
      <c r="F376" s="2945">
        <v>540</v>
      </c>
      <c r="G376" s="2958">
        <v>1190</v>
      </c>
    </row>
    <row r="377" spans="1:7" s="2780" customFormat="1" ht="11.4" thickBot="1">
      <c r="A377" s="2953" t="s">
        <v>3151</v>
      </c>
      <c r="B377" s="2956" t="s">
        <v>2913</v>
      </c>
      <c r="C377" s="2956">
        <v>1930</v>
      </c>
      <c r="D377" s="2956">
        <v>1890</v>
      </c>
      <c r="E377" s="2956">
        <v>1860</v>
      </c>
      <c r="F377" s="2956">
        <v>530</v>
      </c>
      <c r="G377" s="2961">
        <v>1150</v>
      </c>
    </row>
    <row r="378" spans="1:7" s="2780" customFormat="1">
      <c r="A378" s="2962" t="s">
        <v>3161</v>
      </c>
      <c r="B378" s="2941" t="s">
        <v>3162</v>
      </c>
      <c r="C378" s="2941">
        <v>1520</v>
      </c>
      <c r="D378" s="2941">
        <v>1490</v>
      </c>
      <c r="E378" s="2941">
        <v>1460</v>
      </c>
      <c r="F378" s="2941">
        <v>460</v>
      </c>
      <c r="G378" s="2957">
        <v>940</v>
      </c>
    </row>
    <row r="379" spans="1:7" s="2780" customFormat="1">
      <c r="A379" s="2963" t="s">
        <v>3161</v>
      </c>
      <c r="B379" s="2945" t="s">
        <v>3163</v>
      </c>
      <c r="C379" s="2945">
        <v>1500</v>
      </c>
      <c r="D379" s="2945">
        <v>1470</v>
      </c>
      <c r="E379" s="2945">
        <v>1430</v>
      </c>
      <c r="F379" s="2945">
        <v>460</v>
      </c>
      <c r="G379" s="2958">
        <v>920</v>
      </c>
    </row>
    <row r="380" spans="1:7" s="2780" customFormat="1">
      <c r="A380" s="2963" t="s">
        <v>3161</v>
      </c>
      <c r="B380" s="2945" t="s">
        <v>3164</v>
      </c>
      <c r="C380" s="2945">
        <v>1620</v>
      </c>
      <c r="D380" s="2945">
        <v>1590</v>
      </c>
      <c r="E380" s="2945">
        <v>1560</v>
      </c>
      <c r="F380" s="2945">
        <v>480</v>
      </c>
      <c r="G380" s="2958">
        <v>1000</v>
      </c>
    </row>
    <row r="381" spans="1:7" s="2780" customFormat="1">
      <c r="A381" s="2963" t="s">
        <v>3161</v>
      </c>
      <c r="B381" s="2945" t="s">
        <v>3165</v>
      </c>
      <c r="C381" s="2945">
        <v>1460</v>
      </c>
      <c r="D381" s="2945">
        <v>1430</v>
      </c>
      <c r="E381" s="2945">
        <v>1390</v>
      </c>
      <c r="F381" s="2945">
        <v>450</v>
      </c>
      <c r="G381" s="2958">
        <v>900</v>
      </c>
    </row>
    <row r="382" spans="1:7" s="2780" customFormat="1">
      <c r="A382" s="2963" t="s">
        <v>3161</v>
      </c>
      <c r="B382" s="2945" t="s">
        <v>3166</v>
      </c>
      <c r="C382" s="2945">
        <v>1310</v>
      </c>
      <c r="D382" s="2945">
        <v>1280</v>
      </c>
      <c r="E382" s="2945">
        <v>1250</v>
      </c>
      <c r="F382" s="2945">
        <v>440</v>
      </c>
      <c r="G382" s="2958">
        <v>800</v>
      </c>
    </row>
    <row r="383" spans="1:7" s="2780" customFormat="1">
      <c r="A383" s="2963" t="s">
        <v>3161</v>
      </c>
      <c r="B383" s="2945" t="s">
        <v>3167</v>
      </c>
      <c r="C383" s="2945">
        <v>1260</v>
      </c>
      <c r="D383" s="2945">
        <v>1230</v>
      </c>
      <c r="E383" s="2945">
        <v>1200</v>
      </c>
      <c r="F383" s="2945">
        <v>420</v>
      </c>
      <c r="G383" s="2958">
        <v>770</v>
      </c>
    </row>
    <row r="384" spans="1:7" s="2780" customFormat="1" ht="11.4" thickBot="1">
      <c r="A384" s="2964" t="s">
        <v>3161</v>
      </c>
      <c r="B384" s="2952" t="s">
        <v>3168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40" t="s">
        <v>3169</v>
      </c>
      <c r="B1" s="3540"/>
    </row>
    <row r="2" spans="1:7" ht="15" thickBot="1">
      <c r="A2" s="2966"/>
      <c r="B2" s="2966"/>
    </row>
    <row r="3" spans="1:7" ht="15" thickBot="1">
      <c r="A3" s="2966"/>
      <c r="B3" s="2966"/>
      <c r="C3" s="2967" t="s">
        <v>2799</v>
      </c>
      <c r="D3" s="2967" t="s">
        <v>2855</v>
      </c>
      <c r="E3" s="2967" t="s">
        <v>2801</v>
      </c>
      <c r="F3" s="2967" t="s">
        <v>2856</v>
      </c>
      <c r="G3" s="2967" t="s">
        <v>2619</v>
      </c>
    </row>
    <row r="4" spans="1:7" ht="15" thickBot="1">
      <c r="A4" s="2968" t="s">
        <v>2854</v>
      </c>
      <c r="B4" s="2969" t="s">
        <v>2860</v>
      </c>
      <c r="C4" s="2967"/>
      <c r="D4" s="2967"/>
      <c r="E4" s="2967"/>
      <c r="F4" s="2967"/>
      <c r="G4" s="2967"/>
    </row>
    <row r="5" spans="1:7">
      <c r="A5" s="2970" t="s">
        <v>2828</v>
      </c>
      <c r="B5" s="2971" t="s">
        <v>2842</v>
      </c>
      <c r="C5" s="2972">
        <v>9.8000000000000004E-2</v>
      </c>
      <c r="D5" s="2972">
        <v>8.6999999999999994E-2</v>
      </c>
      <c r="E5" s="2972">
        <v>8.6999999999999994E-2</v>
      </c>
      <c r="F5" s="2972">
        <v>9.8000000000000004E-2</v>
      </c>
      <c r="G5" s="2973">
        <v>9.5000000000000001E-2</v>
      </c>
    </row>
    <row r="6" spans="1:7">
      <c r="A6" s="2974" t="s">
        <v>144</v>
      </c>
      <c r="B6" s="2975" t="s">
        <v>2857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2843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2911</v>
      </c>
      <c r="C29" s="2984"/>
      <c r="D29" s="2980">
        <v>5.1999999999999998E-2</v>
      </c>
      <c r="E29" s="2980">
        <v>7.0000000000000007E-2</v>
      </c>
      <c r="F29" s="2984"/>
      <c r="G29" s="2982">
        <v>7.0999999999999994E-2</v>
      </c>
    </row>
    <row r="30" spans="1:7">
      <c r="A30" s="2985" t="s">
        <v>296</v>
      </c>
      <c r="B30" s="2971" t="s">
        <v>2844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2914</v>
      </c>
      <c r="C50" s="2976">
        <v>9.8000000000000004E-2</v>
      </c>
      <c r="D50" s="2976">
        <v>7.2999999999999995E-2</v>
      </c>
      <c r="E50" s="2976">
        <v>7.0999999999999994E-2</v>
      </c>
      <c r="F50" s="2987"/>
      <c r="G50" s="2977">
        <v>7.2999999999999995E-2</v>
      </c>
    </row>
    <row r="51" spans="1:7">
      <c r="A51" s="2986" t="s">
        <v>296</v>
      </c>
      <c r="B51" s="2975" t="s">
        <v>2916</v>
      </c>
      <c r="C51" s="2976">
        <v>9.9000000000000005E-2</v>
      </c>
      <c r="D51" s="2976">
        <v>8.5000000000000006E-2</v>
      </c>
      <c r="E51" s="2976">
        <v>6.3E-2</v>
      </c>
      <c r="F51" s="2987"/>
      <c r="G51" s="2977">
        <v>9.6000000000000002E-2</v>
      </c>
    </row>
    <row r="52" spans="1:7">
      <c r="A52" s="2986" t="s">
        <v>296</v>
      </c>
      <c r="B52" s="2975" t="s">
        <v>2920</v>
      </c>
      <c r="C52" s="2976">
        <v>7.3999999999999996E-2</v>
      </c>
      <c r="D52" s="2976">
        <v>9.6000000000000002E-2</v>
      </c>
      <c r="E52" s="2976">
        <v>0.05</v>
      </c>
      <c r="F52" s="2987"/>
      <c r="G52" s="2977">
        <v>9.8000000000000004E-2</v>
      </c>
    </row>
    <row r="53" spans="1:7">
      <c r="A53" s="2986" t="s">
        <v>296</v>
      </c>
      <c r="B53" s="2975" t="s">
        <v>2925</v>
      </c>
      <c r="C53" s="2976">
        <v>8.5999999999999993E-2</v>
      </c>
      <c r="D53" s="2987"/>
      <c r="E53" s="2976">
        <v>9.1999999999999998E-2</v>
      </c>
      <c r="F53" s="2987"/>
      <c r="G53" s="2988"/>
    </row>
    <row r="54" spans="1:7" ht="15" thickBot="1">
      <c r="A54" s="2989" t="s">
        <v>296</v>
      </c>
      <c r="B54" s="2979" t="s">
        <v>2928</v>
      </c>
      <c r="C54" s="2980">
        <v>9.6000000000000002E-2</v>
      </c>
      <c r="D54" s="2981"/>
      <c r="E54" s="2990"/>
      <c r="F54" s="2981"/>
      <c r="G54" s="2991"/>
    </row>
    <row r="55" spans="1:7">
      <c r="A55" s="2985" t="s">
        <v>110</v>
      </c>
      <c r="B55" s="2971" t="s">
        <v>2845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2926</v>
      </c>
      <c r="C78" s="2976">
        <v>0.1</v>
      </c>
      <c r="D78" s="2976">
        <v>8.5000000000000006E-2</v>
      </c>
      <c r="E78" s="2976">
        <v>9.6000000000000002E-2</v>
      </c>
      <c r="F78" s="2987"/>
      <c r="G78" s="2977">
        <v>9.6000000000000002E-2</v>
      </c>
    </row>
    <row r="79" spans="1:7">
      <c r="A79" s="2986" t="s">
        <v>110</v>
      </c>
      <c r="B79" s="2975" t="s">
        <v>2929</v>
      </c>
      <c r="C79" s="2976">
        <v>0.05</v>
      </c>
      <c r="D79" s="2976">
        <v>9.6000000000000002E-2</v>
      </c>
      <c r="E79" s="2976">
        <v>9.5000000000000001E-2</v>
      </c>
      <c r="F79" s="2987"/>
      <c r="G79" s="2977">
        <v>9.8000000000000004E-2</v>
      </c>
    </row>
    <row r="80" spans="1:7">
      <c r="A80" s="2986" t="s">
        <v>110</v>
      </c>
      <c r="B80" s="2975" t="s">
        <v>2933</v>
      </c>
      <c r="C80" s="2976">
        <v>8.5999999999999993E-2</v>
      </c>
      <c r="D80" s="2992"/>
      <c r="E80" s="2976">
        <v>0.1</v>
      </c>
      <c r="F80" s="2987"/>
      <c r="G80" s="2988"/>
    </row>
    <row r="81" spans="1:7">
      <c r="A81" s="2986" t="s">
        <v>110</v>
      </c>
      <c r="B81" s="2975" t="s">
        <v>2938</v>
      </c>
      <c r="C81" s="2976">
        <v>9.6000000000000002E-2</v>
      </c>
      <c r="D81" s="2987"/>
      <c r="E81" s="2976">
        <v>9.8000000000000004E-2</v>
      </c>
      <c r="F81" s="2987"/>
      <c r="G81" s="2988"/>
    </row>
    <row r="82" spans="1:7">
      <c r="A82" s="2986" t="s">
        <v>110</v>
      </c>
      <c r="B82" s="2975" t="s">
        <v>2945</v>
      </c>
      <c r="C82" s="2992"/>
      <c r="D82" s="2987"/>
      <c r="E82" s="2976">
        <v>7.6999999999999999E-2</v>
      </c>
      <c r="F82" s="2987"/>
      <c r="G82" s="2988"/>
    </row>
    <row r="83" spans="1:7">
      <c r="A83" s="2986" t="s">
        <v>110</v>
      </c>
      <c r="B83" s="2975" t="s">
        <v>2951</v>
      </c>
      <c r="C83" s="2987"/>
      <c r="D83" s="2987"/>
      <c r="E83" s="2987"/>
      <c r="F83" s="2976">
        <v>0.1</v>
      </c>
      <c r="G83" s="2993"/>
    </row>
    <row r="84" spans="1:7">
      <c r="A84" s="2986" t="s">
        <v>110</v>
      </c>
      <c r="B84" s="2975" t="s">
        <v>2958</v>
      </c>
      <c r="C84" s="2987"/>
      <c r="D84" s="2987"/>
      <c r="E84" s="2987"/>
      <c r="F84" s="2976">
        <v>0.1</v>
      </c>
      <c r="G84" s="2993"/>
    </row>
    <row r="85" spans="1:7">
      <c r="A85" s="2986" t="s">
        <v>110</v>
      </c>
      <c r="B85" s="2975" t="s">
        <v>2965</v>
      </c>
      <c r="C85" s="2987"/>
      <c r="D85" s="2987"/>
      <c r="E85" s="2987"/>
      <c r="F85" s="2976">
        <v>0.1</v>
      </c>
      <c r="G85" s="2993"/>
    </row>
    <row r="86" spans="1:7" ht="15" thickBot="1">
      <c r="A86" s="2989" t="s">
        <v>110</v>
      </c>
      <c r="B86" s="2979" t="s">
        <v>2970</v>
      </c>
      <c r="C86" s="2980">
        <v>9.8000000000000004E-2</v>
      </c>
      <c r="D86" s="2980">
        <v>9.8000000000000004E-2</v>
      </c>
      <c r="E86" s="2980">
        <v>9.6000000000000002E-2</v>
      </c>
      <c r="F86" s="2990"/>
      <c r="G86" s="2982">
        <v>0.1</v>
      </c>
    </row>
    <row r="87" spans="1:7">
      <c r="A87" s="2985" t="s">
        <v>303</v>
      </c>
      <c r="B87" s="2971" t="s">
        <v>2846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2939</v>
      </c>
      <c r="C113" s="2976">
        <v>0.1</v>
      </c>
      <c r="D113" s="2976">
        <v>0.1</v>
      </c>
      <c r="E113" s="2987"/>
      <c r="F113" s="2987"/>
      <c r="G113" s="2977">
        <v>0.1</v>
      </c>
    </row>
    <row r="114" spans="1:7">
      <c r="A114" s="2986" t="s">
        <v>303</v>
      </c>
      <c r="B114" s="2975" t="s">
        <v>2946</v>
      </c>
      <c r="C114" s="2976">
        <v>9.7000000000000003E-2</v>
      </c>
      <c r="D114" s="2976">
        <v>9.7000000000000003E-2</v>
      </c>
      <c r="E114" s="2987"/>
      <c r="F114" s="2987"/>
      <c r="G114" s="2977">
        <v>9.9000000000000005E-2</v>
      </c>
    </row>
    <row r="115" spans="1:7">
      <c r="A115" s="2986" t="s">
        <v>303</v>
      </c>
      <c r="B115" s="2975" t="s">
        <v>2952</v>
      </c>
      <c r="C115" s="2976">
        <v>0.1</v>
      </c>
      <c r="D115" s="2976">
        <v>0.1</v>
      </c>
      <c r="E115" s="2987"/>
      <c r="F115" s="2987"/>
      <c r="G115" s="2977">
        <v>0.1</v>
      </c>
    </row>
    <row r="116" spans="1:7">
      <c r="A116" s="2986" t="s">
        <v>303</v>
      </c>
      <c r="B116" s="2975" t="s">
        <v>2959</v>
      </c>
      <c r="C116" s="2976">
        <v>0.1</v>
      </c>
      <c r="D116" s="2976">
        <v>0.1</v>
      </c>
      <c r="E116" s="2987"/>
      <c r="F116" s="2987"/>
      <c r="G116" s="2977">
        <v>0.1</v>
      </c>
    </row>
    <row r="117" spans="1:7">
      <c r="A117" s="2986" t="s">
        <v>303</v>
      </c>
      <c r="B117" s="2975" t="s">
        <v>2966</v>
      </c>
      <c r="C117" s="2976">
        <v>9.7000000000000003E-2</v>
      </c>
      <c r="D117" s="2976">
        <v>9.7000000000000003E-2</v>
      </c>
      <c r="E117" s="2987"/>
      <c r="F117" s="2987"/>
      <c r="G117" s="2977">
        <v>9.7000000000000003E-2</v>
      </c>
    </row>
    <row r="118" spans="1:7">
      <c r="A118" s="2986" t="s">
        <v>303</v>
      </c>
      <c r="B118" s="2975" t="s">
        <v>2971</v>
      </c>
      <c r="C118" s="2976">
        <v>0.1</v>
      </c>
      <c r="D118" s="2976">
        <v>0.1</v>
      </c>
      <c r="E118" s="2987"/>
      <c r="F118" s="2987"/>
      <c r="G118" s="2977">
        <v>0.1</v>
      </c>
    </row>
    <row r="119" spans="1:7">
      <c r="A119" s="2986" t="s">
        <v>303</v>
      </c>
      <c r="B119" s="2975" t="s">
        <v>2975</v>
      </c>
      <c r="C119" s="2976">
        <v>5.0999999999999997E-2</v>
      </c>
      <c r="D119" s="2976">
        <v>5.1999999999999998E-2</v>
      </c>
      <c r="E119" s="2987"/>
      <c r="F119" s="2992"/>
      <c r="G119" s="2977">
        <v>0.06</v>
      </c>
    </row>
    <row r="120" spans="1:7">
      <c r="A120" s="2986" t="s">
        <v>303</v>
      </c>
      <c r="B120" s="2975" t="s">
        <v>2979</v>
      </c>
      <c r="C120" s="2987"/>
      <c r="D120" s="2987"/>
      <c r="E120" s="2987"/>
      <c r="F120" s="2976">
        <v>0.1</v>
      </c>
      <c r="G120" s="2993"/>
    </row>
    <row r="121" spans="1:7">
      <c r="A121" s="2986" t="s">
        <v>303</v>
      </c>
      <c r="B121" s="2975" t="s">
        <v>2984</v>
      </c>
      <c r="C121" s="2987"/>
      <c r="D121" s="2987"/>
      <c r="E121" s="2987"/>
      <c r="F121" s="2976">
        <v>0.1</v>
      </c>
      <c r="G121" s="2993"/>
    </row>
    <row r="122" spans="1:7">
      <c r="A122" s="2986" t="s">
        <v>303</v>
      </c>
      <c r="B122" s="2975" t="s">
        <v>2989</v>
      </c>
      <c r="C122" s="2976">
        <v>0.1</v>
      </c>
      <c r="D122" s="2976">
        <v>0.1</v>
      </c>
      <c r="E122" s="2976">
        <v>9.8000000000000004E-2</v>
      </c>
      <c r="F122" s="2976">
        <v>0.1</v>
      </c>
      <c r="G122" s="2977">
        <v>0.1</v>
      </c>
    </row>
    <row r="123" spans="1:7">
      <c r="A123" s="2986" t="s">
        <v>303</v>
      </c>
      <c r="B123" s="2975" t="s">
        <v>2994</v>
      </c>
      <c r="C123" s="2976">
        <v>0.1</v>
      </c>
      <c r="D123" s="2976">
        <v>0.1</v>
      </c>
      <c r="E123" s="2976">
        <v>9.8000000000000004E-2</v>
      </c>
      <c r="F123" s="2976">
        <v>0.1</v>
      </c>
      <c r="G123" s="2977">
        <v>0.1</v>
      </c>
    </row>
    <row r="124" spans="1:7">
      <c r="A124" s="2986" t="s">
        <v>303</v>
      </c>
      <c r="B124" s="2975" t="s">
        <v>2999</v>
      </c>
      <c r="C124" s="2976">
        <v>0.1</v>
      </c>
      <c r="D124" s="2976">
        <v>0.1</v>
      </c>
      <c r="E124" s="2976">
        <v>9.8000000000000004E-2</v>
      </c>
      <c r="F124" s="2992"/>
      <c r="G124" s="2977">
        <v>0.1</v>
      </c>
    </row>
    <row r="125" spans="1:7">
      <c r="A125" s="2986" t="s">
        <v>303</v>
      </c>
      <c r="B125" s="2975" t="s">
        <v>3004</v>
      </c>
      <c r="C125" s="2976">
        <v>9.8000000000000004E-2</v>
      </c>
      <c r="D125" s="2976">
        <v>9.8000000000000004E-2</v>
      </c>
      <c r="E125" s="2976">
        <v>9.6000000000000002E-2</v>
      </c>
      <c r="F125" s="2992"/>
      <c r="G125" s="2977">
        <v>0.1</v>
      </c>
    </row>
    <row r="126" spans="1:7" ht="15" thickBot="1">
      <c r="A126" s="2989" t="s">
        <v>303</v>
      </c>
      <c r="B126" s="2979" t="s">
        <v>3170</v>
      </c>
      <c r="C126" s="2980">
        <v>0.1</v>
      </c>
      <c r="D126" s="2980">
        <v>0.1</v>
      </c>
      <c r="E126" s="2980">
        <v>9.8000000000000004E-2</v>
      </c>
      <c r="F126" s="2980">
        <v>0.1</v>
      </c>
      <c r="G126" s="2982">
        <v>0.1</v>
      </c>
    </row>
    <row r="127" spans="1:7">
      <c r="A127" s="2985" t="s">
        <v>29</v>
      </c>
      <c r="B127" s="2971" t="s">
        <v>2847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2917</v>
      </c>
      <c r="C148" s="2976">
        <v>0.13</v>
      </c>
      <c r="D148" s="2976">
        <v>0.13</v>
      </c>
      <c r="E148" s="2976">
        <v>0.13</v>
      </c>
      <c r="F148" s="2987"/>
      <c r="G148" s="2977">
        <v>0.13</v>
      </c>
    </row>
    <row r="149" spans="1:7">
      <c r="A149" s="2986" t="s">
        <v>29</v>
      </c>
      <c r="B149" s="2975" t="s">
        <v>2921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2940</v>
      </c>
      <c r="C153" s="2976">
        <v>0.13</v>
      </c>
      <c r="D153" s="2976">
        <v>0.13</v>
      </c>
      <c r="E153" s="2976">
        <v>0.13</v>
      </c>
      <c r="F153" s="2976">
        <v>0.13</v>
      </c>
      <c r="G153" s="2977">
        <v>0.13</v>
      </c>
    </row>
    <row r="154" spans="1:7">
      <c r="A154" s="2986" t="s">
        <v>29</v>
      </c>
      <c r="B154" s="2975" t="s">
        <v>2947</v>
      </c>
      <c r="C154" s="2976">
        <v>0.121</v>
      </c>
      <c r="D154" s="2976">
        <v>0.121</v>
      </c>
      <c r="E154" s="2976">
        <v>0.105</v>
      </c>
      <c r="F154" s="2976">
        <v>0.121</v>
      </c>
      <c r="G154" s="2977">
        <v>0.123</v>
      </c>
    </row>
    <row r="155" spans="1:7">
      <c r="A155" s="2986" t="s">
        <v>29</v>
      </c>
      <c r="B155" s="2975" t="s">
        <v>2953</v>
      </c>
      <c r="C155" s="2976">
        <v>0.1</v>
      </c>
      <c r="D155" s="2976">
        <v>0.1</v>
      </c>
      <c r="E155" s="2976">
        <v>0.1</v>
      </c>
      <c r="F155" s="2976">
        <v>0.1</v>
      </c>
      <c r="G155" s="2977">
        <v>0.1</v>
      </c>
    </row>
    <row r="156" spans="1:7">
      <c r="A156" s="2986" t="s">
        <v>29</v>
      </c>
      <c r="B156" s="2975" t="s">
        <v>2960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2980</v>
      </c>
      <c r="C160" s="2976">
        <v>0.13</v>
      </c>
      <c r="D160" s="2976">
        <v>0.13</v>
      </c>
      <c r="E160" s="2976">
        <v>0.124</v>
      </c>
      <c r="F160" s="2976">
        <v>0.126</v>
      </c>
      <c r="G160" s="2977">
        <v>0.13</v>
      </c>
    </row>
    <row r="161" spans="1:7">
      <c r="A161" s="2986" t="s">
        <v>29</v>
      </c>
      <c r="B161" s="2975" t="s">
        <v>2985</v>
      </c>
      <c r="C161" s="2976">
        <v>0.13</v>
      </c>
      <c r="D161" s="2976">
        <v>0.13</v>
      </c>
      <c r="E161" s="2976">
        <v>0.124</v>
      </c>
      <c r="F161" s="2976">
        <v>0.127</v>
      </c>
      <c r="G161" s="2977">
        <v>0.13</v>
      </c>
    </row>
    <row r="162" spans="1:7">
      <c r="A162" s="2986" t="s">
        <v>29</v>
      </c>
      <c r="B162" s="2975" t="s">
        <v>2990</v>
      </c>
      <c r="C162" s="2976">
        <v>0.1</v>
      </c>
      <c r="D162" s="2976">
        <v>0.1</v>
      </c>
      <c r="E162" s="2976">
        <v>0.1</v>
      </c>
      <c r="F162" s="2976">
        <v>0.121</v>
      </c>
      <c r="G162" s="2977">
        <v>0.105</v>
      </c>
    </row>
    <row r="163" spans="1:7">
      <c r="A163" s="2986" t="s">
        <v>29</v>
      </c>
      <c r="B163" s="2975" t="s">
        <v>2995</v>
      </c>
      <c r="C163" s="2976">
        <v>0.1</v>
      </c>
      <c r="D163" s="2976">
        <v>0.1</v>
      </c>
      <c r="E163" s="2976">
        <v>0.1</v>
      </c>
      <c r="F163" s="2976">
        <v>0.1</v>
      </c>
      <c r="G163" s="2977">
        <v>0.1</v>
      </c>
    </row>
    <row r="164" spans="1:7">
      <c r="A164" s="2986" t="s">
        <v>29</v>
      </c>
      <c r="B164" s="2975" t="s">
        <v>3000</v>
      </c>
      <c r="C164" s="2992"/>
      <c r="D164" s="2992"/>
      <c r="E164" s="2992"/>
      <c r="F164" s="2976">
        <v>0.1</v>
      </c>
      <c r="G164" s="2988"/>
    </row>
    <row r="165" spans="1:7">
      <c r="A165" s="2986" t="s">
        <v>29</v>
      </c>
      <c r="B165" s="2975" t="s">
        <v>3171</v>
      </c>
      <c r="C165" s="2976">
        <v>0.126</v>
      </c>
      <c r="D165" s="2976">
        <v>0.126</v>
      </c>
      <c r="E165" s="2976">
        <v>0.11899999999999999</v>
      </c>
      <c r="F165" s="2976">
        <v>0.13</v>
      </c>
      <c r="G165" s="2977">
        <v>0.128</v>
      </c>
    </row>
    <row r="166" spans="1:7">
      <c r="A166" s="2986" t="s">
        <v>29</v>
      </c>
      <c r="B166" s="2975" t="s">
        <v>3010</v>
      </c>
      <c r="C166" s="2976">
        <v>0.129</v>
      </c>
      <c r="D166" s="2976">
        <v>0.129</v>
      </c>
      <c r="E166" s="2976">
        <v>0.123</v>
      </c>
      <c r="F166" s="2976">
        <v>0.128</v>
      </c>
      <c r="G166" s="2977">
        <v>0.13</v>
      </c>
    </row>
    <row r="167" spans="1:7">
      <c r="A167" s="2986" t="s">
        <v>29</v>
      </c>
      <c r="B167" s="2975" t="s">
        <v>3014</v>
      </c>
      <c r="C167" s="2976">
        <v>0.125</v>
      </c>
      <c r="D167" s="2976">
        <v>0.125</v>
      </c>
      <c r="E167" s="2976">
        <v>0.11700000000000001</v>
      </c>
      <c r="F167" s="2976">
        <v>0.13</v>
      </c>
      <c r="G167" s="2977">
        <v>0.126</v>
      </c>
    </row>
    <row r="168" spans="1:7">
      <c r="A168" s="2986" t="s">
        <v>29</v>
      </c>
      <c r="B168" s="2975" t="s">
        <v>3019</v>
      </c>
      <c r="C168" s="2976">
        <v>0.128</v>
      </c>
      <c r="D168" s="2976">
        <v>0.128</v>
      </c>
      <c r="E168" s="2976">
        <v>0.123</v>
      </c>
      <c r="F168" s="2987"/>
      <c r="G168" s="2977">
        <v>0.13</v>
      </c>
    </row>
    <row r="169" spans="1:7">
      <c r="A169" s="2986" t="s">
        <v>29</v>
      </c>
      <c r="B169" s="2975" t="s">
        <v>3172</v>
      </c>
      <c r="C169" s="2992"/>
      <c r="D169" s="2992"/>
      <c r="E169" s="2992"/>
      <c r="F169" s="2976">
        <v>0.05</v>
      </c>
      <c r="G169" s="2988"/>
    </row>
    <row r="170" spans="1:7">
      <c r="A170" s="2986" t="s">
        <v>29</v>
      </c>
      <c r="B170" s="2975" t="s">
        <v>3173</v>
      </c>
      <c r="C170" s="2992"/>
      <c r="D170" s="2992"/>
      <c r="E170" s="2992"/>
      <c r="F170" s="2976">
        <v>0.05</v>
      </c>
      <c r="G170" s="2988"/>
    </row>
    <row r="171" spans="1:7">
      <c r="A171" s="2986" t="s">
        <v>29</v>
      </c>
      <c r="B171" s="2975" t="s">
        <v>3174</v>
      </c>
      <c r="C171" s="2992"/>
      <c r="D171" s="2992"/>
      <c r="E171" s="2992"/>
      <c r="F171" s="2976">
        <v>0.05</v>
      </c>
      <c r="G171" s="2993"/>
    </row>
    <row r="172" spans="1:7">
      <c r="A172" s="2986" t="s">
        <v>29</v>
      </c>
      <c r="B172" s="2975" t="s">
        <v>3175</v>
      </c>
      <c r="C172" s="2992"/>
      <c r="D172" s="2992"/>
      <c r="E172" s="2992"/>
      <c r="F172" s="2976">
        <v>0.05</v>
      </c>
      <c r="G172" s="2993"/>
    </row>
    <row r="173" spans="1:7">
      <c r="A173" s="2986" t="s">
        <v>29</v>
      </c>
      <c r="B173" s="2975" t="s">
        <v>3176</v>
      </c>
      <c r="C173" s="2992"/>
      <c r="D173" s="2992"/>
      <c r="E173" s="2992"/>
      <c r="F173" s="2976">
        <v>0.05</v>
      </c>
      <c r="G173" s="2988"/>
    </row>
    <row r="174" spans="1:7">
      <c r="A174" s="2986" t="s">
        <v>29</v>
      </c>
      <c r="B174" s="2975" t="s">
        <v>3177</v>
      </c>
      <c r="C174" s="2992"/>
      <c r="D174" s="2992"/>
      <c r="E174" s="2992"/>
      <c r="F174" s="2976">
        <v>0.05</v>
      </c>
      <c r="G174" s="2988"/>
    </row>
    <row r="175" spans="1:7">
      <c r="A175" s="2986" t="s">
        <v>29</v>
      </c>
      <c r="B175" s="2975" t="s">
        <v>3178</v>
      </c>
      <c r="C175" s="2992"/>
      <c r="D175" s="2992"/>
      <c r="E175" s="2992"/>
      <c r="F175" s="2976">
        <v>0.05</v>
      </c>
      <c r="G175" s="2988"/>
    </row>
    <row r="176" spans="1:7">
      <c r="A176" s="2986" t="s">
        <v>29</v>
      </c>
      <c r="B176" s="2975" t="s">
        <v>3179</v>
      </c>
      <c r="C176" s="2992"/>
      <c r="D176" s="2992"/>
      <c r="E176" s="2992"/>
      <c r="F176" s="2976">
        <v>0.05</v>
      </c>
      <c r="G176" s="2988"/>
    </row>
    <row r="177" spans="1:7">
      <c r="A177" s="2986" t="s">
        <v>29</v>
      </c>
      <c r="B177" s="2975" t="s">
        <v>3180</v>
      </c>
      <c r="C177" s="2987"/>
      <c r="D177" s="2987"/>
      <c r="E177" s="2987"/>
      <c r="F177" s="2976">
        <v>0.05</v>
      </c>
      <c r="G177" s="2993"/>
    </row>
    <row r="178" spans="1:7">
      <c r="A178" s="2986" t="s">
        <v>29</v>
      </c>
      <c r="B178" s="2975" t="s">
        <v>3181</v>
      </c>
      <c r="C178" s="2987"/>
      <c r="D178" s="2987"/>
      <c r="E178" s="2987"/>
      <c r="F178" s="2976">
        <v>0.05</v>
      </c>
      <c r="G178" s="2993"/>
    </row>
    <row r="179" spans="1:7">
      <c r="A179" s="2986" t="s">
        <v>29</v>
      </c>
      <c r="B179" s="2975" t="s">
        <v>3182</v>
      </c>
      <c r="C179" s="2987"/>
      <c r="D179" s="2987"/>
      <c r="E179" s="2987"/>
      <c r="F179" s="2976">
        <v>0.05</v>
      </c>
      <c r="G179" s="2993"/>
    </row>
    <row r="180" spans="1:7">
      <c r="A180" s="2986" t="s">
        <v>29</v>
      </c>
      <c r="B180" s="2975" t="s">
        <v>3183</v>
      </c>
      <c r="C180" s="2987"/>
      <c r="D180" s="2987"/>
      <c r="E180" s="2987"/>
      <c r="F180" s="2976">
        <v>0.05</v>
      </c>
      <c r="G180" s="2993"/>
    </row>
    <row r="181" spans="1:7">
      <c r="A181" s="2986" t="s">
        <v>29</v>
      </c>
      <c r="B181" s="2975" t="s">
        <v>3184</v>
      </c>
      <c r="C181" s="2987"/>
      <c r="D181" s="2987"/>
      <c r="E181" s="2987"/>
      <c r="F181" s="2976">
        <v>0.05</v>
      </c>
      <c r="G181" s="2993"/>
    </row>
    <row r="182" spans="1:7">
      <c r="A182" s="2986" t="s">
        <v>29</v>
      </c>
      <c r="B182" s="2975" t="s">
        <v>3185</v>
      </c>
      <c r="C182" s="2987"/>
      <c r="D182" s="2987"/>
      <c r="E182" s="2987"/>
      <c r="F182" s="2976">
        <v>0.05</v>
      </c>
      <c r="G182" s="2993"/>
    </row>
    <row r="183" spans="1:7">
      <c r="A183" s="2986" t="s">
        <v>29</v>
      </c>
      <c r="B183" s="2975" t="s">
        <v>3186</v>
      </c>
      <c r="C183" s="2987"/>
      <c r="D183" s="2987"/>
      <c r="E183" s="2987"/>
      <c r="F183" s="2976">
        <v>0.05</v>
      </c>
      <c r="G183" s="2993"/>
    </row>
    <row r="184" spans="1:7">
      <c r="A184" s="2986" t="s">
        <v>29</v>
      </c>
      <c r="B184" s="2975" t="s">
        <v>3187</v>
      </c>
      <c r="C184" s="2987"/>
      <c r="D184" s="2987"/>
      <c r="E184" s="2987"/>
      <c r="F184" s="2976">
        <v>0.05</v>
      </c>
      <c r="G184" s="2993"/>
    </row>
    <row r="185" spans="1:7">
      <c r="A185" s="2986" t="s">
        <v>29</v>
      </c>
      <c r="B185" s="2975" t="s">
        <v>3188</v>
      </c>
      <c r="C185" s="2987"/>
      <c r="D185" s="2987"/>
      <c r="E185" s="2987"/>
      <c r="F185" s="2976">
        <v>0.05</v>
      </c>
      <c r="G185" s="2993"/>
    </row>
    <row r="186" spans="1:7">
      <c r="A186" s="2986" t="s">
        <v>29</v>
      </c>
      <c r="B186" s="2975" t="s">
        <v>3189</v>
      </c>
      <c r="C186" s="2987"/>
      <c r="D186" s="2987"/>
      <c r="E186" s="2987"/>
      <c r="F186" s="2976">
        <v>0.05</v>
      </c>
      <c r="G186" s="2993"/>
    </row>
    <row r="187" spans="1:7">
      <c r="A187" s="2986" t="s">
        <v>29</v>
      </c>
      <c r="B187" s="2975" t="s">
        <v>3190</v>
      </c>
      <c r="C187" s="2987"/>
      <c r="D187" s="2987"/>
      <c r="E187" s="2987"/>
      <c r="F187" s="2976">
        <v>0.05</v>
      </c>
      <c r="G187" s="2993"/>
    </row>
    <row r="188" spans="1:7">
      <c r="A188" s="2986" t="s">
        <v>29</v>
      </c>
      <c r="B188" s="2975" t="s">
        <v>3191</v>
      </c>
      <c r="C188" s="2987"/>
      <c r="D188" s="2987"/>
      <c r="E188" s="2987"/>
      <c r="F188" s="2976">
        <v>0.05</v>
      </c>
      <c r="G188" s="2993"/>
    </row>
    <row r="189" spans="1:7" ht="15" thickBot="1">
      <c r="A189" s="2989" t="s">
        <v>29</v>
      </c>
      <c r="B189" s="2979" t="s">
        <v>3192</v>
      </c>
      <c r="C189" s="2981"/>
      <c r="D189" s="2981"/>
      <c r="E189" s="2981"/>
      <c r="F189" s="2980">
        <v>0.05</v>
      </c>
      <c r="G189" s="2994"/>
    </row>
    <row r="190" spans="1:7">
      <c r="A190" s="2985" t="s">
        <v>304</v>
      </c>
      <c r="B190" s="2971" t="s">
        <v>2848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2884</v>
      </c>
      <c r="C199" s="2976">
        <v>0.13</v>
      </c>
      <c r="D199" s="2976">
        <v>0.13</v>
      </c>
      <c r="E199" s="2976">
        <v>0.13</v>
      </c>
      <c r="F199" s="2976">
        <v>0.13</v>
      </c>
      <c r="G199" s="2977">
        <v>0.13</v>
      </c>
    </row>
    <row r="200" spans="1:7">
      <c r="A200" s="2986" t="s">
        <v>304</v>
      </c>
      <c r="B200" s="2975" t="s">
        <v>2887</v>
      </c>
      <c r="C200" s="2992"/>
      <c r="D200" s="2992"/>
      <c r="E200" s="2992"/>
      <c r="F200" s="2976">
        <v>0.13</v>
      </c>
      <c r="G200" s="2988"/>
    </row>
    <row r="201" spans="1:7">
      <c r="A201" s="2986" t="s">
        <v>304</v>
      </c>
      <c r="B201" s="2975" t="s">
        <v>2892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2895</v>
      </c>
      <c r="C203" s="2976">
        <v>0.129</v>
      </c>
      <c r="D203" s="2976">
        <v>0.129</v>
      </c>
      <c r="E203" s="2976">
        <v>0.13</v>
      </c>
      <c r="F203" s="2976">
        <v>0.13</v>
      </c>
      <c r="G203" s="2977">
        <v>0.13</v>
      </c>
    </row>
    <row r="204" spans="1:7">
      <c r="A204" s="2986" t="s">
        <v>304</v>
      </c>
      <c r="B204" s="2975" t="s">
        <v>2898</v>
      </c>
      <c r="C204" s="2976">
        <v>0.129</v>
      </c>
      <c r="D204" s="2976">
        <v>0.129</v>
      </c>
      <c r="E204" s="2976">
        <v>0.123</v>
      </c>
      <c r="F204" s="2976">
        <v>0.13</v>
      </c>
      <c r="G204" s="2977">
        <v>0.13</v>
      </c>
    </row>
    <row r="205" spans="1:7">
      <c r="A205" s="2986" t="s">
        <v>304</v>
      </c>
      <c r="B205" s="2975" t="s">
        <v>2900</v>
      </c>
      <c r="C205" s="2976">
        <v>0.13</v>
      </c>
      <c r="D205" s="2976">
        <v>0.13</v>
      </c>
      <c r="E205" s="2976">
        <v>0.13</v>
      </c>
      <c r="F205" s="2976">
        <v>0.13</v>
      </c>
      <c r="G205" s="2977">
        <v>0.13</v>
      </c>
    </row>
    <row r="206" spans="1:7">
      <c r="A206" s="2986" t="s">
        <v>304</v>
      </c>
      <c r="B206" s="2975" t="s">
        <v>2903</v>
      </c>
      <c r="C206" s="2976">
        <v>0.13</v>
      </c>
      <c r="D206" s="2976">
        <v>0.13</v>
      </c>
      <c r="E206" s="2976">
        <v>0.13</v>
      </c>
      <c r="F206" s="2976">
        <v>0.128</v>
      </c>
      <c r="G206" s="2977">
        <v>0.13</v>
      </c>
    </row>
    <row r="207" spans="1:7">
      <c r="A207" s="2986" t="s">
        <v>304</v>
      </c>
      <c r="B207" s="2975" t="s">
        <v>2905</v>
      </c>
      <c r="C207" s="2976">
        <v>0.13</v>
      </c>
      <c r="D207" s="2976">
        <v>0.13</v>
      </c>
      <c r="E207" s="2976">
        <v>0.13</v>
      </c>
      <c r="F207" s="2976">
        <v>0.13</v>
      </c>
      <c r="G207" s="2977">
        <v>0.13</v>
      </c>
    </row>
    <row r="208" spans="1:7">
      <c r="A208" s="2986" t="s">
        <v>304</v>
      </c>
      <c r="B208" s="2975" t="s">
        <v>2908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2915</v>
      </c>
      <c r="C210" s="2976">
        <v>0.121</v>
      </c>
      <c r="D210" s="2976">
        <v>0.121</v>
      </c>
      <c r="E210" s="2976">
        <v>0.125</v>
      </c>
      <c r="F210" s="2976">
        <v>0.13</v>
      </c>
      <c r="G210" s="2977">
        <v>0.123</v>
      </c>
    </row>
    <row r="211" spans="1:7">
      <c r="A211" s="2986" t="s">
        <v>304</v>
      </c>
      <c r="B211" s="2975" t="s">
        <v>2918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2930</v>
      </c>
      <c r="C214" s="2976">
        <v>0.128</v>
      </c>
      <c r="D214" s="2976">
        <v>0.128</v>
      </c>
      <c r="E214" s="2976">
        <v>0.13</v>
      </c>
      <c r="F214" s="2976">
        <v>0.13</v>
      </c>
      <c r="G214" s="2977">
        <v>0.13</v>
      </c>
    </row>
    <row r="215" spans="1:7">
      <c r="A215" s="2986" t="s">
        <v>304</v>
      </c>
      <c r="B215" s="2975" t="s">
        <v>2934</v>
      </c>
      <c r="C215" s="2976">
        <v>0.13</v>
      </c>
      <c r="D215" s="2976">
        <v>0.13</v>
      </c>
      <c r="E215" s="2976">
        <v>0.13</v>
      </c>
      <c r="F215" s="2976">
        <v>0.129</v>
      </c>
      <c r="G215" s="2977">
        <v>0.13</v>
      </c>
    </row>
    <row r="216" spans="1:7">
      <c r="A216" s="2986" t="s">
        <v>304</v>
      </c>
      <c r="B216" s="2975" t="s">
        <v>2941</v>
      </c>
      <c r="C216" s="2976">
        <v>0.13</v>
      </c>
      <c r="D216" s="2976">
        <v>0.13</v>
      </c>
      <c r="E216" s="2976">
        <v>0.13</v>
      </c>
      <c r="F216" s="2976">
        <v>0.13</v>
      </c>
      <c r="G216" s="2977">
        <v>0.13</v>
      </c>
    </row>
    <row r="217" spans="1:7">
      <c r="A217" s="2986" t="s">
        <v>304</v>
      </c>
      <c r="B217" s="2975" t="s">
        <v>2948</v>
      </c>
      <c r="C217" s="2976">
        <v>0.129</v>
      </c>
      <c r="D217" s="2976">
        <v>0.129</v>
      </c>
      <c r="E217" s="2976">
        <v>0.13</v>
      </c>
      <c r="F217" s="2976">
        <v>0.13</v>
      </c>
      <c r="G217" s="2977">
        <v>0.13</v>
      </c>
    </row>
    <row r="218" spans="1:7">
      <c r="A218" s="2986" t="s">
        <v>304</v>
      </c>
      <c r="B218" s="2975" t="s">
        <v>2954</v>
      </c>
      <c r="C218" s="2987"/>
      <c r="D218" s="2987"/>
      <c r="E218" s="2987"/>
      <c r="F218" s="2976">
        <v>0.05</v>
      </c>
      <c r="G218" s="2993"/>
    </row>
    <row r="219" spans="1:7">
      <c r="A219" s="2986" t="s">
        <v>304</v>
      </c>
      <c r="B219" s="2975" t="s">
        <v>2961</v>
      </c>
      <c r="C219" s="2987"/>
      <c r="D219" s="2987"/>
      <c r="E219" s="2987"/>
      <c r="F219" s="2976">
        <v>0.05</v>
      </c>
      <c r="G219" s="2993"/>
    </row>
    <row r="220" spans="1:7">
      <c r="A220" s="2986" t="s">
        <v>304</v>
      </c>
      <c r="B220" s="2975" t="s">
        <v>2967</v>
      </c>
      <c r="C220" s="2987"/>
      <c r="D220" s="2987"/>
      <c r="E220" s="2987"/>
      <c r="F220" s="2976">
        <v>0.05</v>
      </c>
      <c r="G220" s="2993"/>
    </row>
    <row r="221" spans="1:7">
      <c r="A221" s="2986" t="s">
        <v>304</v>
      </c>
      <c r="B221" s="2975" t="s">
        <v>2972</v>
      </c>
      <c r="C221" s="2987"/>
      <c r="D221" s="2987"/>
      <c r="E221" s="2987"/>
      <c r="F221" s="2976">
        <v>0.05</v>
      </c>
      <c r="G221" s="2993"/>
    </row>
    <row r="222" spans="1:7">
      <c r="A222" s="2986" t="s">
        <v>304</v>
      </c>
      <c r="B222" s="2975" t="s">
        <v>2976</v>
      </c>
      <c r="C222" s="2987"/>
      <c r="D222" s="2987"/>
      <c r="E222" s="2987"/>
      <c r="F222" s="2976">
        <v>0.05</v>
      </c>
      <c r="G222" s="2993"/>
    </row>
    <row r="223" spans="1:7">
      <c r="A223" s="2986" t="s">
        <v>304</v>
      </c>
      <c r="B223" s="2975" t="s">
        <v>2981</v>
      </c>
      <c r="C223" s="2987"/>
      <c r="D223" s="2987"/>
      <c r="E223" s="2987"/>
      <c r="F223" s="2976">
        <v>0.05</v>
      </c>
      <c r="G223" s="2993"/>
    </row>
    <row r="224" spans="1:7">
      <c r="A224" s="2986" t="s">
        <v>304</v>
      </c>
      <c r="B224" s="2975" t="s">
        <v>2986</v>
      </c>
      <c r="C224" s="2987"/>
      <c r="D224" s="2987"/>
      <c r="E224" s="2987"/>
      <c r="F224" s="2976">
        <v>0.05</v>
      </c>
      <c r="G224" s="2993"/>
    </row>
    <row r="225" spans="1:7">
      <c r="A225" s="2986" t="s">
        <v>304</v>
      </c>
      <c r="B225" s="2975" t="s">
        <v>2991</v>
      </c>
      <c r="C225" s="2987"/>
      <c r="D225" s="2987"/>
      <c r="E225" s="2987"/>
      <c r="F225" s="2976">
        <v>0.05</v>
      </c>
      <c r="G225" s="2993"/>
    </row>
    <row r="226" spans="1:7">
      <c r="A226" s="2986" t="s">
        <v>304</v>
      </c>
      <c r="B226" s="2975" t="s">
        <v>3193</v>
      </c>
      <c r="C226" s="2987"/>
      <c r="D226" s="2987"/>
      <c r="E226" s="2987"/>
      <c r="F226" s="2976">
        <v>0.05</v>
      </c>
      <c r="G226" s="2993"/>
    </row>
    <row r="227" spans="1:7">
      <c r="A227" s="2986" t="s">
        <v>304</v>
      </c>
      <c r="B227" s="2975" t="s">
        <v>3194</v>
      </c>
      <c r="C227" s="2987"/>
      <c r="D227" s="2987"/>
      <c r="E227" s="2987"/>
      <c r="F227" s="2976">
        <v>0.05</v>
      </c>
      <c r="G227" s="2993"/>
    </row>
    <row r="228" spans="1:7">
      <c r="A228" s="2986" t="s">
        <v>304</v>
      </c>
      <c r="B228" s="2975" t="s">
        <v>3195</v>
      </c>
      <c r="C228" s="2987"/>
      <c r="D228" s="2987"/>
      <c r="E228" s="2987"/>
      <c r="F228" s="2976">
        <v>0.05</v>
      </c>
      <c r="G228" s="2993"/>
    </row>
    <row r="229" spans="1:7">
      <c r="A229" s="2986" t="s">
        <v>304</v>
      </c>
      <c r="B229" s="2975" t="s">
        <v>3196</v>
      </c>
      <c r="C229" s="2987"/>
      <c r="D229" s="2987"/>
      <c r="E229" s="2987"/>
      <c r="F229" s="2976">
        <v>0.05</v>
      </c>
      <c r="G229" s="2993"/>
    </row>
    <row r="230" spans="1:7">
      <c r="A230" s="2986" t="s">
        <v>304</v>
      </c>
      <c r="B230" s="2975" t="s">
        <v>3197</v>
      </c>
      <c r="C230" s="2987"/>
      <c r="D230" s="2987"/>
      <c r="E230" s="2987"/>
      <c r="F230" s="2976">
        <v>0.05</v>
      </c>
      <c r="G230" s="2993"/>
    </row>
    <row r="231" spans="1:7">
      <c r="A231" s="2986" t="s">
        <v>304</v>
      </c>
      <c r="B231" s="2975" t="s">
        <v>3198</v>
      </c>
      <c r="C231" s="2987"/>
      <c r="D231" s="2987"/>
      <c r="E231" s="2987"/>
      <c r="F231" s="2976">
        <v>0.05</v>
      </c>
      <c r="G231" s="2993"/>
    </row>
    <row r="232" spans="1:7">
      <c r="A232" s="2986" t="s">
        <v>304</v>
      </c>
      <c r="B232" s="2975" t="s">
        <v>3199</v>
      </c>
      <c r="C232" s="2987"/>
      <c r="D232" s="2987"/>
      <c r="E232" s="2987"/>
      <c r="F232" s="2976">
        <v>0.05</v>
      </c>
      <c r="G232" s="2993"/>
    </row>
    <row r="233" spans="1:7" ht="15" thickBot="1">
      <c r="A233" s="2989" t="s">
        <v>304</v>
      </c>
      <c r="B233" s="2979" t="s">
        <v>3200</v>
      </c>
      <c r="C233" s="2981"/>
      <c r="D233" s="2981"/>
      <c r="E233" s="2981"/>
      <c r="F233" s="2980">
        <v>0.05</v>
      </c>
      <c r="G233" s="2994"/>
    </row>
    <row r="234" spans="1:7">
      <c r="A234" s="2985" t="s">
        <v>305</v>
      </c>
      <c r="B234" s="2971" t="s">
        <v>2849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2869</v>
      </c>
      <c r="C238" s="2976">
        <v>0.14899999999999999</v>
      </c>
      <c r="D238" s="2976">
        <v>0.14899999999999999</v>
      </c>
      <c r="E238" s="2976">
        <v>0.15</v>
      </c>
      <c r="F238" s="2976">
        <v>0.15</v>
      </c>
      <c r="G238" s="2977">
        <v>0.15</v>
      </c>
    </row>
    <row r="239" spans="1:7">
      <c r="A239" s="2986" t="s">
        <v>305</v>
      </c>
      <c r="B239" s="2975" t="s">
        <v>2873</v>
      </c>
      <c r="C239" s="2976">
        <v>0.15</v>
      </c>
      <c r="D239" s="2976">
        <v>0.15</v>
      </c>
      <c r="E239" s="2976">
        <v>0.15</v>
      </c>
      <c r="F239" s="2976">
        <v>0.15</v>
      </c>
      <c r="G239" s="2977">
        <v>0.15</v>
      </c>
    </row>
    <row r="240" spans="1:7">
      <c r="A240" s="2986" t="s">
        <v>305</v>
      </c>
      <c r="B240" s="2975" t="s">
        <v>2878</v>
      </c>
      <c r="C240" s="2976">
        <v>0.15</v>
      </c>
      <c r="D240" s="2976">
        <v>0.15</v>
      </c>
      <c r="E240" s="2976">
        <v>0.15</v>
      </c>
      <c r="F240" s="2976">
        <v>0.15</v>
      </c>
      <c r="G240" s="2977">
        <v>0.15</v>
      </c>
    </row>
    <row r="241" spans="1:7">
      <c r="A241" s="2986" t="s">
        <v>305</v>
      </c>
      <c r="B241" s="2975" t="s">
        <v>2882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2888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2909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2931</v>
      </c>
      <c r="C258" s="2976">
        <v>0.14299999999999999</v>
      </c>
      <c r="D258" s="2976">
        <v>0.14299999999999999</v>
      </c>
      <c r="E258" s="2976">
        <v>0.15</v>
      </c>
      <c r="F258" s="2976">
        <v>0.14799999999999999</v>
      </c>
      <c r="G258" s="2977">
        <v>0.14599999999999999</v>
      </c>
    </row>
    <row r="259" spans="1:7">
      <c r="A259" s="2986" t="s">
        <v>305</v>
      </c>
      <c r="B259" s="2975" t="s">
        <v>2935</v>
      </c>
      <c r="C259" s="2976">
        <v>0.14399999999999999</v>
      </c>
      <c r="D259" s="2976">
        <v>0.14399999999999999</v>
      </c>
      <c r="E259" s="2976">
        <v>0.14899999999999999</v>
      </c>
      <c r="F259" s="2976">
        <v>0.14699999999999999</v>
      </c>
      <c r="G259" s="2977">
        <v>0.14599999999999999</v>
      </c>
    </row>
    <row r="260" spans="1:7">
      <c r="A260" s="2986" t="s">
        <v>305</v>
      </c>
      <c r="B260" s="2975" t="s">
        <v>2942</v>
      </c>
      <c r="C260" s="2976">
        <v>0.109</v>
      </c>
      <c r="D260" s="2976">
        <v>0.111</v>
      </c>
      <c r="E260" s="2976">
        <v>0.13100000000000001</v>
      </c>
      <c r="F260" s="2976">
        <v>0.126</v>
      </c>
      <c r="G260" s="2977">
        <v>0.11899999999999999</v>
      </c>
    </row>
    <row r="261" spans="1:7">
      <c r="A261" s="2986" t="s">
        <v>305</v>
      </c>
      <c r="B261" s="2975" t="s">
        <v>2949</v>
      </c>
      <c r="C261" s="2976">
        <v>0.1</v>
      </c>
      <c r="D261" s="2976">
        <v>0.1</v>
      </c>
      <c r="E261" s="2976">
        <v>0.11799999999999999</v>
      </c>
      <c r="F261" s="2976">
        <v>0.108</v>
      </c>
      <c r="G261" s="2977">
        <v>0.107</v>
      </c>
    </row>
    <row r="262" spans="1:7">
      <c r="A262" s="2986" t="s">
        <v>305</v>
      </c>
      <c r="B262" s="2975" t="s">
        <v>2955</v>
      </c>
      <c r="C262" s="2976">
        <v>0.1</v>
      </c>
      <c r="D262" s="2976">
        <v>0.1</v>
      </c>
      <c r="E262" s="2976">
        <v>0.1</v>
      </c>
      <c r="F262" s="2976">
        <v>0.14099999999999999</v>
      </c>
      <c r="G262" s="2977">
        <v>0.1</v>
      </c>
    </row>
    <row r="263" spans="1:7">
      <c r="A263" s="2986" t="s">
        <v>305</v>
      </c>
      <c r="B263" s="2975" t="s">
        <v>2962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2973</v>
      </c>
      <c r="C265" s="2987"/>
      <c r="D265" s="2987"/>
      <c r="E265" s="2987"/>
      <c r="F265" s="2976">
        <v>0.05</v>
      </c>
      <c r="G265" s="2993"/>
    </row>
    <row r="266" spans="1:7">
      <c r="A266" s="2986" t="s">
        <v>305</v>
      </c>
      <c r="B266" s="2975" t="s">
        <v>2977</v>
      </c>
      <c r="C266" s="2987"/>
      <c r="D266" s="2987"/>
      <c r="E266" s="2987"/>
      <c r="F266" s="2976">
        <v>0.05</v>
      </c>
      <c r="G266" s="2993"/>
    </row>
    <row r="267" spans="1:7">
      <c r="A267" s="2986" t="s">
        <v>305</v>
      </c>
      <c r="B267" s="2975" t="s">
        <v>2982</v>
      </c>
      <c r="C267" s="2987"/>
      <c r="D267" s="2987"/>
      <c r="E267" s="2987"/>
      <c r="F267" s="2976">
        <v>0.05</v>
      </c>
      <c r="G267" s="2993"/>
    </row>
    <row r="268" spans="1:7">
      <c r="A268" s="2986" t="s">
        <v>305</v>
      </c>
      <c r="B268" s="2975" t="s">
        <v>2987</v>
      </c>
      <c r="C268" s="2987"/>
      <c r="D268" s="2987"/>
      <c r="E268" s="2987"/>
      <c r="F268" s="2976">
        <v>0.05</v>
      </c>
      <c r="G268" s="2993"/>
    </row>
    <row r="269" spans="1:7">
      <c r="A269" s="2986" t="s">
        <v>305</v>
      </c>
      <c r="B269" s="2975" t="s">
        <v>2992</v>
      </c>
      <c r="C269" s="2987"/>
      <c r="D269" s="2987"/>
      <c r="E269" s="2987"/>
      <c r="F269" s="2976">
        <v>0.05</v>
      </c>
      <c r="G269" s="2993"/>
    </row>
    <row r="270" spans="1:7">
      <c r="A270" s="2986" t="s">
        <v>305</v>
      </c>
      <c r="B270" s="2975" t="s">
        <v>2997</v>
      </c>
      <c r="C270" s="2987"/>
      <c r="D270" s="2987"/>
      <c r="E270" s="2987"/>
      <c r="F270" s="2976">
        <v>0.05</v>
      </c>
      <c r="G270" s="2993"/>
    </row>
    <row r="271" spans="1:7">
      <c r="A271" s="2986" t="s">
        <v>305</v>
      </c>
      <c r="B271" s="2975" t="s">
        <v>3201</v>
      </c>
      <c r="C271" s="2987"/>
      <c r="D271" s="2987"/>
      <c r="E271" s="2987"/>
      <c r="F271" s="2976">
        <v>0.05</v>
      </c>
      <c r="G271" s="2993"/>
    </row>
    <row r="272" spans="1:7">
      <c r="A272" s="2986" t="s">
        <v>305</v>
      </c>
      <c r="B272" s="2975" t="s">
        <v>3202</v>
      </c>
      <c r="C272" s="2987"/>
      <c r="D272" s="2987"/>
      <c r="E272" s="2987"/>
      <c r="F272" s="2976">
        <v>0.05</v>
      </c>
      <c r="G272" s="2993"/>
    </row>
    <row r="273" spans="1:7">
      <c r="A273" s="2986" t="s">
        <v>305</v>
      </c>
      <c r="B273" s="2975" t="s">
        <v>3203</v>
      </c>
      <c r="C273" s="2987"/>
      <c r="D273" s="2987"/>
      <c r="E273" s="2987"/>
      <c r="F273" s="2976">
        <v>0.05</v>
      </c>
      <c r="G273" s="2993"/>
    </row>
    <row r="274" spans="1:7">
      <c r="A274" s="2986" t="s">
        <v>305</v>
      </c>
      <c r="B274" s="2975" t="s">
        <v>3204</v>
      </c>
      <c r="C274" s="2987"/>
      <c r="D274" s="2987"/>
      <c r="E274" s="2987"/>
      <c r="F274" s="2976">
        <v>0.05</v>
      </c>
      <c r="G274" s="2993"/>
    </row>
    <row r="275" spans="1:7">
      <c r="A275" s="2986" t="s">
        <v>305</v>
      </c>
      <c r="B275" s="2975" t="s">
        <v>3205</v>
      </c>
      <c r="C275" s="2987"/>
      <c r="D275" s="2987"/>
      <c r="E275" s="2987"/>
      <c r="F275" s="2976">
        <v>0.05</v>
      </c>
      <c r="G275" s="2993"/>
    </row>
    <row r="276" spans="1:7" ht="15" thickBot="1">
      <c r="A276" s="2989" t="s">
        <v>305</v>
      </c>
      <c r="B276" s="2979" t="s">
        <v>3206</v>
      </c>
      <c r="C276" s="2981"/>
      <c r="D276" s="2981"/>
      <c r="E276" s="2981"/>
      <c r="F276" s="2980">
        <v>0.05</v>
      </c>
      <c r="G276" s="2994"/>
    </row>
    <row r="277" spans="1:7">
      <c r="A277" s="2985" t="s">
        <v>306</v>
      </c>
      <c r="B277" s="2971" t="s">
        <v>2850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2862</v>
      </c>
      <c r="C279" s="2976">
        <v>0.15</v>
      </c>
      <c r="D279" s="2976">
        <v>0.15</v>
      </c>
      <c r="E279" s="2976">
        <v>0.15</v>
      </c>
      <c r="F279" s="2976">
        <v>0.15</v>
      </c>
      <c r="G279" s="2977">
        <v>0.15</v>
      </c>
    </row>
    <row r="280" spans="1:7">
      <c r="A280" s="2986" t="s">
        <v>306</v>
      </c>
      <c r="B280" s="2975" t="s">
        <v>2866</v>
      </c>
      <c r="C280" s="2976">
        <v>0.15</v>
      </c>
      <c r="D280" s="2976">
        <v>0.15</v>
      </c>
      <c r="E280" s="2976">
        <v>0.15</v>
      </c>
      <c r="F280" s="2976">
        <v>0.15</v>
      </c>
      <c r="G280" s="2977">
        <v>0.15</v>
      </c>
    </row>
    <row r="281" spans="1:7">
      <c r="A281" s="2986" t="s">
        <v>306</v>
      </c>
      <c r="B281" s="2975" t="s">
        <v>2870</v>
      </c>
      <c r="C281" s="2976">
        <v>0.15</v>
      </c>
      <c r="D281" s="2976">
        <v>0.15</v>
      </c>
      <c r="E281" s="2976">
        <v>0.15</v>
      </c>
      <c r="F281" s="2976">
        <v>0.15</v>
      </c>
      <c r="G281" s="2977">
        <v>0.15</v>
      </c>
    </row>
    <row r="282" spans="1:7">
      <c r="A282" s="2986" t="s">
        <v>306</v>
      </c>
      <c r="B282" s="2975" t="s">
        <v>2874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2889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2904</v>
      </c>
      <c r="C293" s="2976">
        <v>0.15</v>
      </c>
      <c r="D293" s="2976">
        <v>0.15</v>
      </c>
      <c r="E293" s="2976">
        <v>0.15</v>
      </c>
      <c r="F293" s="2976">
        <v>0.14499999999999999</v>
      </c>
      <c r="G293" s="2977">
        <v>0.15</v>
      </c>
    </row>
    <row r="294" spans="1:7">
      <c r="A294" s="2986" t="s">
        <v>306</v>
      </c>
      <c r="B294" s="2975" t="s">
        <v>2906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2936</v>
      </c>
      <c r="C302" s="2976">
        <v>0.15</v>
      </c>
      <c r="D302" s="2976">
        <v>0.15</v>
      </c>
      <c r="E302" s="2976">
        <v>0.15</v>
      </c>
      <c r="F302" s="2976">
        <v>0.14699999999999999</v>
      </c>
      <c r="G302" s="2977">
        <v>0.15</v>
      </c>
    </row>
    <row r="303" spans="1:7">
      <c r="A303" s="2986" t="s">
        <v>306</v>
      </c>
      <c r="B303" s="2975" t="s">
        <v>2943</v>
      </c>
      <c r="C303" s="2976">
        <v>0.15</v>
      </c>
      <c r="D303" s="2976">
        <v>0.15</v>
      </c>
      <c r="E303" s="2976">
        <v>0.15</v>
      </c>
      <c r="F303" s="2976">
        <v>0.14199999999999999</v>
      </c>
      <c r="G303" s="2977">
        <v>0.15</v>
      </c>
    </row>
    <row r="304" spans="1:7">
      <c r="A304" s="2986" t="s">
        <v>306</v>
      </c>
      <c r="B304" s="2975" t="s">
        <v>2950</v>
      </c>
      <c r="C304" s="2976">
        <v>0.15</v>
      </c>
      <c r="D304" s="2976">
        <v>0.15</v>
      </c>
      <c r="E304" s="2976">
        <v>0.15</v>
      </c>
      <c r="F304" s="2976">
        <v>0.14499999999999999</v>
      </c>
      <c r="G304" s="2977">
        <v>0.15</v>
      </c>
    </row>
    <row r="305" spans="1:7">
      <c r="A305" s="2986" t="s">
        <v>306</v>
      </c>
      <c r="B305" s="2975" t="s">
        <v>2956</v>
      </c>
      <c r="C305" s="2976">
        <v>0.15</v>
      </c>
      <c r="D305" s="2976">
        <v>0.15</v>
      </c>
      <c r="E305" s="2976">
        <v>0.15</v>
      </c>
      <c r="F305" s="2976">
        <v>0.111</v>
      </c>
      <c r="G305" s="2977">
        <v>0.15</v>
      </c>
    </row>
    <row r="306" spans="1:7">
      <c r="A306" s="2986" t="s">
        <v>306</v>
      </c>
      <c r="B306" s="2975" t="s">
        <v>2963</v>
      </c>
      <c r="C306" s="2976">
        <v>0.15</v>
      </c>
      <c r="D306" s="2976">
        <v>0.15</v>
      </c>
      <c r="E306" s="2976">
        <v>0.15</v>
      </c>
      <c r="F306" s="2976">
        <v>0.126</v>
      </c>
      <c r="G306" s="2977">
        <v>0.15</v>
      </c>
    </row>
    <row r="307" spans="1:7">
      <c r="A307" s="2986" t="s">
        <v>306</v>
      </c>
      <c r="B307" s="2975" t="s">
        <v>2968</v>
      </c>
      <c r="C307" s="2976">
        <v>0.15</v>
      </c>
      <c r="D307" s="2976">
        <v>0.15</v>
      </c>
      <c r="E307" s="2976">
        <v>0.15</v>
      </c>
      <c r="F307" s="2976">
        <v>0.12</v>
      </c>
      <c r="G307" s="2977">
        <v>0.15</v>
      </c>
    </row>
    <row r="308" spans="1:7">
      <c r="A308" s="2986" t="s">
        <v>306</v>
      </c>
      <c r="B308" s="2975" t="s">
        <v>2974</v>
      </c>
      <c r="C308" s="2976">
        <v>0.15</v>
      </c>
      <c r="D308" s="2976">
        <v>0.15</v>
      </c>
      <c r="E308" s="2976">
        <v>0.15</v>
      </c>
      <c r="F308" s="2976">
        <v>0.13</v>
      </c>
      <c r="G308" s="2977">
        <v>0.15</v>
      </c>
    </row>
    <row r="309" spans="1:7">
      <c r="A309" s="2986" t="s">
        <v>306</v>
      </c>
      <c r="B309" s="2975" t="s">
        <v>2978</v>
      </c>
      <c r="C309" s="2976">
        <v>0.15</v>
      </c>
      <c r="D309" s="2976">
        <v>0.15</v>
      </c>
      <c r="E309" s="2976">
        <v>0.15</v>
      </c>
      <c r="F309" s="2976">
        <v>0.14099999999999999</v>
      </c>
      <c r="G309" s="2977">
        <v>0.15</v>
      </c>
    </row>
    <row r="310" spans="1:7">
      <c r="A310" s="2986" t="s">
        <v>306</v>
      </c>
      <c r="B310" s="2975" t="s">
        <v>2983</v>
      </c>
      <c r="C310" s="2976">
        <v>0.15</v>
      </c>
      <c r="D310" s="2976">
        <v>0.15</v>
      </c>
      <c r="E310" s="2976">
        <v>0.15</v>
      </c>
      <c r="F310" s="2976">
        <v>0.15</v>
      </c>
      <c r="G310" s="2977">
        <v>0.15</v>
      </c>
    </row>
    <row r="311" spans="1:7">
      <c r="A311" s="2986" t="s">
        <v>306</v>
      </c>
      <c r="B311" s="2975" t="s">
        <v>2988</v>
      </c>
      <c r="C311" s="2976">
        <v>0.13200000000000001</v>
      </c>
      <c r="D311" s="2976">
        <v>0.13300000000000001</v>
      </c>
      <c r="E311" s="2976">
        <v>0.14499999999999999</v>
      </c>
      <c r="F311" s="2976">
        <v>0.14199999999999999</v>
      </c>
      <c r="G311" s="2977">
        <v>0.14000000000000001</v>
      </c>
    </row>
    <row r="312" spans="1:7">
      <c r="A312" s="2986" t="s">
        <v>306</v>
      </c>
      <c r="B312" s="2975" t="s">
        <v>2993</v>
      </c>
      <c r="C312" s="2976">
        <v>0.13800000000000001</v>
      </c>
      <c r="D312" s="2976">
        <v>0.14000000000000001</v>
      </c>
      <c r="E312" s="2976">
        <v>0.14599999999999999</v>
      </c>
      <c r="F312" s="2976">
        <v>0.14899999999999999</v>
      </c>
      <c r="G312" s="2977">
        <v>0.14199999999999999</v>
      </c>
    </row>
    <row r="313" spans="1:7">
      <c r="A313" s="2986" t="s">
        <v>306</v>
      </c>
      <c r="B313" s="2975" t="s">
        <v>2998</v>
      </c>
      <c r="C313" s="2976">
        <v>0.125</v>
      </c>
      <c r="D313" s="2976">
        <v>0.127</v>
      </c>
      <c r="E313" s="2976">
        <v>0.14399999999999999</v>
      </c>
      <c r="F313" s="2976">
        <v>0.115</v>
      </c>
      <c r="G313" s="2977">
        <v>0.13600000000000001</v>
      </c>
    </row>
    <row r="314" spans="1:7">
      <c r="A314" s="2986" t="s">
        <v>306</v>
      </c>
      <c r="B314" s="2975" t="s">
        <v>3207</v>
      </c>
      <c r="C314" s="2992"/>
      <c r="D314" s="2992"/>
      <c r="E314" s="2992"/>
      <c r="F314" s="2976">
        <v>0.05</v>
      </c>
      <c r="G314" s="2993"/>
    </row>
    <row r="315" spans="1:7">
      <c r="A315" s="2986" t="s">
        <v>306</v>
      </c>
      <c r="B315" s="2975" t="s">
        <v>3208</v>
      </c>
      <c r="C315" s="2992"/>
      <c r="D315" s="2992"/>
      <c r="E315" s="2992"/>
      <c r="F315" s="2976">
        <v>0.05</v>
      </c>
      <c r="G315" s="2993"/>
    </row>
    <row r="316" spans="1:7">
      <c r="A316" s="2986" t="s">
        <v>306</v>
      </c>
      <c r="B316" s="2975" t="s">
        <v>3209</v>
      </c>
      <c r="C316" s="2987"/>
      <c r="D316" s="2987"/>
      <c r="E316" s="2987"/>
      <c r="F316" s="2976">
        <v>0.05</v>
      </c>
      <c r="G316" s="2993"/>
    </row>
    <row r="317" spans="1:7">
      <c r="A317" s="2986" t="s">
        <v>306</v>
      </c>
      <c r="B317" s="2975" t="s">
        <v>3210</v>
      </c>
      <c r="C317" s="2987"/>
      <c r="D317" s="2987"/>
      <c r="E317" s="2987"/>
      <c r="F317" s="2976">
        <v>0.05</v>
      </c>
      <c r="G317" s="2993"/>
    </row>
    <row r="318" spans="1:7">
      <c r="A318" s="2986" t="s">
        <v>306</v>
      </c>
      <c r="B318" s="2975" t="s">
        <v>3211</v>
      </c>
      <c r="C318" s="2987"/>
      <c r="D318" s="2987"/>
      <c r="E318" s="2987"/>
      <c r="F318" s="2976">
        <v>0.05</v>
      </c>
      <c r="G318" s="2993"/>
    </row>
    <row r="319" spans="1:7">
      <c r="A319" s="2986" t="s">
        <v>306</v>
      </c>
      <c r="B319" s="2975" t="s">
        <v>3212</v>
      </c>
      <c r="C319" s="2987"/>
      <c r="D319" s="2987"/>
      <c r="E319" s="2987"/>
      <c r="F319" s="2976">
        <v>0.05</v>
      </c>
      <c r="G319" s="2993"/>
    </row>
    <row r="320" spans="1:7">
      <c r="A320" s="2986" t="s">
        <v>306</v>
      </c>
      <c r="B320" s="2975" t="s">
        <v>3213</v>
      </c>
      <c r="C320" s="2987"/>
      <c r="D320" s="2987"/>
      <c r="E320" s="2987"/>
      <c r="F320" s="2976">
        <v>0.05</v>
      </c>
      <c r="G320" s="2993"/>
    </row>
    <row r="321" spans="1:7">
      <c r="A321" s="2986" t="s">
        <v>306</v>
      </c>
      <c r="B321" s="2975" t="s">
        <v>3214</v>
      </c>
      <c r="C321" s="2987"/>
      <c r="D321" s="2987"/>
      <c r="E321" s="2987"/>
      <c r="F321" s="2976">
        <v>0.05</v>
      </c>
      <c r="G321" s="2993"/>
    </row>
    <row r="322" spans="1:7">
      <c r="A322" s="2986" t="s">
        <v>306</v>
      </c>
      <c r="B322" s="2975" t="s">
        <v>3215</v>
      </c>
      <c r="C322" s="2987"/>
      <c r="D322" s="2987"/>
      <c r="E322" s="2987"/>
      <c r="F322" s="2976">
        <v>0.05</v>
      </c>
      <c r="G322" s="2993"/>
    </row>
    <row r="323" spans="1:7">
      <c r="A323" s="2986" t="s">
        <v>306</v>
      </c>
      <c r="B323" s="2975" t="s">
        <v>3216</v>
      </c>
      <c r="C323" s="2987"/>
      <c r="D323" s="2987"/>
      <c r="E323" s="2987"/>
      <c r="F323" s="2976">
        <v>0.05</v>
      </c>
      <c r="G323" s="2993"/>
    </row>
    <row r="324" spans="1:7">
      <c r="A324" s="2986" t="s">
        <v>306</v>
      </c>
      <c r="B324" s="2975" t="s">
        <v>3217</v>
      </c>
      <c r="C324" s="2987"/>
      <c r="D324" s="2987"/>
      <c r="E324" s="2987"/>
      <c r="F324" s="2976">
        <v>0.05</v>
      </c>
      <c r="G324" s="2993"/>
    </row>
    <row r="325" spans="1:7">
      <c r="A325" s="2986" t="s">
        <v>306</v>
      </c>
      <c r="B325" s="2975" t="s">
        <v>3218</v>
      </c>
      <c r="C325" s="2987"/>
      <c r="D325" s="2987"/>
      <c r="E325" s="2987"/>
      <c r="F325" s="2976">
        <v>0.05</v>
      </c>
      <c r="G325" s="2993"/>
    </row>
    <row r="326" spans="1:7" ht="15" thickBot="1">
      <c r="A326" s="2989" t="s">
        <v>306</v>
      </c>
      <c r="B326" s="2979" t="s">
        <v>3219</v>
      </c>
      <c r="C326" s="2981"/>
      <c r="D326" s="2981"/>
      <c r="E326" s="2981"/>
      <c r="F326" s="2980">
        <v>0.05</v>
      </c>
      <c r="G326" s="2994"/>
    </row>
    <row r="327" spans="1:7">
      <c r="A327" s="2985" t="s">
        <v>307</v>
      </c>
      <c r="B327" s="2971" t="s">
        <v>2851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2863</v>
      </c>
      <c r="C329" s="2976">
        <v>0.15</v>
      </c>
      <c r="D329" s="2976">
        <v>0.15</v>
      </c>
      <c r="E329" s="2976">
        <v>0.15</v>
      </c>
      <c r="F329" s="2976">
        <v>0.15</v>
      </c>
      <c r="G329" s="2977">
        <v>0.15</v>
      </c>
    </row>
    <row r="330" spans="1:7">
      <c r="A330" s="2986" t="s">
        <v>307</v>
      </c>
      <c r="B330" s="2975" t="s">
        <v>2867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2875</v>
      </c>
      <c r="C332" s="2976">
        <v>0.15</v>
      </c>
      <c r="D332" s="2976">
        <v>0.15</v>
      </c>
      <c r="E332" s="2976">
        <v>0.15</v>
      </c>
      <c r="F332" s="2976">
        <v>0.15</v>
      </c>
      <c r="G332" s="2977">
        <v>0.15</v>
      </c>
    </row>
    <row r="333" spans="1:7">
      <c r="A333" s="2986" t="s">
        <v>307</v>
      </c>
      <c r="B333" s="2975" t="s">
        <v>2879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2885</v>
      </c>
      <c r="C336" s="2976">
        <v>0.15</v>
      </c>
      <c r="D336" s="2976">
        <v>0.15</v>
      </c>
      <c r="E336" s="2976">
        <v>0.15</v>
      </c>
      <c r="F336" s="2976">
        <v>0.14199999999999999</v>
      </c>
      <c r="G336" s="2977">
        <v>0.15</v>
      </c>
    </row>
    <row r="337" spans="1:7">
      <c r="A337" s="2986" t="s">
        <v>307</v>
      </c>
      <c r="B337" s="2975" t="s">
        <v>2890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2910</v>
      </c>
      <c r="C345" s="2976">
        <v>0.15</v>
      </c>
      <c r="D345" s="2976">
        <v>0.15</v>
      </c>
      <c r="E345" s="2976">
        <v>0.15</v>
      </c>
      <c r="F345" s="2976">
        <v>0.13800000000000001</v>
      </c>
      <c r="G345" s="2977">
        <v>0.15</v>
      </c>
    </row>
    <row r="346" spans="1:7">
      <c r="A346" s="2986" t="s">
        <v>307</v>
      </c>
      <c r="B346" s="2975" t="s">
        <v>2912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2919</v>
      </c>
      <c r="C348" s="2976">
        <v>0.15</v>
      </c>
      <c r="D348" s="2976">
        <v>0.15</v>
      </c>
      <c r="E348" s="2976">
        <v>0.15</v>
      </c>
      <c r="F348" s="2976">
        <v>0.14399999999999999</v>
      </c>
      <c r="G348" s="2977">
        <v>0.15</v>
      </c>
    </row>
    <row r="349" spans="1:7">
      <c r="A349" s="2986" t="s">
        <v>307</v>
      </c>
      <c r="B349" s="2975" t="s">
        <v>2924</v>
      </c>
      <c r="C349" s="2976">
        <v>0.15</v>
      </c>
      <c r="D349" s="2976">
        <v>0.15</v>
      </c>
      <c r="E349" s="2976">
        <v>0.15</v>
      </c>
      <c r="F349" s="2976">
        <v>0.15</v>
      </c>
      <c r="G349" s="2977">
        <v>0.15</v>
      </c>
    </row>
    <row r="350" spans="1:7">
      <c r="A350" s="2986" t="s">
        <v>307</v>
      </c>
      <c r="B350" s="2975" t="s">
        <v>2927</v>
      </c>
      <c r="C350" s="2976">
        <v>0.15</v>
      </c>
      <c r="D350" s="2976">
        <v>0.15</v>
      </c>
      <c r="E350" s="2976">
        <v>0.15</v>
      </c>
      <c r="F350" s="2976">
        <v>0.14699999999999999</v>
      </c>
      <c r="G350" s="2977">
        <v>0.15</v>
      </c>
    </row>
    <row r="351" spans="1:7">
      <c r="A351" s="2986" t="s">
        <v>307</v>
      </c>
      <c r="B351" s="2975" t="s">
        <v>2932</v>
      </c>
      <c r="C351" s="2976">
        <v>0.15</v>
      </c>
      <c r="D351" s="2976">
        <v>0.15</v>
      </c>
      <c r="E351" s="2976">
        <v>0.15</v>
      </c>
      <c r="F351" s="2976">
        <v>0.13</v>
      </c>
      <c r="G351" s="2977">
        <v>0.15</v>
      </c>
    </row>
    <row r="352" spans="1:7">
      <c r="A352" s="2986" t="s">
        <v>307</v>
      </c>
      <c r="B352" s="2975" t="s">
        <v>2937</v>
      </c>
      <c r="C352" s="2976">
        <v>0.15</v>
      </c>
      <c r="D352" s="2976">
        <v>0.15</v>
      </c>
      <c r="E352" s="2976">
        <v>0.15</v>
      </c>
      <c r="F352" s="2976">
        <v>0.14599999999999999</v>
      </c>
      <c r="G352" s="2977">
        <v>0.15</v>
      </c>
    </row>
    <row r="353" spans="1:7">
      <c r="A353" s="2986" t="s">
        <v>307</v>
      </c>
      <c r="B353" s="2975" t="s">
        <v>2944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2957</v>
      </c>
      <c r="C355" s="2976">
        <v>0.15</v>
      </c>
      <c r="D355" s="2976">
        <v>0.15</v>
      </c>
      <c r="E355" s="2976">
        <v>0.15</v>
      </c>
      <c r="F355" s="2976">
        <v>0.15</v>
      </c>
      <c r="G355" s="2977">
        <v>0.15</v>
      </c>
    </row>
    <row r="356" spans="1:7">
      <c r="A356" s="2986" t="s">
        <v>307</v>
      </c>
      <c r="B356" s="2975" t="s">
        <v>2964</v>
      </c>
      <c r="C356" s="2976">
        <v>0.15</v>
      </c>
      <c r="D356" s="2976">
        <v>0.15</v>
      </c>
      <c r="E356" s="2976">
        <v>0.15</v>
      </c>
      <c r="F356" s="2976">
        <v>0.15</v>
      </c>
      <c r="G356" s="2977">
        <v>0.15</v>
      </c>
    </row>
    <row r="357" spans="1:7" ht="15" thickBot="1">
      <c r="A357" s="2989" t="s">
        <v>307</v>
      </c>
      <c r="B357" s="2979" t="s">
        <v>2969</v>
      </c>
      <c r="C357" s="2980">
        <v>0.126</v>
      </c>
      <c r="D357" s="2980">
        <v>0.127</v>
      </c>
      <c r="E357" s="2980">
        <v>0.14299999999999999</v>
      </c>
      <c r="F357" s="2980">
        <v>0.125</v>
      </c>
      <c r="G357" s="2982">
        <v>0.129</v>
      </c>
    </row>
    <row r="358" spans="1:7">
      <c r="A358" s="2985" t="s">
        <v>2838</v>
      </c>
      <c r="B358" s="2971" t="s">
        <v>2852</v>
      </c>
      <c r="C358" s="2972">
        <v>0.15</v>
      </c>
      <c r="D358" s="2972">
        <v>0.15</v>
      </c>
      <c r="E358" s="2972">
        <v>0.15</v>
      </c>
      <c r="F358" s="2972">
        <v>0.15</v>
      </c>
      <c r="G358" s="2973">
        <v>0.15</v>
      </c>
    </row>
    <row r="359" spans="1:7">
      <c r="A359" s="2986" t="s">
        <v>2838</v>
      </c>
      <c r="B359" s="2975" t="s">
        <v>2858</v>
      </c>
      <c r="C359" s="2976">
        <v>0.1</v>
      </c>
      <c r="D359" s="2976">
        <v>0.1</v>
      </c>
      <c r="E359" s="2976">
        <v>0.1</v>
      </c>
      <c r="F359" s="2976">
        <v>0.1</v>
      </c>
      <c r="G359" s="2977">
        <v>0.1</v>
      </c>
    </row>
    <row r="360" spans="1:7">
      <c r="A360" s="2986" t="s">
        <v>2838</v>
      </c>
      <c r="B360" s="2975" t="s">
        <v>2864</v>
      </c>
      <c r="C360" s="2976">
        <v>0.15</v>
      </c>
      <c r="D360" s="2976">
        <v>0.15</v>
      </c>
      <c r="E360" s="2976">
        <v>0.15</v>
      </c>
      <c r="F360" s="2976">
        <v>0.14899999999999999</v>
      </c>
      <c r="G360" s="2977">
        <v>0.15</v>
      </c>
    </row>
    <row r="361" spans="1:7">
      <c r="A361" s="2986" t="s">
        <v>2838</v>
      </c>
      <c r="B361" s="2975" t="s">
        <v>153</v>
      </c>
      <c r="C361" s="2976">
        <v>0.15</v>
      </c>
      <c r="D361" s="2976">
        <v>0.15</v>
      </c>
      <c r="E361" s="2976">
        <v>0.15</v>
      </c>
      <c r="F361" s="2976">
        <v>0.115</v>
      </c>
      <c r="G361" s="2977">
        <v>0.15</v>
      </c>
    </row>
    <row r="362" spans="1:7">
      <c r="A362" s="2986" t="s">
        <v>2838</v>
      </c>
      <c r="B362" s="2975" t="s">
        <v>2871</v>
      </c>
      <c r="C362" s="2976">
        <v>0.15</v>
      </c>
      <c r="D362" s="2976">
        <v>0.15</v>
      </c>
      <c r="E362" s="2976">
        <v>0.15</v>
      </c>
      <c r="F362" s="2976">
        <v>0.106</v>
      </c>
      <c r="G362" s="2977">
        <v>0.15</v>
      </c>
    </row>
    <row r="363" spans="1:7">
      <c r="A363" s="2986" t="s">
        <v>2838</v>
      </c>
      <c r="B363" s="2975" t="s">
        <v>2876</v>
      </c>
      <c r="C363" s="2976">
        <v>0.15</v>
      </c>
      <c r="D363" s="2976">
        <v>0.15</v>
      </c>
      <c r="E363" s="2976">
        <v>0.15</v>
      </c>
      <c r="F363" s="2976">
        <v>0.14699999999999999</v>
      </c>
      <c r="G363" s="2977">
        <v>0.15</v>
      </c>
    </row>
    <row r="364" spans="1:7">
      <c r="A364" s="2986" t="s">
        <v>2838</v>
      </c>
      <c r="B364" s="2975" t="s">
        <v>2880</v>
      </c>
      <c r="C364" s="2976">
        <v>0.15</v>
      </c>
      <c r="D364" s="2976">
        <v>0.15</v>
      </c>
      <c r="E364" s="2976">
        <v>0.15</v>
      </c>
      <c r="F364" s="2976">
        <v>0.14799999999999999</v>
      </c>
      <c r="G364" s="2977">
        <v>0.15</v>
      </c>
    </row>
    <row r="365" spans="1:7">
      <c r="A365" s="2986" t="s">
        <v>2838</v>
      </c>
      <c r="B365" s="2975" t="s">
        <v>200</v>
      </c>
      <c r="C365" s="2976">
        <v>0.15</v>
      </c>
      <c r="D365" s="2976">
        <v>0.15</v>
      </c>
      <c r="E365" s="2976">
        <v>0.15</v>
      </c>
      <c r="F365" s="2976">
        <v>0.15</v>
      </c>
      <c r="G365" s="2977">
        <v>0.15</v>
      </c>
    </row>
    <row r="366" spans="1:7">
      <c r="A366" s="2986" t="s">
        <v>2838</v>
      </c>
      <c r="B366" s="2975" t="s">
        <v>2883</v>
      </c>
      <c r="C366" s="2976">
        <v>0.15</v>
      </c>
      <c r="D366" s="2976">
        <v>0.15</v>
      </c>
      <c r="E366" s="2976">
        <v>0.15</v>
      </c>
      <c r="F366" s="2976">
        <v>0.15</v>
      </c>
      <c r="G366" s="2977">
        <v>0.15</v>
      </c>
    </row>
    <row r="367" spans="1:7">
      <c r="A367" s="2986" t="s">
        <v>2838</v>
      </c>
      <c r="B367" s="2975" t="s">
        <v>2886</v>
      </c>
      <c r="C367" s="2976">
        <v>0.15</v>
      </c>
      <c r="D367" s="2976">
        <v>0.15</v>
      </c>
      <c r="E367" s="2976">
        <v>0.15</v>
      </c>
      <c r="F367" s="2976">
        <v>0.14699999999999999</v>
      </c>
      <c r="G367" s="2977">
        <v>0.15</v>
      </c>
    </row>
    <row r="368" spans="1:7">
      <c r="A368" s="2986" t="s">
        <v>2838</v>
      </c>
      <c r="B368" s="2975" t="s">
        <v>2891</v>
      </c>
      <c r="C368" s="2976">
        <v>0.15</v>
      </c>
      <c r="D368" s="2976">
        <v>0.15</v>
      </c>
      <c r="E368" s="2976">
        <v>0.15</v>
      </c>
      <c r="F368" s="2976">
        <v>0.13600000000000001</v>
      </c>
      <c r="G368" s="2977">
        <v>0.15</v>
      </c>
    </row>
    <row r="369" spans="1:7">
      <c r="A369" s="2986" t="s">
        <v>2838</v>
      </c>
      <c r="B369" s="2975" t="s">
        <v>214</v>
      </c>
      <c r="C369" s="2976">
        <v>0.15</v>
      </c>
      <c r="D369" s="2976">
        <v>0.15</v>
      </c>
      <c r="E369" s="2976">
        <v>0.15</v>
      </c>
      <c r="F369" s="2976">
        <v>0.14399999999999999</v>
      </c>
      <c r="G369" s="2977">
        <v>0.15</v>
      </c>
    </row>
    <row r="370" spans="1:7">
      <c r="A370" s="2986" t="s">
        <v>2838</v>
      </c>
      <c r="B370" s="2975" t="s">
        <v>221</v>
      </c>
      <c r="C370" s="2976">
        <v>0.15</v>
      </c>
      <c r="D370" s="2976">
        <v>0.15</v>
      </c>
      <c r="E370" s="2976">
        <v>0.15</v>
      </c>
      <c r="F370" s="2976">
        <v>0.14599999999999999</v>
      </c>
      <c r="G370" s="2977">
        <v>0.15</v>
      </c>
    </row>
    <row r="371" spans="1:7">
      <c r="A371" s="2986" t="s">
        <v>2838</v>
      </c>
      <c r="B371" s="2975" t="s">
        <v>229</v>
      </c>
      <c r="C371" s="2976">
        <v>0.15</v>
      </c>
      <c r="D371" s="2976">
        <v>0.15</v>
      </c>
      <c r="E371" s="2976">
        <v>0.15</v>
      </c>
      <c r="F371" s="2976">
        <v>0.12</v>
      </c>
      <c r="G371" s="2977">
        <v>0.15</v>
      </c>
    </row>
    <row r="372" spans="1:7">
      <c r="A372" s="2986" t="s">
        <v>2838</v>
      </c>
      <c r="B372" s="2975" t="s">
        <v>2899</v>
      </c>
      <c r="C372" s="2976">
        <v>0.15</v>
      </c>
      <c r="D372" s="2976">
        <v>0.15</v>
      </c>
      <c r="E372" s="2976">
        <v>0.15</v>
      </c>
      <c r="F372" s="2976">
        <v>0.14299999999999999</v>
      </c>
      <c r="G372" s="2977">
        <v>0.15</v>
      </c>
    </row>
    <row r="373" spans="1:7">
      <c r="A373" s="2986" t="s">
        <v>2838</v>
      </c>
      <c r="B373" s="2975" t="s">
        <v>258</v>
      </c>
      <c r="C373" s="2976">
        <v>0.15</v>
      </c>
      <c r="D373" s="2976">
        <v>0.15</v>
      </c>
      <c r="E373" s="2976">
        <v>0.15</v>
      </c>
      <c r="F373" s="2976">
        <v>0.14599999999999999</v>
      </c>
      <c r="G373" s="2977">
        <v>0.15</v>
      </c>
    </row>
    <row r="374" spans="1:7">
      <c r="A374" s="2986" t="s">
        <v>2838</v>
      </c>
      <c r="B374" s="2975" t="s">
        <v>266</v>
      </c>
      <c r="C374" s="2976">
        <v>0.15</v>
      </c>
      <c r="D374" s="2976">
        <v>0.15</v>
      </c>
      <c r="E374" s="2976">
        <v>0.15</v>
      </c>
      <c r="F374" s="2976">
        <v>0.14399999999999999</v>
      </c>
      <c r="G374" s="2977">
        <v>0.15</v>
      </c>
    </row>
    <row r="375" spans="1:7">
      <c r="A375" s="2986" t="s">
        <v>2838</v>
      </c>
      <c r="B375" s="2975" t="s">
        <v>2907</v>
      </c>
      <c r="C375" s="2976">
        <v>0.15</v>
      </c>
      <c r="D375" s="2976">
        <v>0.15</v>
      </c>
      <c r="E375" s="2976">
        <v>0.15</v>
      </c>
      <c r="F375" s="2976">
        <v>0.13</v>
      </c>
      <c r="G375" s="2977">
        <v>0.15</v>
      </c>
    </row>
    <row r="376" spans="1:7">
      <c r="A376" s="2986" t="s">
        <v>2838</v>
      </c>
      <c r="B376" s="2975" t="s">
        <v>277</v>
      </c>
      <c r="C376" s="2976">
        <v>0.15</v>
      </c>
      <c r="D376" s="2976">
        <v>0.15</v>
      </c>
      <c r="E376" s="2976">
        <v>0.15</v>
      </c>
      <c r="F376" s="2976">
        <v>0.14199999999999999</v>
      </c>
      <c r="G376" s="2977">
        <v>0.15</v>
      </c>
    </row>
    <row r="377" spans="1:7" ht="15" thickBot="1">
      <c r="A377" s="2989" t="s">
        <v>2838</v>
      </c>
      <c r="B377" s="2979" t="s">
        <v>2913</v>
      </c>
      <c r="C377" s="2980">
        <v>0.15</v>
      </c>
      <c r="D377" s="2980">
        <v>0.15</v>
      </c>
      <c r="E377" s="2980">
        <v>0.15</v>
      </c>
      <c r="F377" s="2980">
        <v>0.14000000000000001</v>
      </c>
      <c r="G377" s="2982">
        <v>0.15</v>
      </c>
    </row>
    <row r="378" spans="1:7">
      <c r="A378" s="2985" t="s">
        <v>2839</v>
      </c>
      <c r="B378" s="2971" t="s">
        <v>2853</v>
      </c>
      <c r="C378" s="2972">
        <v>0.15</v>
      </c>
      <c r="D378" s="2972">
        <v>0.15</v>
      </c>
      <c r="E378" s="2972">
        <v>0.15</v>
      </c>
      <c r="F378" s="2972">
        <v>0.107</v>
      </c>
      <c r="G378" s="2973">
        <v>0.15</v>
      </c>
    </row>
    <row r="379" spans="1:7">
      <c r="A379" s="2986" t="s">
        <v>2839</v>
      </c>
      <c r="B379" s="2975" t="s">
        <v>2859</v>
      </c>
      <c r="C379" s="2976">
        <v>0.15</v>
      </c>
      <c r="D379" s="2976">
        <v>0.15</v>
      </c>
      <c r="E379" s="2976">
        <v>0.15</v>
      </c>
      <c r="F379" s="2976">
        <v>0.115</v>
      </c>
      <c r="G379" s="2977">
        <v>0.14899999999999999</v>
      </c>
    </row>
    <row r="380" spans="1:7">
      <c r="A380" s="2986" t="s">
        <v>2839</v>
      </c>
      <c r="B380" s="2975" t="s">
        <v>2865</v>
      </c>
      <c r="C380" s="2976">
        <v>0.15</v>
      </c>
      <c r="D380" s="2976">
        <v>0.15</v>
      </c>
      <c r="E380" s="2976">
        <v>0.15</v>
      </c>
      <c r="F380" s="2976">
        <v>0.1</v>
      </c>
      <c r="G380" s="2977">
        <v>0.14799999999999999</v>
      </c>
    </row>
    <row r="381" spans="1:7">
      <c r="A381" s="2986" t="s">
        <v>2839</v>
      </c>
      <c r="B381" s="2975" t="s">
        <v>2868</v>
      </c>
      <c r="C381" s="2976">
        <v>0.15</v>
      </c>
      <c r="D381" s="2976">
        <v>0.15</v>
      </c>
      <c r="E381" s="2976">
        <v>0.15</v>
      </c>
      <c r="F381" s="2976">
        <v>0.126</v>
      </c>
      <c r="G381" s="2977">
        <v>0.15</v>
      </c>
    </row>
    <row r="382" spans="1:7">
      <c r="A382" s="2986" t="s">
        <v>2839</v>
      </c>
      <c r="B382" s="2975" t="s">
        <v>2872</v>
      </c>
      <c r="C382" s="2976">
        <v>0.15</v>
      </c>
      <c r="D382" s="2976">
        <v>0.15</v>
      </c>
      <c r="E382" s="2976">
        <v>0.15</v>
      </c>
      <c r="F382" s="2976">
        <v>0.15</v>
      </c>
      <c r="G382" s="2977">
        <v>0.15</v>
      </c>
    </row>
    <row r="383" spans="1:7">
      <c r="A383" s="2986" t="s">
        <v>2839</v>
      </c>
      <c r="B383" s="2975" t="s">
        <v>2877</v>
      </c>
      <c r="C383" s="2976">
        <v>0.15</v>
      </c>
      <c r="D383" s="2976">
        <v>0.15</v>
      </c>
      <c r="E383" s="2976">
        <v>0.15</v>
      </c>
      <c r="F383" s="2976">
        <v>0.14699999999999999</v>
      </c>
      <c r="G383" s="2977">
        <v>0.15</v>
      </c>
    </row>
    <row r="384" spans="1:7" ht="15" thickBot="1">
      <c r="A384" s="2996" t="s">
        <v>2839</v>
      </c>
      <c r="B384" s="2997" t="s">
        <v>2881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541" t="s">
        <v>3220</v>
      </c>
      <c r="B1" s="3541"/>
      <c r="C1" s="3541"/>
      <c r="D1" s="3541"/>
      <c r="E1" s="3541"/>
      <c r="F1" s="3542"/>
    </row>
    <row r="2" spans="1:6">
      <c r="A2" s="3000" t="s">
        <v>3221</v>
      </c>
    </row>
    <row r="3" spans="1:6">
      <c r="A3" s="3000" t="s">
        <v>3222</v>
      </c>
      <c r="F3" s="3001" t="s">
        <v>3223</v>
      </c>
    </row>
    <row r="4" spans="1:6">
      <c r="A4" s="3002" t="s">
        <v>672</v>
      </c>
      <c r="B4" s="3002" t="s">
        <v>673</v>
      </c>
      <c r="C4" s="3002" t="s">
        <v>21</v>
      </c>
      <c r="D4" s="3002" t="s">
        <v>674</v>
      </c>
      <c r="E4" s="3002" t="s">
        <v>3</v>
      </c>
      <c r="F4" s="3002" t="s">
        <v>3224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45728</v>
      </c>
      <c r="B1" s="2927" t="s">
        <v>3367</v>
      </c>
      <c r="C1" s="2928"/>
      <c r="D1" s="2928"/>
      <c r="E1" s="2928"/>
      <c r="F1" s="2928"/>
      <c r="G1" s="2928"/>
      <c r="H1" s="2928"/>
      <c r="I1" s="2928"/>
      <c r="J1" s="2894"/>
      <c r="K1" s="2928" t="s">
        <v>454</v>
      </c>
      <c r="L1" s="2928"/>
      <c r="M1" s="2928"/>
      <c r="N1" s="2928"/>
      <c r="O1" s="2928"/>
      <c r="P1" s="2928"/>
      <c r="Q1" s="2894"/>
      <c r="R1" s="3543" t="s">
        <v>456</v>
      </c>
      <c r="S1" s="3544"/>
      <c r="T1" s="3544"/>
      <c r="U1" s="3544"/>
      <c r="V1" s="3544"/>
      <c r="W1" s="3544"/>
      <c r="X1" s="2894"/>
      <c r="Y1" s="3543" t="s">
        <v>457</v>
      </c>
      <c r="Z1" s="3544"/>
      <c r="AA1" s="3544"/>
      <c r="AB1" s="3544"/>
      <c r="AC1" s="3544"/>
      <c r="AD1" s="3544"/>
    </row>
    <row r="2" spans="1:30" s="2007" customFormat="1" ht="15" thickBot="1">
      <c r="B2" s="2879"/>
      <c r="C2" s="2880"/>
      <c r="D2" s="2008" t="s">
        <v>2798</v>
      </c>
      <c r="E2" s="2009" t="s">
        <v>2799</v>
      </c>
      <c r="F2" s="2009" t="s">
        <v>2800</v>
      </c>
      <c r="G2" s="2009" t="s">
        <v>2801</v>
      </c>
      <c r="H2" s="2009" t="s">
        <v>2802</v>
      </c>
      <c r="I2" s="2009" t="s">
        <v>2619</v>
      </c>
      <c r="J2" s="2881"/>
      <c r="K2" s="2008" t="s">
        <v>2798</v>
      </c>
      <c r="L2" s="2009" t="s">
        <v>2799</v>
      </c>
      <c r="M2" s="2009" t="s">
        <v>2800</v>
      </c>
      <c r="N2" s="2009" t="s">
        <v>2801</v>
      </c>
      <c r="O2" s="2009" t="s">
        <v>2803</v>
      </c>
      <c r="P2" s="2009" t="s">
        <v>2619</v>
      </c>
      <c r="Q2" s="2881"/>
      <c r="R2" s="2008" t="s">
        <v>2798</v>
      </c>
      <c r="S2" s="2009" t="s">
        <v>2799</v>
      </c>
      <c r="T2" s="2009" t="s">
        <v>2800</v>
      </c>
      <c r="U2" s="2009" t="s">
        <v>2804</v>
      </c>
      <c r="V2" s="2009" t="s">
        <v>2805</v>
      </c>
      <c r="W2" s="2009" t="s">
        <v>2619</v>
      </c>
      <c r="X2" s="2881"/>
      <c r="Y2" s="2008" t="s">
        <v>2798</v>
      </c>
      <c r="Z2" s="2009" t="s">
        <v>2799</v>
      </c>
      <c r="AA2" s="2009" t="s">
        <v>2800</v>
      </c>
      <c r="AB2" s="2009" t="s">
        <v>2806</v>
      </c>
      <c r="AC2" s="2009" t="s">
        <v>2805</v>
      </c>
      <c r="AD2" s="2009" t="s">
        <v>2619</v>
      </c>
    </row>
    <row r="3" spans="1:30" s="2884" customFormat="1" ht="13.2">
      <c r="A3" s="2882" t="s">
        <v>2807</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3363</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3.2">
      <c r="A6" s="2905" t="s">
        <v>3372</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3.2">
      <c r="A7" s="2037" t="s">
        <v>3371</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3" t="s">
        <v>3364</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3" t="s">
        <v>3362</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3.2">
      <c r="A10" s="2903" t="s">
        <v>3358</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3.2">
      <c r="A11" s="2903" t="s">
        <v>3357</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3.2">
      <c r="A12" s="2903" t="s">
        <v>3355</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3.2">
      <c r="A13" s="2903" t="s">
        <v>3354</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3.2">
      <c r="A14" s="2903" t="s">
        <v>3353</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3" t="s">
        <v>3351</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3" t="s">
        <v>3342</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3" t="s">
        <v>2808</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3" t="s">
        <v>2809</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3" t="s">
        <v>2810</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3" t="s">
        <v>2811</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ht="13.8" thickBot="1">
      <c r="A21" s="2916" t="s">
        <v>2812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3370</v>
      </c>
    </row>
    <row r="24" spans="1:30">
      <c r="I24" s="1402" t="s">
        <v>2813</v>
      </c>
    </row>
    <row r="26" spans="1:30" s="2006" customFormat="1" ht="13.2">
      <c r="B26" s="2927" t="s">
        <v>3368</v>
      </c>
      <c r="C26" s="2928"/>
      <c r="D26" s="2928"/>
      <c r="E26" s="2928"/>
      <c r="F26" s="2928"/>
      <c r="G26" s="2928"/>
      <c r="H26" s="2928"/>
      <c r="I26" s="2928"/>
      <c r="J26" s="2894"/>
      <c r="K26" s="2928" t="s">
        <v>2814</v>
      </c>
      <c r="L26" s="2928"/>
      <c r="M26" s="2928"/>
      <c r="N26" s="2928"/>
      <c r="O26" s="2928"/>
      <c r="P26" s="2928"/>
      <c r="Q26" s="2894"/>
      <c r="R26" s="3543" t="s">
        <v>2815</v>
      </c>
      <c r="S26" s="3544"/>
      <c r="T26" s="3544"/>
      <c r="U26" s="3544"/>
      <c r="V26" s="3544"/>
      <c r="W26" s="3544"/>
      <c r="X26" s="2894"/>
      <c r="Y26" s="3543" t="s">
        <v>2816</v>
      </c>
      <c r="Z26" s="3544"/>
      <c r="AA26" s="3544"/>
      <c r="AB26" s="3544"/>
      <c r="AC26" s="3544"/>
      <c r="AD26" s="3544"/>
    </row>
    <row r="27" spans="1:30" s="2007" customFormat="1" ht="15" thickBot="1">
      <c r="B27" s="2879"/>
      <c r="C27" s="2880"/>
      <c r="D27" s="2008" t="s">
        <v>2817</v>
      </c>
      <c r="E27" s="2009" t="s">
        <v>2818</v>
      </c>
      <c r="F27" s="2009" t="s">
        <v>2819</v>
      </c>
      <c r="G27" s="2009" t="s">
        <v>2820</v>
      </c>
      <c r="H27" s="2009"/>
      <c r="I27" s="2009" t="s">
        <v>2821</v>
      </c>
      <c r="J27" s="2881"/>
      <c r="K27" s="2008" t="s">
        <v>2817</v>
      </c>
      <c r="L27" s="2009" t="s">
        <v>2818</v>
      </c>
      <c r="M27" s="2009" t="s">
        <v>2819</v>
      </c>
      <c r="N27" s="2009" t="s">
        <v>2820</v>
      </c>
      <c r="O27" s="2009"/>
      <c r="P27" s="2009" t="s">
        <v>2821</v>
      </c>
      <c r="Q27" s="2881"/>
      <c r="R27" s="2008" t="s">
        <v>2817</v>
      </c>
      <c r="S27" s="2009" t="s">
        <v>2818</v>
      </c>
      <c r="T27" s="2009" t="s">
        <v>2819</v>
      </c>
      <c r="U27" s="2009" t="s">
        <v>2820</v>
      </c>
      <c r="V27" s="2009"/>
      <c r="W27" s="2009" t="s">
        <v>2821</v>
      </c>
      <c r="X27" s="2881"/>
      <c r="Y27" s="2008" t="s">
        <v>2817</v>
      </c>
      <c r="Z27" s="2009" t="s">
        <v>2818</v>
      </c>
      <c r="AA27" s="2009" t="s">
        <v>2819</v>
      </c>
      <c r="AB27" s="2009" t="s">
        <v>2820</v>
      </c>
      <c r="AC27" s="2009"/>
      <c r="AD27" s="2009" t="s">
        <v>2821</v>
      </c>
    </row>
    <row r="28" spans="1:30" s="2884" customFormat="1" ht="13.2">
      <c r="A28" s="2882" t="s">
        <v>2822</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3.2">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3.2">
      <c r="A30" s="2037" t="s">
        <v>3363</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3.2">
      <c r="A31" s="2905" t="s">
        <v>3365</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3.2">
      <c r="A32" s="2037" t="s">
        <v>3360</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3.2">
      <c r="A33" s="2903" t="s">
        <v>3366</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3.2">
      <c r="A34" s="2903" t="s">
        <v>3361</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3.2">
      <c r="A35" s="2903" t="s">
        <v>3359</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3.2">
      <c r="A36" s="2903" t="s">
        <v>3357</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3.2">
      <c r="A37" s="2903" t="s">
        <v>3356</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3.2">
      <c r="A38" s="2903" t="s">
        <v>3354</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3.2">
      <c r="A39" s="2903" t="s">
        <v>3353</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3.2">
      <c r="A40" s="2903" t="s">
        <v>3352</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3.2">
      <c r="A41" s="2903" t="s">
        <v>3342</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3.2">
      <c r="A42" s="2903" t="s">
        <v>2823</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3.2">
      <c r="A43" s="2903" t="s">
        <v>2824</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3.2">
      <c r="A44" s="2903" t="s">
        <v>2825</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3.2">
      <c r="A45" s="2903" t="s">
        <v>2826</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ht="13.8" thickBot="1">
      <c r="A46" s="2916" t="s">
        <v>2812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3369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48" t="s">
        <v>452</v>
      </c>
      <c r="C1" s="3548"/>
      <c r="D1" s="3548"/>
      <c r="E1" s="3548"/>
      <c r="F1" s="3548"/>
      <c r="G1" s="3544" t="s">
        <v>453</v>
      </c>
      <c r="H1" s="3544"/>
      <c r="I1" s="3544"/>
      <c r="J1" s="3544"/>
      <c r="K1" s="3544"/>
      <c r="L1" s="3544"/>
      <c r="N1" s="3544" t="s">
        <v>454</v>
      </c>
      <c r="O1" s="3544"/>
      <c r="P1" s="3544"/>
      <c r="Q1" s="3544"/>
      <c r="S1" s="3544" t="s">
        <v>455</v>
      </c>
      <c r="T1" s="3544"/>
      <c r="U1" s="3544"/>
      <c r="V1" s="3544"/>
      <c r="X1" s="3543" t="s">
        <v>456</v>
      </c>
      <c r="Y1" s="3544"/>
      <c r="Z1" s="3544"/>
      <c r="AA1" s="3544"/>
      <c r="AB1" s="3544"/>
      <c r="AD1" s="3543" t="s">
        <v>457</v>
      </c>
      <c r="AE1" s="3544"/>
      <c r="AF1" s="3544"/>
      <c r="AG1" s="3544"/>
      <c r="AH1" s="3544"/>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2111</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3350</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3347</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2112</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3348</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3349</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2424</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2301</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2300</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2299</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2296</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2295</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2127</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2125</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2124</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2123</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2121</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2120</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2122</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46">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2118</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46"/>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2117</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46"/>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2110</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53"/>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2108</v>
      </c>
      <c r="B25" s="2046">
        <v>439</v>
      </c>
      <c r="C25" s="2046">
        <v>327</v>
      </c>
      <c r="D25" s="2046">
        <f>C25</f>
        <v>327</v>
      </c>
      <c r="E25" s="2046">
        <v>627</v>
      </c>
      <c r="F25" s="2047">
        <v>283</v>
      </c>
      <c r="G25" s="3549">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2109</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46"/>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46"/>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53"/>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49">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46"/>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46"/>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47"/>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45">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46"/>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46"/>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47"/>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45">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46"/>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46"/>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47"/>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50">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51"/>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51"/>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52"/>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45">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46"/>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46"/>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47"/>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45">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46">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46">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47">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45">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46">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46">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47">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45">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46">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46">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47">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45">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46">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46">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47">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45">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46">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46">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47">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45">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46">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46">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47">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45">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46">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46">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47">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45">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46">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46">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47">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45">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46">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46">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47">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45">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46">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46">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47">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45728</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2297</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17" t="str">
        <f>IF(项目基本情况!B9="房地产市场价值","估价结果一览表","结果表-2")</f>
        <v>结果表-2</v>
      </c>
      <c r="B1" s="3217"/>
      <c r="C1" s="3217"/>
      <c r="D1" s="3217"/>
      <c r="E1" s="3217"/>
      <c r="F1" s="3217"/>
      <c r="G1" s="3217"/>
      <c r="H1" s="3217"/>
      <c r="I1" s="3217"/>
    </row>
    <row r="2" spans="1:9" ht="30" customHeight="1" thickTop="1">
      <c r="A2" s="3218" t="s">
        <v>928</v>
      </c>
      <c r="B2" s="3218" t="s">
        <v>929</v>
      </c>
      <c r="C2" s="3218" t="s">
        <v>930</v>
      </c>
      <c r="D2" s="3218" t="str">
        <f>结果表!D116</f>
        <v>出让国有建设用地使用权价值</v>
      </c>
      <c r="E2" s="3218"/>
      <c r="F2" s="3218" t="str">
        <f>结果表!F116</f>
        <v>在建建筑物价值</v>
      </c>
      <c r="G2" s="3218"/>
      <c r="H2" s="3218" t="str">
        <f>IF(项目基本情况!B9="房地产市场价值","房地产市场价值","房地产价值")</f>
        <v>房地产价值</v>
      </c>
      <c r="I2" s="3218"/>
    </row>
    <row r="3" spans="1:9" ht="15.6">
      <c r="A3" s="3219"/>
      <c r="B3" s="3219"/>
      <c r="C3" s="3219"/>
      <c r="D3" s="799" t="s">
        <v>925</v>
      </c>
      <c r="E3" s="799" t="s">
        <v>931</v>
      </c>
      <c r="F3" s="799" t="s">
        <v>925</v>
      </c>
      <c r="G3" s="799" t="s">
        <v>926</v>
      </c>
      <c r="H3" s="799" t="s">
        <v>925</v>
      </c>
      <c r="I3" s="799" t="s">
        <v>926</v>
      </c>
    </row>
    <row r="4" spans="1:9" ht="15">
      <c r="A4" s="1400" t="str">
        <f>项目基本情况!S2</f>
        <v>北京市房地产</v>
      </c>
      <c r="B4" s="799">
        <f>项目基本情况!C17</f>
        <v>1232.79</v>
      </c>
      <c r="C4" s="799">
        <f>项目基本情况!C18</f>
        <v>891.05</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219" t="s">
        <v>927</v>
      </c>
      <c r="B5" s="3219"/>
      <c r="C5" s="3219"/>
      <c r="D5" s="3219" t="e">
        <f ca="1">结果表!D119</f>
        <v>#REF!</v>
      </c>
      <c r="E5" s="3219"/>
      <c r="F5" s="3219" t="e">
        <f ca="1">结果表!F119</f>
        <v>#REF!</v>
      </c>
      <c r="G5" s="3219"/>
      <c r="H5" s="3219" t="e">
        <f ca="1">结果表!H119</f>
        <v>#REF!</v>
      </c>
      <c r="I5" s="3219"/>
    </row>
    <row r="6" spans="1:9" ht="15.6">
      <c r="A6" s="3220" t="str">
        <f>结果表!A120</f>
        <v>估价师知悉的法定优先受偿款</v>
      </c>
      <c r="B6" s="3220"/>
      <c r="C6" s="3220"/>
      <c r="D6" s="3220">
        <f>结果表!D120</f>
        <v>0</v>
      </c>
      <c r="E6" s="3220"/>
      <c r="F6" s="3220"/>
      <c r="G6" s="3220"/>
      <c r="H6" s="3220"/>
      <c r="I6" s="3220"/>
    </row>
    <row r="7" spans="1:9" ht="15">
      <c r="A7" s="3219" t="s">
        <v>927</v>
      </c>
      <c r="B7" s="3219"/>
      <c r="C7" s="3219"/>
      <c r="D7" s="3221" t="str">
        <f>结果表!D121</f>
        <v>零元整</v>
      </c>
      <c r="E7" s="3222"/>
      <c r="F7" s="3222"/>
      <c r="G7" s="3222"/>
      <c r="H7" s="3222"/>
      <c r="I7" s="3223"/>
    </row>
    <row r="8" spans="1:9" ht="15.6">
      <c r="A8" s="3220" t="str">
        <f>结果表!A122</f>
        <v>房地产抵押价值</v>
      </c>
      <c r="B8" s="3220"/>
      <c r="C8" s="3220"/>
      <c r="D8" s="3220" t="e">
        <f ca="1">结果表!D122</f>
        <v>#REF!</v>
      </c>
      <c r="E8" s="3220"/>
      <c r="F8" s="3220"/>
      <c r="G8" s="3220"/>
      <c r="H8" s="3220"/>
      <c r="I8" s="3220"/>
    </row>
    <row r="9" spans="1:9" ht="15">
      <c r="A9" s="3219" t="s">
        <v>927</v>
      </c>
      <c r="B9" s="3219"/>
      <c r="C9" s="3219"/>
      <c r="D9" s="3219" t="e">
        <f ca="1">结果表!D123</f>
        <v>#REF!</v>
      </c>
      <c r="E9" s="3219"/>
      <c r="F9" s="3219"/>
      <c r="G9" s="3219"/>
      <c r="H9" s="3219"/>
      <c r="I9" s="3219"/>
    </row>
    <row r="10" spans="1:9" ht="15.6">
      <c r="A10" s="3220" t="str">
        <f>结果表!A124</f>
        <v/>
      </c>
      <c r="B10" s="3220"/>
      <c r="C10" s="3220"/>
      <c r="D10" s="3220" t="str">
        <f>结果表!D124</f>
        <v>——</v>
      </c>
      <c r="E10" s="3220"/>
      <c r="F10" s="3220"/>
      <c r="G10" s="3220"/>
      <c r="H10" s="3220"/>
      <c r="I10" s="3220"/>
    </row>
    <row r="11" spans="1:9" ht="15">
      <c r="A11" s="3219" t="s">
        <v>927</v>
      </c>
      <c r="B11" s="3219"/>
      <c r="C11" s="3219"/>
      <c r="D11" s="3219" t="e">
        <f>结果表!D125</f>
        <v>#VALUE!</v>
      </c>
      <c r="E11" s="3219"/>
      <c r="F11" s="3219"/>
      <c r="G11" s="3219"/>
      <c r="H11" s="3219"/>
      <c r="I11" s="3219"/>
    </row>
    <row r="12" spans="1:9" ht="15.6">
      <c r="A12" s="3220" t="str">
        <f>结果表!A126</f>
        <v/>
      </c>
      <c r="B12" s="3220"/>
      <c r="C12" s="3220"/>
      <c r="D12" s="3220" t="str">
        <f>结果表!D126</f>
        <v>——</v>
      </c>
      <c r="E12" s="3220"/>
      <c r="F12" s="3220"/>
      <c r="G12" s="3220"/>
      <c r="H12" s="3220"/>
      <c r="I12" s="3220"/>
    </row>
    <row r="13" spans="1:9" ht="15.6" thickBot="1">
      <c r="A13" s="3224" t="s">
        <v>927</v>
      </c>
      <c r="B13" s="3224"/>
      <c r="C13" s="3224"/>
      <c r="D13" s="3224" t="e">
        <f>结果表!D127</f>
        <v>#VALUE!</v>
      </c>
      <c r="E13" s="3224"/>
      <c r="F13" s="3224"/>
      <c r="G13" s="3224"/>
      <c r="H13" s="3224"/>
      <c r="I13" s="3224"/>
    </row>
    <row r="14" spans="1:9" ht="14.4" thickTop="1">
      <c r="A14" s="3225" t="s">
        <v>932</v>
      </c>
      <c r="B14" s="3225"/>
      <c r="C14" s="3225"/>
      <c r="D14" s="3225"/>
      <c r="E14" s="3225"/>
      <c r="F14" s="3225"/>
      <c r="G14" s="3225"/>
      <c r="H14" s="3225"/>
      <c r="I14" s="3225"/>
    </row>
    <row r="16" spans="1:9" ht="17.399999999999999">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26" t="s">
        <v>949</v>
      </c>
      <c r="B1" s="3226"/>
      <c r="C1" s="3226"/>
      <c r="D1" s="3226"/>
    </row>
    <row r="2" spans="1:4" ht="17.399999999999999">
      <c r="A2" s="3227" t="s">
        <v>933</v>
      </c>
      <c r="B2" s="3227"/>
      <c r="C2" s="3227"/>
      <c r="D2" s="3227"/>
    </row>
    <row r="3" spans="1:4" ht="17.399999999999999">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吴薇</v>
      </c>
      <c r="B5" s="1406">
        <f ca="1">项目基本情况!E4</f>
        <v>1419970001</v>
      </c>
      <c r="C5" s="1409"/>
      <c r="D5" s="1408" t="s">
        <v>938</v>
      </c>
    </row>
    <row r="6" spans="1:4" ht="17.399999999999999">
      <c r="A6" s="3227" t="s">
        <v>939</v>
      </c>
      <c r="B6" s="3227"/>
      <c r="C6" s="3227"/>
      <c r="D6" s="3227"/>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28" t="s">
        <v>942</v>
      </c>
      <c r="B11" s="3229"/>
      <c r="C11" s="3229"/>
      <c r="D11" s="3229"/>
    </row>
    <row r="12" spans="1:4" ht="15.6">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0"/>
      <c r="C12" s="3230"/>
      <c r="D12" s="3230"/>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0"/>
      <c r="C13" s="3230"/>
      <c r="D13" s="3230"/>
    </row>
    <row r="14" spans="1:4" ht="15.75" customHeight="1">
      <c r="A14" s="3229" t="str">
        <f>IF(项目基本情况!B8="抵押","4.本次评估估价师所知悉的法定优先受偿款情况说明如下：","——")</f>
        <v>4.本次评估估价师所知悉的法定优先受偿款情况说明如下：</v>
      </c>
      <c r="B14" s="3230"/>
      <c r="C14" s="3230"/>
      <c r="D14" s="3230"/>
    </row>
    <row r="15" spans="1:4" ht="42" customHeight="1">
      <c r="A15" s="32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2" t="s">
        <v>943</v>
      </c>
      <c r="B16" s="3232"/>
      <c r="C16" s="3232"/>
      <c r="D16" s="3232"/>
    </row>
    <row r="17" spans="1:4" ht="144" customHeight="1">
      <c r="A17" s="3232" t="s">
        <v>944</v>
      </c>
      <c r="B17" s="3232"/>
      <c r="C17" s="3232"/>
      <c r="D17" s="3232"/>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9"/>
      <c r="C20" s="3229"/>
      <c r="D20" s="3229"/>
    </row>
    <row r="21" spans="1:4" ht="57.75" customHeight="1">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3"/>
      <c r="C21" s="3233"/>
      <c r="D21" s="3233"/>
    </row>
    <row r="22" spans="1:4" ht="18.75" customHeight="1">
      <c r="A22" s="3234" t="s">
        <v>945</v>
      </c>
      <c r="B22" s="3234"/>
      <c r="C22" s="3234"/>
      <c r="D22" s="3234"/>
    </row>
    <row r="23" spans="1:4">
      <c r="A23" s="1412"/>
      <c r="B23" s="457"/>
      <c r="C23" s="457"/>
      <c r="D23" s="457"/>
    </row>
    <row r="24" spans="1:4">
      <c r="A24" s="1412"/>
      <c r="B24" s="457"/>
      <c r="C24" s="457"/>
      <c r="D24" s="457"/>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31">
        <v>42551</v>
      </c>
      <c r="D31" s="32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FBD4-9258-444A-A8F7-FE577869D2AC}">
  <dimension ref="A1:U43"/>
  <sheetViews>
    <sheetView workbookViewId="0">
      <selection activeCell="F23" sqref="F23"/>
    </sheetView>
  </sheetViews>
  <sheetFormatPr defaultColWidth="9" defaultRowHeight="12.6"/>
  <cols>
    <col min="1" max="1" width="29" style="3172" customWidth="1"/>
    <col min="2" max="2" width="25.109375" style="3171" bestFit="1" customWidth="1"/>
    <col min="3" max="3" width="7.44140625" style="3171" bestFit="1" customWidth="1"/>
    <col min="4" max="4" width="16.21875" style="3171" customWidth="1"/>
    <col min="5" max="5" width="13" style="3171" customWidth="1"/>
    <col min="6" max="6" width="9.44140625" style="3171" bestFit="1" customWidth="1"/>
    <col min="7" max="7" width="25.109375" style="3171" bestFit="1" customWidth="1"/>
    <col min="8" max="9" width="13.33203125" style="3171" bestFit="1" customWidth="1"/>
    <col min="10" max="10" width="10" style="3171" bestFit="1" customWidth="1"/>
    <col min="11" max="11" width="9.109375" style="3171" customWidth="1"/>
    <col min="12" max="12" width="9" style="3171" bestFit="1" customWidth="1"/>
    <col min="13" max="13" width="7.44140625" style="3171" bestFit="1" customWidth="1"/>
    <col min="14" max="14" width="9.33203125" style="3171" customWidth="1"/>
    <col min="15" max="15" width="8.88671875" style="3171" customWidth="1"/>
    <col min="16" max="16" width="10.44140625" style="3171" customWidth="1"/>
    <col min="17" max="17" width="8.109375" style="3171" bestFit="1" customWidth="1"/>
    <col min="18" max="18" width="30" style="3171" bestFit="1" customWidth="1"/>
    <col min="19" max="19" width="7.44140625" style="3171" bestFit="1" customWidth="1"/>
    <col min="20" max="20" width="86.88671875" style="3171" bestFit="1" customWidth="1"/>
    <col min="21" max="21" width="11.21875" style="3171" bestFit="1" customWidth="1"/>
    <col min="22" max="22" width="20" style="3171" customWidth="1"/>
    <col min="23" max="16384" width="9" style="3171"/>
  </cols>
  <sheetData>
    <row r="1" spans="1:21" s="3172" customFormat="1" ht="25.5" customHeight="1">
      <c r="A1" s="3235" t="s">
        <v>3777</v>
      </c>
      <c r="B1" s="3235" t="s">
        <v>3776</v>
      </c>
      <c r="C1" s="3235" t="s">
        <v>3775</v>
      </c>
      <c r="D1" s="3235" t="s">
        <v>3774</v>
      </c>
      <c r="E1" s="3235" t="s">
        <v>3773</v>
      </c>
      <c r="F1" s="3235" t="s">
        <v>3772</v>
      </c>
      <c r="G1" s="3235" t="s">
        <v>3771</v>
      </c>
      <c r="H1" s="3235" t="s">
        <v>3770</v>
      </c>
      <c r="I1" s="3235" t="s">
        <v>3769</v>
      </c>
      <c r="J1" s="3235" t="s">
        <v>3768</v>
      </c>
      <c r="K1" s="3235" t="s">
        <v>3767</v>
      </c>
      <c r="L1" s="3235" t="s">
        <v>3766</v>
      </c>
      <c r="M1" s="3235" t="s">
        <v>3765</v>
      </c>
      <c r="N1" s="3235" t="s">
        <v>3764</v>
      </c>
      <c r="O1" s="3235" t="s">
        <v>3763</v>
      </c>
      <c r="P1" s="3235" t="s">
        <v>3762</v>
      </c>
      <c r="Q1" s="3235" t="s">
        <v>3761</v>
      </c>
      <c r="R1" s="3235" t="s">
        <v>3760</v>
      </c>
      <c r="S1" s="3235" t="s">
        <v>3759</v>
      </c>
      <c r="T1" s="3235" t="s">
        <v>3758</v>
      </c>
      <c r="U1" s="3235" t="s">
        <v>3757</v>
      </c>
    </row>
    <row r="2" spans="1:21">
      <c r="A2" s="3235" t="s">
        <v>3756</v>
      </c>
      <c r="B2" s="3236" t="s">
        <v>3755</v>
      </c>
      <c r="C2" s="3236" t="s">
        <v>3529</v>
      </c>
      <c r="D2" s="3236" t="s">
        <v>3515</v>
      </c>
      <c r="E2" s="3236" t="s">
        <v>3514</v>
      </c>
      <c r="F2" s="3236" t="s">
        <v>3751</v>
      </c>
      <c r="G2" s="3236" t="s">
        <v>3755</v>
      </c>
      <c r="H2" s="3236">
        <v>31330.48</v>
      </c>
      <c r="I2" s="3236">
        <v>122233</v>
      </c>
      <c r="J2" s="3236">
        <v>163410</v>
      </c>
      <c r="K2" s="3236" t="s">
        <v>3754</v>
      </c>
      <c r="L2" s="3236">
        <v>7.5</v>
      </c>
      <c r="M2" s="3236" t="s">
        <v>3510</v>
      </c>
      <c r="N2" s="3236">
        <v>3477.13</v>
      </c>
      <c r="O2" s="3236">
        <v>13369</v>
      </c>
      <c r="P2" s="3236">
        <v>13369</v>
      </c>
      <c r="Q2" s="3236">
        <v>0</v>
      </c>
      <c r="R2" s="3236" t="s">
        <v>3739</v>
      </c>
      <c r="S2" s="3236" t="s">
        <v>3732</v>
      </c>
      <c r="T2" s="3236" t="s">
        <v>3753</v>
      </c>
      <c r="U2" s="3236" t="s">
        <v>3506</v>
      </c>
    </row>
    <row r="3" spans="1:21">
      <c r="A3" s="3235" t="s">
        <v>3752</v>
      </c>
      <c r="B3" s="3236" t="s">
        <v>3750</v>
      </c>
      <c r="C3" s="3236" t="s">
        <v>3529</v>
      </c>
      <c r="D3" s="3236" t="s">
        <v>3515</v>
      </c>
      <c r="E3" s="3236" t="s">
        <v>3514</v>
      </c>
      <c r="F3" s="3236" t="s">
        <v>3751</v>
      </c>
      <c r="G3" s="3236" t="s">
        <v>3750</v>
      </c>
      <c r="H3" s="3236">
        <v>4239.42</v>
      </c>
      <c r="I3" s="3236">
        <v>16957.66</v>
      </c>
      <c r="J3" s="3236">
        <v>22680</v>
      </c>
      <c r="K3" s="3236" t="s">
        <v>3749</v>
      </c>
      <c r="L3" s="3236">
        <v>4</v>
      </c>
      <c r="M3" s="3236" t="s">
        <v>3510</v>
      </c>
      <c r="N3" s="3236">
        <v>3566.53</v>
      </c>
      <c r="O3" s="3236">
        <v>13374</v>
      </c>
      <c r="P3" s="3236">
        <v>13374</v>
      </c>
      <c r="Q3" s="3236">
        <v>0</v>
      </c>
      <c r="R3" s="3236" t="s">
        <v>3739</v>
      </c>
      <c r="S3" s="3236" t="s">
        <v>3732</v>
      </c>
      <c r="T3" s="3236" t="s">
        <v>3748</v>
      </c>
      <c r="U3" s="3236" t="s">
        <v>3506</v>
      </c>
    </row>
    <row r="4" spans="1:21">
      <c r="A4" s="3235" t="s">
        <v>3747</v>
      </c>
      <c r="B4" s="3236" t="s">
        <v>3745</v>
      </c>
      <c r="C4" s="3236" t="s">
        <v>3698</v>
      </c>
      <c r="D4" s="3236" t="s">
        <v>3570</v>
      </c>
      <c r="E4" s="3236" t="s">
        <v>3569</v>
      </c>
      <c r="F4" s="3236" t="s">
        <v>3746</v>
      </c>
      <c r="G4" s="3236" t="s">
        <v>3745</v>
      </c>
      <c r="H4" s="3236">
        <v>54036.49</v>
      </c>
      <c r="I4" s="3236">
        <v>81054.740000000005</v>
      </c>
      <c r="J4" s="3236">
        <v>56400</v>
      </c>
      <c r="K4" s="3236" t="s">
        <v>3694</v>
      </c>
      <c r="L4" s="3236">
        <v>1.5</v>
      </c>
      <c r="M4" s="3236" t="s">
        <v>3510</v>
      </c>
      <c r="N4" s="3236">
        <v>695.83</v>
      </c>
      <c r="O4" s="3236">
        <v>6958</v>
      </c>
      <c r="P4" s="3236">
        <v>6958</v>
      </c>
      <c r="Q4" s="3236">
        <v>0</v>
      </c>
      <c r="R4" s="3236" t="s">
        <v>3744</v>
      </c>
      <c r="S4" s="3236" t="s">
        <v>3732</v>
      </c>
      <c r="T4" s="3236" t="s">
        <v>3743</v>
      </c>
      <c r="U4" s="3236" t="s">
        <v>3506</v>
      </c>
    </row>
    <row r="5" spans="1:21">
      <c r="A5" s="3235" t="s">
        <v>3742</v>
      </c>
      <c r="B5" s="3236" t="s">
        <v>3740</v>
      </c>
      <c r="C5" s="3236" t="s">
        <v>3529</v>
      </c>
      <c r="D5" s="3236" t="s">
        <v>3515</v>
      </c>
      <c r="E5" s="3236" t="s">
        <v>3514</v>
      </c>
      <c r="F5" s="3236" t="s">
        <v>3741</v>
      </c>
      <c r="G5" s="3236" t="s">
        <v>3740</v>
      </c>
      <c r="H5" s="3236">
        <v>5369.21</v>
      </c>
      <c r="I5" s="3236">
        <v>12886.11</v>
      </c>
      <c r="J5" s="3236">
        <v>17220</v>
      </c>
      <c r="K5" s="3236" t="s">
        <v>3646</v>
      </c>
      <c r="L5" s="3236">
        <v>2.4</v>
      </c>
      <c r="M5" s="3236" t="s">
        <v>3510</v>
      </c>
      <c r="N5" s="3236">
        <v>2138.12</v>
      </c>
      <c r="O5" s="3236">
        <v>13363</v>
      </c>
      <c r="P5" s="3236">
        <v>13363</v>
      </c>
      <c r="Q5" s="3236">
        <v>0</v>
      </c>
      <c r="R5" s="3236" t="s">
        <v>3739</v>
      </c>
      <c r="S5" s="3236" t="s">
        <v>3732</v>
      </c>
      <c r="T5" s="3236" t="s">
        <v>3738</v>
      </c>
      <c r="U5" s="3236" t="s">
        <v>3506</v>
      </c>
    </row>
    <row r="6" spans="1:21">
      <c r="A6" s="3235" t="s">
        <v>3737</v>
      </c>
      <c r="B6" s="3236" t="s">
        <v>3735</v>
      </c>
      <c r="C6" s="3236" t="s">
        <v>3552</v>
      </c>
      <c r="D6" s="3236" t="s">
        <v>3515</v>
      </c>
      <c r="E6" s="3236" t="s">
        <v>3514</v>
      </c>
      <c r="F6" s="3236" t="s">
        <v>3736</v>
      </c>
      <c r="G6" s="3236" t="s">
        <v>3735</v>
      </c>
      <c r="H6" s="3236">
        <v>51399.76</v>
      </c>
      <c r="I6" s="3236">
        <v>52941.75</v>
      </c>
      <c r="J6" s="3236">
        <v>121800</v>
      </c>
      <c r="K6" s="3236" t="s">
        <v>3734</v>
      </c>
      <c r="L6" s="3236">
        <v>1.03</v>
      </c>
      <c r="M6" s="3236" t="s">
        <v>3510</v>
      </c>
      <c r="N6" s="3236">
        <v>1579.77</v>
      </c>
      <c r="O6" s="3236">
        <v>23006</v>
      </c>
      <c r="P6" s="3236">
        <v>23006</v>
      </c>
      <c r="Q6" s="3236">
        <v>0</v>
      </c>
      <c r="R6" s="3236" t="s">
        <v>3733</v>
      </c>
      <c r="S6" s="3236" t="s">
        <v>3732</v>
      </c>
      <c r="T6" s="3236" t="s">
        <v>3731</v>
      </c>
      <c r="U6" s="3236" t="s">
        <v>3506</v>
      </c>
    </row>
    <row r="7" spans="1:21">
      <c r="A7" s="3235" t="s">
        <v>3730</v>
      </c>
      <c r="B7" s="3236" t="s">
        <v>3728</v>
      </c>
      <c r="C7" s="3236" t="s">
        <v>3516</v>
      </c>
      <c r="D7" s="3236" t="s">
        <v>3515</v>
      </c>
      <c r="E7" s="3236" t="s">
        <v>3592</v>
      </c>
      <c r="F7" s="3236" t="s">
        <v>3729</v>
      </c>
      <c r="G7" s="3236" t="s">
        <v>3728</v>
      </c>
      <c r="H7" s="3236">
        <v>29689.18</v>
      </c>
      <c r="I7" s="3236">
        <v>29689.18</v>
      </c>
      <c r="J7" s="3236">
        <v>14250.88</v>
      </c>
      <c r="K7" s="3236" t="s">
        <v>3682</v>
      </c>
      <c r="L7" s="3236">
        <v>1</v>
      </c>
      <c r="M7" s="3236" t="s">
        <v>3510</v>
      </c>
      <c r="N7" s="3236">
        <v>320</v>
      </c>
      <c r="O7" s="3236">
        <v>4800</v>
      </c>
      <c r="P7" s="3236">
        <v>4800</v>
      </c>
      <c r="Q7" s="3236">
        <v>0</v>
      </c>
      <c r="R7" s="3236">
        <v>40</v>
      </c>
      <c r="S7" s="3236" t="s">
        <v>3582</v>
      </c>
      <c r="T7" s="3236" t="s">
        <v>3727</v>
      </c>
      <c r="U7" s="3236" t="s">
        <v>3506</v>
      </c>
    </row>
    <row r="8" spans="1:21">
      <c r="A8" s="3235" t="s">
        <v>3726</v>
      </c>
      <c r="B8" s="3236" t="s">
        <v>3723</v>
      </c>
      <c r="C8" s="3236" t="s">
        <v>3529</v>
      </c>
      <c r="D8" s="3236" t="s">
        <v>3515</v>
      </c>
      <c r="E8" s="3236" t="s">
        <v>3725</v>
      </c>
      <c r="F8" s="3236" t="s">
        <v>3724</v>
      </c>
      <c r="G8" s="3236" t="s">
        <v>3723</v>
      </c>
      <c r="H8" s="3236">
        <v>13348.31</v>
      </c>
      <c r="I8" s="3236">
        <v>17352.8</v>
      </c>
      <c r="J8" s="3236">
        <v>6823.12</v>
      </c>
      <c r="K8" s="3236" t="s">
        <v>3707</v>
      </c>
      <c r="L8" s="3236">
        <v>1.3</v>
      </c>
      <c r="M8" s="3236" t="s">
        <v>3510</v>
      </c>
      <c r="N8" s="3236">
        <v>340.77</v>
      </c>
      <c r="O8" s="3236">
        <v>3932</v>
      </c>
      <c r="P8" s="3236">
        <v>3932</v>
      </c>
      <c r="Q8" s="3236">
        <v>0</v>
      </c>
      <c r="R8" s="3236" t="s">
        <v>3722</v>
      </c>
      <c r="S8" s="3236" t="s">
        <v>3582</v>
      </c>
      <c r="T8" s="3236" t="s">
        <v>3721</v>
      </c>
      <c r="U8" s="3236" t="s">
        <v>3506</v>
      </c>
    </row>
    <row r="9" spans="1:21">
      <c r="A9" s="3235" t="s">
        <v>3720</v>
      </c>
      <c r="B9" s="3236" t="s">
        <v>3717</v>
      </c>
      <c r="C9" s="3236" t="s">
        <v>3571</v>
      </c>
      <c r="D9" s="3236" t="s">
        <v>3570</v>
      </c>
      <c r="E9" s="3236" t="s">
        <v>3719</v>
      </c>
      <c r="F9" s="3236" t="s">
        <v>3718</v>
      </c>
      <c r="G9" s="3236" t="s">
        <v>3717</v>
      </c>
      <c r="H9" s="3236">
        <v>8322.9599999999991</v>
      </c>
      <c r="I9" s="3236">
        <v>9987.5499999999993</v>
      </c>
      <c r="J9" s="3236">
        <v>3100</v>
      </c>
      <c r="K9" s="3236" t="s">
        <v>3716</v>
      </c>
      <c r="L9" s="3236">
        <v>1.2</v>
      </c>
      <c r="M9" s="3236" t="s">
        <v>3510</v>
      </c>
      <c r="N9" s="3236">
        <v>248.31</v>
      </c>
      <c r="O9" s="3236">
        <v>3104</v>
      </c>
      <c r="P9" s="3236">
        <v>3104</v>
      </c>
      <c r="Q9" s="3236">
        <v>0</v>
      </c>
      <c r="R9" s="3236" t="s">
        <v>3574</v>
      </c>
      <c r="S9" s="3236" t="s">
        <v>3582</v>
      </c>
      <c r="T9" s="3236" t="s">
        <v>3715</v>
      </c>
      <c r="U9" s="3236" t="s">
        <v>3506</v>
      </c>
    </row>
    <row r="10" spans="1:21">
      <c r="A10" s="3235" t="s">
        <v>3714</v>
      </c>
      <c r="B10" s="3236" t="s">
        <v>3712</v>
      </c>
      <c r="C10" s="3236" t="s">
        <v>3529</v>
      </c>
      <c r="D10" s="3236" t="s">
        <v>3515</v>
      </c>
      <c r="E10" s="3236" t="s">
        <v>3514</v>
      </c>
      <c r="F10" s="3236" t="s">
        <v>3713</v>
      </c>
      <c r="G10" s="3236" t="s">
        <v>3712</v>
      </c>
      <c r="H10" s="3236">
        <v>41129.769999999997</v>
      </c>
      <c r="I10" s="3236">
        <v>90485.49</v>
      </c>
      <c r="J10" s="3236">
        <v>80900</v>
      </c>
      <c r="K10" s="3236" t="s">
        <v>3549</v>
      </c>
      <c r="L10" s="3236">
        <v>2.2000000000000002</v>
      </c>
      <c r="M10" s="3236" t="s">
        <v>3510</v>
      </c>
      <c r="N10" s="3236">
        <v>1311.3</v>
      </c>
      <c r="O10" s="3236">
        <v>8941</v>
      </c>
      <c r="P10" s="3236">
        <v>8941</v>
      </c>
      <c r="Q10" s="3236">
        <v>0</v>
      </c>
      <c r="R10" s="3236" t="s">
        <v>3658</v>
      </c>
      <c r="S10" s="3236" t="s">
        <v>3582</v>
      </c>
      <c r="T10" s="3236" t="s">
        <v>3711</v>
      </c>
      <c r="U10" s="3236" t="s">
        <v>3506</v>
      </c>
    </row>
    <row r="11" spans="1:21">
      <c r="A11" s="3235" t="s">
        <v>3710</v>
      </c>
      <c r="B11" s="3236" t="s">
        <v>3708</v>
      </c>
      <c r="C11" s="3236" t="s">
        <v>3516</v>
      </c>
      <c r="D11" s="3236" t="s">
        <v>3515</v>
      </c>
      <c r="E11" s="3236" t="s">
        <v>3514</v>
      </c>
      <c r="F11" s="3236" t="s">
        <v>3709</v>
      </c>
      <c r="G11" s="3236" t="s">
        <v>3708</v>
      </c>
      <c r="H11" s="3236">
        <v>32423.18</v>
      </c>
      <c r="I11" s="3236">
        <v>42150</v>
      </c>
      <c r="J11" s="3236">
        <v>23500</v>
      </c>
      <c r="K11" s="3236" t="s">
        <v>3707</v>
      </c>
      <c r="L11" s="3236">
        <v>1.3</v>
      </c>
      <c r="M11" s="3236" t="s">
        <v>3510</v>
      </c>
      <c r="N11" s="3236">
        <v>483.19</v>
      </c>
      <c r="O11" s="3236">
        <v>5575</v>
      </c>
      <c r="P11" s="3236">
        <v>5575</v>
      </c>
      <c r="Q11" s="3236">
        <v>0</v>
      </c>
      <c r="R11" s="3236" t="s">
        <v>3658</v>
      </c>
      <c r="S11" s="3236" t="s">
        <v>3582</v>
      </c>
      <c r="T11" s="3236" t="s">
        <v>3706</v>
      </c>
      <c r="U11" s="3236" t="s">
        <v>3506</v>
      </c>
    </row>
    <row r="12" spans="1:21">
      <c r="A12" s="3235" t="s">
        <v>3705</v>
      </c>
      <c r="B12" s="3236" t="s">
        <v>3703</v>
      </c>
      <c r="C12" s="3236" t="s">
        <v>3516</v>
      </c>
      <c r="D12" s="3236" t="s">
        <v>3515</v>
      </c>
      <c r="E12" s="3236" t="s">
        <v>3622</v>
      </c>
      <c r="F12" s="3236" t="s">
        <v>3704</v>
      </c>
      <c r="G12" s="3236" t="s">
        <v>3703</v>
      </c>
      <c r="H12" s="3236">
        <v>48824.83</v>
      </c>
      <c r="I12" s="3236">
        <v>122062.08</v>
      </c>
      <c r="J12" s="3236">
        <v>93000</v>
      </c>
      <c r="K12" s="3236" t="s">
        <v>3702</v>
      </c>
      <c r="L12" s="3236">
        <v>2.5</v>
      </c>
      <c r="M12" s="3236" t="s">
        <v>3510</v>
      </c>
      <c r="N12" s="3236">
        <v>1269.8499999999999</v>
      </c>
      <c r="O12" s="3236">
        <v>7619</v>
      </c>
      <c r="P12" s="3236">
        <v>7619</v>
      </c>
      <c r="Q12" s="3236">
        <v>0</v>
      </c>
      <c r="R12" s="3236" t="s">
        <v>3701</v>
      </c>
      <c r="S12" s="3236" t="s">
        <v>3582</v>
      </c>
      <c r="T12" s="3236" t="s">
        <v>3700</v>
      </c>
      <c r="U12" s="3236" t="s">
        <v>3506</v>
      </c>
    </row>
    <row r="13" spans="1:21">
      <c r="A13" s="3235" t="s">
        <v>3699</v>
      </c>
      <c r="B13" s="3236" t="s">
        <v>3695</v>
      </c>
      <c r="C13" s="3236" t="s">
        <v>3698</v>
      </c>
      <c r="D13" s="3236" t="s">
        <v>3598</v>
      </c>
      <c r="E13" s="3236" t="s">
        <v>3697</v>
      </c>
      <c r="F13" s="3236" t="s">
        <v>3696</v>
      </c>
      <c r="G13" s="3236" t="s">
        <v>3695</v>
      </c>
      <c r="H13" s="3236">
        <v>21154.74</v>
      </c>
      <c r="I13" s="3236">
        <v>31732.11</v>
      </c>
      <c r="J13" s="3236">
        <v>29600</v>
      </c>
      <c r="K13" s="3236" t="s">
        <v>3694</v>
      </c>
      <c r="L13" s="3236">
        <v>1.5</v>
      </c>
      <c r="M13" s="3236" t="s">
        <v>3510</v>
      </c>
      <c r="N13" s="3236">
        <v>932.81</v>
      </c>
      <c r="O13" s="3236">
        <v>9328</v>
      </c>
      <c r="P13" s="3236">
        <v>9328</v>
      </c>
      <c r="Q13" s="3236">
        <v>0</v>
      </c>
      <c r="R13" s="3236" t="s">
        <v>3658</v>
      </c>
      <c r="S13" s="3236" t="s">
        <v>3582</v>
      </c>
      <c r="T13" s="3236" t="s">
        <v>3693</v>
      </c>
      <c r="U13" s="3236" t="s">
        <v>3506</v>
      </c>
    </row>
    <row r="14" spans="1:21">
      <c r="A14" s="3235" t="s">
        <v>3692</v>
      </c>
      <c r="B14" s="3236" t="s">
        <v>3688</v>
      </c>
      <c r="C14" s="3236" t="s">
        <v>3529</v>
      </c>
      <c r="D14" s="3236" t="s">
        <v>3691</v>
      </c>
      <c r="E14" s="3236" t="s">
        <v>3690</v>
      </c>
      <c r="F14" s="3236" t="s">
        <v>3689</v>
      </c>
      <c r="G14" s="3236" t="s">
        <v>3688</v>
      </c>
      <c r="H14" s="3236">
        <v>19810.400000000001</v>
      </c>
      <c r="I14" s="3236">
        <v>700</v>
      </c>
      <c r="J14" s="3236">
        <v>6600</v>
      </c>
      <c r="K14" s="3236" t="s">
        <v>3687</v>
      </c>
      <c r="L14" s="3236">
        <v>0.74</v>
      </c>
      <c r="M14" s="3236" t="s">
        <v>3510</v>
      </c>
      <c r="N14" s="3236">
        <v>222.11</v>
      </c>
      <c r="O14" s="3236">
        <v>94286</v>
      </c>
      <c r="P14" s="3236">
        <v>94286</v>
      </c>
      <c r="Q14" s="3236">
        <v>0</v>
      </c>
      <c r="R14" s="3236" t="s">
        <v>3658</v>
      </c>
      <c r="S14" s="3236" t="s">
        <v>3582</v>
      </c>
      <c r="T14" s="3236" t="s">
        <v>3686</v>
      </c>
      <c r="U14" s="3236" t="s">
        <v>3506</v>
      </c>
    </row>
    <row r="15" spans="1:21">
      <c r="A15" s="3235" t="s">
        <v>3685</v>
      </c>
      <c r="B15" s="3236" t="s">
        <v>3683</v>
      </c>
      <c r="C15" s="3236" t="s">
        <v>3552</v>
      </c>
      <c r="D15" s="3236" t="s">
        <v>3570</v>
      </c>
      <c r="E15" s="3236" t="s">
        <v>3684</v>
      </c>
      <c r="F15" s="3236" t="s">
        <v>3678</v>
      </c>
      <c r="G15" s="3236" t="s">
        <v>3683</v>
      </c>
      <c r="H15" s="3236">
        <v>8286.49</v>
      </c>
      <c r="I15" s="3236">
        <v>8286.49</v>
      </c>
      <c r="J15" s="3236">
        <v>16000</v>
      </c>
      <c r="K15" s="3236" t="s">
        <v>3682</v>
      </c>
      <c r="L15" s="3236">
        <v>1</v>
      </c>
      <c r="M15" s="3236" t="s">
        <v>3510</v>
      </c>
      <c r="N15" s="3236">
        <v>1287.24</v>
      </c>
      <c r="O15" s="3236">
        <v>19309</v>
      </c>
      <c r="P15" s="3236">
        <v>19309</v>
      </c>
      <c r="Q15" s="3236">
        <v>0</v>
      </c>
      <c r="R15" s="3236" t="s">
        <v>3658</v>
      </c>
      <c r="S15" s="3236" t="s">
        <v>3582</v>
      </c>
      <c r="T15" s="3236" t="s">
        <v>3681</v>
      </c>
      <c r="U15" s="3236" t="s">
        <v>3506</v>
      </c>
    </row>
    <row r="16" spans="1:21">
      <c r="A16" s="3235" t="s">
        <v>3680</v>
      </c>
      <c r="B16" s="3236" t="s">
        <v>3677</v>
      </c>
      <c r="C16" s="3236" t="s">
        <v>3552</v>
      </c>
      <c r="D16" s="3236" t="s">
        <v>3598</v>
      </c>
      <c r="E16" s="3236" t="s">
        <v>3679</v>
      </c>
      <c r="F16" s="3236" t="s">
        <v>3678</v>
      </c>
      <c r="G16" s="3236" t="s">
        <v>3677</v>
      </c>
      <c r="H16" s="3236">
        <v>78101.460000000006</v>
      </c>
      <c r="I16" s="3236">
        <v>249924.67</v>
      </c>
      <c r="J16" s="3236">
        <v>423000</v>
      </c>
      <c r="K16" s="3236" t="s">
        <v>3676</v>
      </c>
      <c r="L16" s="3236">
        <v>3.2</v>
      </c>
      <c r="M16" s="3236" t="s">
        <v>3510</v>
      </c>
      <c r="N16" s="3236">
        <v>3610.69</v>
      </c>
      <c r="O16" s="3236">
        <v>16925</v>
      </c>
      <c r="P16" s="3236">
        <v>16925</v>
      </c>
      <c r="Q16" s="3236">
        <v>0</v>
      </c>
      <c r="R16" s="3236" t="s">
        <v>3658</v>
      </c>
      <c r="S16" s="3236" t="s">
        <v>3582</v>
      </c>
      <c r="T16" s="3236" t="s">
        <v>3675</v>
      </c>
      <c r="U16" s="3236" t="s">
        <v>3506</v>
      </c>
    </row>
    <row r="17" spans="1:21">
      <c r="A17" s="3235" t="s">
        <v>3674</v>
      </c>
      <c r="B17" s="3236" t="s">
        <v>3671</v>
      </c>
      <c r="C17" s="3236" t="s">
        <v>3552</v>
      </c>
      <c r="D17" s="3236" t="s">
        <v>3515</v>
      </c>
      <c r="E17" s="3236" t="s">
        <v>3673</v>
      </c>
      <c r="F17" s="3236" t="s">
        <v>3672</v>
      </c>
      <c r="G17" s="3236" t="s">
        <v>3671</v>
      </c>
      <c r="H17" s="3236">
        <v>37655.61</v>
      </c>
      <c r="I17" s="3236">
        <v>56108.97</v>
      </c>
      <c r="J17" s="3236">
        <v>74000</v>
      </c>
      <c r="K17" s="3236" t="s">
        <v>3670</v>
      </c>
      <c r="L17" s="3236">
        <v>1.6</v>
      </c>
      <c r="M17" s="3236" t="s">
        <v>3510</v>
      </c>
      <c r="N17" s="3236">
        <v>1310.1199999999999</v>
      </c>
      <c r="O17" s="3236">
        <v>13189</v>
      </c>
      <c r="P17" s="3236">
        <v>13189</v>
      </c>
      <c r="Q17" s="3236">
        <v>0</v>
      </c>
      <c r="R17" s="3236" t="s">
        <v>3669</v>
      </c>
      <c r="S17" s="3236" t="s">
        <v>3582</v>
      </c>
      <c r="T17" s="3236" t="s">
        <v>3668</v>
      </c>
      <c r="U17" s="3236" t="s">
        <v>3506</v>
      </c>
    </row>
    <row r="18" spans="1:21">
      <c r="A18" s="3235" t="s">
        <v>3667</v>
      </c>
      <c r="B18" s="3236" t="s">
        <v>3665</v>
      </c>
      <c r="C18" s="3236" t="s">
        <v>3637</v>
      </c>
      <c r="D18" s="3236" t="s">
        <v>3515</v>
      </c>
      <c r="E18" s="3236" t="s">
        <v>3514</v>
      </c>
      <c r="F18" s="3236" t="s">
        <v>3666</v>
      </c>
      <c r="G18" s="3236" t="s">
        <v>3665</v>
      </c>
      <c r="H18" s="3236">
        <v>17446.77</v>
      </c>
      <c r="I18" s="3236">
        <v>34893.550000000003</v>
      </c>
      <c r="J18" s="3236">
        <v>13000</v>
      </c>
      <c r="K18" s="3236" t="s">
        <v>3664</v>
      </c>
      <c r="L18" s="3236">
        <v>2.2999999999999998</v>
      </c>
      <c r="M18" s="3236" t="s">
        <v>3510</v>
      </c>
      <c r="N18" s="3236">
        <v>496.75</v>
      </c>
      <c r="O18" s="3236">
        <v>3726</v>
      </c>
      <c r="P18" s="3236">
        <v>3726</v>
      </c>
      <c r="Q18" s="3236">
        <v>0</v>
      </c>
      <c r="R18" s="3236" t="s">
        <v>3658</v>
      </c>
      <c r="S18" s="3236" t="s">
        <v>3582</v>
      </c>
      <c r="T18" s="3236" t="s">
        <v>3663</v>
      </c>
      <c r="U18" s="3236" t="s">
        <v>3506</v>
      </c>
    </row>
    <row r="19" spans="1:21">
      <c r="A19" s="3235" t="s">
        <v>3662</v>
      </c>
      <c r="B19" s="3236" t="s">
        <v>3660</v>
      </c>
      <c r="C19" s="3236" t="s">
        <v>3586</v>
      </c>
      <c r="D19" s="3236" t="s">
        <v>3598</v>
      </c>
      <c r="E19" s="3236" t="s">
        <v>3544</v>
      </c>
      <c r="F19" s="3236" t="s">
        <v>3661</v>
      </c>
      <c r="G19" s="3236" t="s">
        <v>3660</v>
      </c>
      <c r="H19" s="3236">
        <v>9999.98</v>
      </c>
      <c r="I19" s="3236">
        <v>17599.96</v>
      </c>
      <c r="J19" s="3236">
        <v>37700</v>
      </c>
      <c r="K19" s="3236" t="s">
        <v>3659</v>
      </c>
      <c r="L19" s="3236">
        <v>1.76</v>
      </c>
      <c r="M19" s="3236" t="s">
        <v>3510</v>
      </c>
      <c r="N19" s="3236">
        <v>2513.34</v>
      </c>
      <c r="O19" s="3236">
        <v>21421</v>
      </c>
      <c r="P19" s="3236">
        <v>21421</v>
      </c>
      <c r="Q19" s="3236">
        <v>0</v>
      </c>
      <c r="R19" s="3236" t="s">
        <v>3658</v>
      </c>
      <c r="S19" s="3236" t="s">
        <v>3582</v>
      </c>
      <c r="T19" s="3236" t="s">
        <v>3657</v>
      </c>
      <c r="U19" s="3236" t="s">
        <v>3506</v>
      </c>
    </row>
    <row r="20" spans="1:21">
      <c r="A20" s="3235" t="s">
        <v>3656</v>
      </c>
      <c r="B20" s="3236" t="s">
        <v>3653</v>
      </c>
      <c r="C20" s="3236" t="s">
        <v>3552</v>
      </c>
      <c r="D20" s="3236" t="s">
        <v>3545</v>
      </c>
      <c r="E20" s="3236" t="s">
        <v>3655</v>
      </c>
      <c r="F20" s="3236" t="s">
        <v>3654</v>
      </c>
      <c r="G20" s="3236" t="s">
        <v>3653</v>
      </c>
      <c r="H20" s="3236">
        <v>70601.06</v>
      </c>
      <c r="I20" s="3236">
        <v>285523</v>
      </c>
      <c r="J20" s="3236">
        <v>642000</v>
      </c>
      <c r="K20" s="3236" t="s">
        <v>3652</v>
      </c>
      <c r="L20" s="3236">
        <v>4.04</v>
      </c>
      <c r="M20" s="3236" t="s">
        <v>3510</v>
      </c>
      <c r="N20" s="3236">
        <v>6062.23</v>
      </c>
      <c r="O20" s="3236">
        <v>22485</v>
      </c>
      <c r="P20" s="3236">
        <v>22485</v>
      </c>
      <c r="Q20" s="3236">
        <v>0</v>
      </c>
      <c r="R20" s="3236" t="s">
        <v>3651</v>
      </c>
      <c r="S20" s="3236" t="s">
        <v>3582</v>
      </c>
      <c r="T20" s="3236" t="s">
        <v>3650</v>
      </c>
      <c r="U20" s="3236" t="s">
        <v>3506</v>
      </c>
    </row>
    <row r="21" spans="1:21">
      <c r="A21" s="3235" t="s">
        <v>3649</v>
      </c>
      <c r="B21" s="3236" t="s">
        <v>3647</v>
      </c>
      <c r="C21" s="3236" t="s">
        <v>3563</v>
      </c>
      <c r="D21" s="3236" t="s">
        <v>3515</v>
      </c>
      <c r="E21" s="3236" t="s">
        <v>3562</v>
      </c>
      <c r="F21" s="3236" t="s">
        <v>3648</v>
      </c>
      <c r="G21" s="3236" t="s">
        <v>3647</v>
      </c>
      <c r="H21" s="3236">
        <v>32636.74</v>
      </c>
      <c r="I21" s="3236">
        <v>78328</v>
      </c>
      <c r="J21" s="3236">
        <v>65000</v>
      </c>
      <c r="K21" s="3236" t="s">
        <v>3646</v>
      </c>
      <c r="L21" s="3236">
        <v>2.4</v>
      </c>
      <c r="M21" s="3236" t="s">
        <v>3510</v>
      </c>
      <c r="N21" s="3236">
        <v>1327.75</v>
      </c>
      <c r="O21" s="3236">
        <v>8298</v>
      </c>
      <c r="P21" s="3236">
        <v>8298</v>
      </c>
      <c r="Q21" s="3236">
        <v>0</v>
      </c>
      <c r="R21" s="3236">
        <v>20</v>
      </c>
      <c r="S21" s="3236" t="s">
        <v>3582</v>
      </c>
      <c r="T21" s="3236" t="s">
        <v>3645</v>
      </c>
      <c r="U21" s="3236" t="s">
        <v>3506</v>
      </c>
    </row>
    <row r="22" spans="1:21">
      <c r="A22" s="3235" t="s">
        <v>3644</v>
      </c>
      <c r="B22" s="3236" t="s">
        <v>3642</v>
      </c>
      <c r="C22" s="3236" t="s">
        <v>3546</v>
      </c>
      <c r="D22" s="3236" t="s">
        <v>3598</v>
      </c>
      <c r="E22" s="3236" t="s">
        <v>3544</v>
      </c>
      <c r="F22" s="3236" t="s">
        <v>3643</v>
      </c>
      <c r="G22" s="3236" t="s">
        <v>3642</v>
      </c>
      <c r="H22" s="3236">
        <v>7467</v>
      </c>
      <c r="I22" s="3236">
        <v>52000</v>
      </c>
      <c r="J22" s="3236">
        <v>118000</v>
      </c>
      <c r="K22" s="3236" t="s">
        <v>3641</v>
      </c>
      <c r="L22" s="3236">
        <v>7</v>
      </c>
      <c r="M22" s="3236" t="s">
        <v>3510</v>
      </c>
      <c r="N22" s="3236">
        <v>10535.24</v>
      </c>
      <c r="O22" s="3236">
        <v>22692</v>
      </c>
      <c r="P22" s="3236">
        <v>22692</v>
      </c>
      <c r="Q22" s="3236">
        <v>0</v>
      </c>
      <c r="R22" s="3236" t="s">
        <v>3640</v>
      </c>
      <c r="S22" s="3236" t="s">
        <v>3582</v>
      </c>
      <c r="T22" s="3236" t="s">
        <v>3639</v>
      </c>
      <c r="U22" s="3236" t="s">
        <v>3506</v>
      </c>
    </row>
    <row r="23" spans="1:21">
      <c r="A23" s="3235" t="s">
        <v>3638</v>
      </c>
      <c r="B23" s="3236" t="s">
        <v>3635</v>
      </c>
      <c r="C23" s="3236" t="s">
        <v>3637</v>
      </c>
      <c r="D23" s="3236" t="s">
        <v>3515</v>
      </c>
      <c r="E23" s="3236" t="s">
        <v>3514</v>
      </c>
      <c r="F23" s="3236" t="s">
        <v>3636</v>
      </c>
      <c r="G23" s="3236" t="s">
        <v>3635</v>
      </c>
      <c r="H23" s="3236">
        <v>29963.72</v>
      </c>
      <c r="I23" s="3236">
        <v>68916.56</v>
      </c>
      <c r="J23" s="3236">
        <v>25700</v>
      </c>
      <c r="K23" s="3236" t="s">
        <v>3634</v>
      </c>
      <c r="L23" s="3236">
        <v>2.2999999999999998</v>
      </c>
      <c r="M23" s="3236" t="s">
        <v>3510</v>
      </c>
      <c r="N23" s="3236">
        <v>571.79999999999995</v>
      </c>
      <c r="O23" s="3236">
        <v>3729</v>
      </c>
      <c r="P23" s="3236">
        <v>3729</v>
      </c>
      <c r="Q23" s="3236">
        <v>0</v>
      </c>
      <c r="R23" s="3236" t="s">
        <v>3509</v>
      </c>
      <c r="S23" s="3236" t="s">
        <v>3582</v>
      </c>
      <c r="T23" s="3236" t="s">
        <v>3633</v>
      </c>
      <c r="U23" s="3236" t="s">
        <v>3506</v>
      </c>
    </row>
    <row r="24" spans="1:21">
      <c r="A24" s="3235" t="s">
        <v>3632</v>
      </c>
      <c r="B24" s="3236" t="s">
        <v>3630</v>
      </c>
      <c r="C24" s="3236" t="s">
        <v>3529</v>
      </c>
      <c r="D24" s="3236" t="s">
        <v>3515</v>
      </c>
      <c r="E24" s="3236" t="s">
        <v>3514</v>
      </c>
      <c r="F24" s="3236" t="s">
        <v>3631</v>
      </c>
      <c r="G24" s="3236" t="s">
        <v>3630</v>
      </c>
      <c r="H24" s="3236">
        <v>9632.01</v>
      </c>
      <c r="I24" s="3236">
        <v>15025.93</v>
      </c>
      <c r="J24" s="3236">
        <v>13700</v>
      </c>
      <c r="K24" s="3236" t="s">
        <v>3629</v>
      </c>
      <c r="L24" s="3236">
        <v>1.56</v>
      </c>
      <c r="M24" s="3236" t="s">
        <v>3510</v>
      </c>
      <c r="N24" s="3236">
        <v>948.23</v>
      </c>
      <c r="O24" s="3236">
        <v>9118</v>
      </c>
      <c r="P24" s="3236">
        <v>9118</v>
      </c>
      <c r="Q24" s="3236">
        <v>0</v>
      </c>
      <c r="R24" s="3236" t="s">
        <v>3628</v>
      </c>
      <c r="S24" s="3236" t="s">
        <v>3582</v>
      </c>
      <c r="T24" s="3236" t="s">
        <v>3618</v>
      </c>
      <c r="U24" s="3236" t="s">
        <v>3506</v>
      </c>
    </row>
    <row r="25" spans="1:21">
      <c r="A25" s="3235" t="s">
        <v>3627</v>
      </c>
      <c r="B25" s="3236" t="s">
        <v>3625</v>
      </c>
      <c r="C25" s="3236" t="s">
        <v>3552</v>
      </c>
      <c r="D25" s="3236" t="s">
        <v>3515</v>
      </c>
      <c r="E25" s="3236" t="s">
        <v>3514</v>
      </c>
      <c r="F25" s="3236" t="s">
        <v>3626</v>
      </c>
      <c r="G25" s="3236" t="s">
        <v>3625</v>
      </c>
      <c r="H25" s="3236">
        <v>49900.54</v>
      </c>
      <c r="I25" s="3236">
        <v>109781.19</v>
      </c>
      <c r="J25" s="3236">
        <v>227000</v>
      </c>
      <c r="K25" s="3236" t="s">
        <v>3549</v>
      </c>
      <c r="L25" s="3236">
        <v>2.2000000000000002</v>
      </c>
      <c r="M25" s="3236" t="s">
        <v>3510</v>
      </c>
      <c r="N25" s="3236">
        <v>3032.7</v>
      </c>
      <c r="O25" s="3236">
        <v>20677</v>
      </c>
      <c r="P25" s="3236">
        <v>20677</v>
      </c>
      <c r="Q25" s="3236">
        <v>0</v>
      </c>
      <c r="R25" s="3236" t="s">
        <v>3509</v>
      </c>
      <c r="S25" s="3236" t="s">
        <v>3582</v>
      </c>
      <c r="T25" s="3236" t="s">
        <v>3624</v>
      </c>
      <c r="U25" s="3236" t="s">
        <v>3506</v>
      </c>
    </row>
    <row r="26" spans="1:21">
      <c r="A26" s="3235" t="s">
        <v>3623</v>
      </c>
      <c r="B26" s="3236" t="s">
        <v>3621</v>
      </c>
      <c r="C26" s="3236" t="s">
        <v>3529</v>
      </c>
      <c r="D26" s="3236" t="s">
        <v>3515</v>
      </c>
      <c r="E26" s="3236" t="s">
        <v>3622</v>
      </c>
      <c r="F26" s="3236" t="s">
        <v>3616</v>
      </c>
      <c r="G26" s="3236" t="s">
        <v>3621</v>
      </c>
      <c r="H26" s="3236">
        <v>15459.22</v>
      </c>
      <c r="I26" s="3236">
        <v>52599.12</v>
      </c>
      <c r="J26" s="3236">
        <v>53100</v>
      </c>
      <c r="K26" s="3236" t="s">
        <v>3620</v>
      </c>
      <c r="L26" s="3236">
        <v>3.82</v>
      </c>
      <c r="M26" s="3236" t="s">
        <v>3510</v>
      </c>
      <c r="N26" s="3236">
        <v>2289.9</v>
      </c>
      <c r="O26" s="3236">
        <v>10095</v>
      </c>
      <c r="P26" s="3236">
        <v>10095</v>
      </c>
      <c r="Q26" s="3236">
        <v>0</v>
      </c>
      <c r="R26" s="3236" t="s">
        <v>3619</v>
      </c>
      <c r="S26" s="3236" t="s">
        <v>3582</v>
      </c>
      <c r="T26" s="3236" t="s">
        <v>3618</v>
      </c>
      <c r="U26" s="3236" t="s">
        <v>3506</v>
      </c>
    </row>
    <row r="27" spans="1:21">
      <c r="A27" s="3235" t="s">
        <v>3617</v>
      </c>
      <c r="B27" s="3236" t="s">
        <v>3615</v>
      </c>
      <c r="C27" s="3236" t="s">
        <v>3586</v>
      </c>
      <c r="D27" s="3236" t="s">
        <v>3598</v>
      </c>
      <c r="E27" s="3236" t="s">
        <v>3544</v>
      </c>
      <c r="F27" s="3236" t="s">
        <v>3616</v>
      </c>
      <c r="G27" s="3236" t="s">
        <v>3615</v>
      </c>
      <c r="H27" s="3236">
        <v>10610.35</v>
      </c>
      <c r="I27" s="3236">
        <v>47747</v>
      </c>
      <c r="J27" s="3236">
        <v>134000</v>
      </c>
      <c r="K27" s="3236" t="s">
        <v>3614</v>
      </c>
      <c r="L27" s="3236">
        <v>4.5</v>
      </c>
      <c r="M27" s="3236" t="s">
        <v>3510</v>
      </c>
      <c r="N27" s="3236">
        <v>8419.4500000000007</v>
      </c>
      <c r="O27" s="3236">
        <v>28065</v>
      </c>
      <c r="P27" s="3236">
        <v>28065</v>
      </c>
      <c r="Q27" s="3236">
        <v>0</v>
      </c>
      <c r="R27" s="3236" t="s">
        <v>3509</v>
      </c>
      <c r="S27" s="3236" t="s">
        <v>3582</v>
      </c>
      <c r="T27" s="3236" t="s">
        <v>3613</v>
      </c>
      <c r="U27" s="3236" t="s">
        <v>3506</v>
      </c>
    </row>
    <row r="28" spans="1:21">
      <c r="A28" s="3235" t="s">
        <v>3612</v>
      </c>
      <c r="B28" s="3236" t="s">
        <v>3608</v>
      </c>
      <c r="C28" s="3236" t="s">
        <v>3546</v>
      </c>
      <c r="D28" s="3236" t="s">
        <v>3611</v>
      </c>
      <c r="E28" s="3236" t="s">
        <v>3610</v>
      </c>
      <c r="F28" s="3236" t="s">
        <v>3609</v>
      </c>
      <c r="G28" s="3236" t="s">
        <v>3608</v>
      </c>
      <c r="H28" s="3236">
        <v>67829.210000000006</v>
      </c>
      <c r="I28" s="3236">
        <v>298100</v>
      </c>
      <c r="J28" s="3236">
        <v>680000</v>
      </c>
      <c r="K28" s="3236" t="s">
        <v>3607</v>
      </c>
      <c r="L28" s="3236">
        <v>4.4000000000000004</v>
      </c>
      <c r="M28" s="3236" t="s">
        <v>3510</v>
      </c>
      <c r="N28" s="3236">
        <v>6683.45</v>
      </c>
      <c r="O28" s="3236">
        <v>22811</v>
      </c>
      <c r="P28" s="3236">
        <v>22811</v>
      </c>
      <c r="Q28" s="3236">
        <v>0</v>
      </c>
      <c r="R28" s="3236" t="s">
        <v>3509</v>
      </c>
      <c r="S28" s="3236" t="s">
        <v>3582</v>
      </c>
      <c r="T28" s="3236" t="s">
        <v>3606</v>
      </c>
      <c r="U28" s="3236" t="s">
        <v>3506</v>
      </c>
    </row>
    <row r="29" spans="1:21">
      <c r="A29" s="3235" t="s">
        <v>3605</v>
      </c>
      <c r="B29" s="3236" t="s">
        <v>3602</v>
      </c>
      <c r="C29" s="3236" t="s">
        <v>3604</v>
      </c>
      <c r="D29" s="3236" t="s">
        <v>3515</v>
      </c>
      <c r="E29" s="3236" t="s">
        <v>3514</v>
      </c>
      <c r="F29" s="3236" t="s">
        <v>3603</v>
      </c>
      <c r="G29" s="3236" t="s">
        <v>3602</v>
      </c>
      <c r="H29" s="3236">
        <v>101190.07</v>
      </c>
      <c r="I29" s="3236">
        <v>198291</v>
      </c>
      <c r="J29" s="3236">
        <v>100000</v>
      </c>
      <c r="K29" s="3236" t="s">
        <v>3601</v>
      </c>
      <c r="L29" s="3236">
        <v>2.5</v>
      </c>
      <c r="M29" s="3236" t="s">
        <v>3510</v>
      </c>
      <c r="N29" s="3236">
        <v>658.83</v>
      </c>
      <c r="O29" s="3236">
        <v>5043</v>
      </c>
      <c r="P29" s="3236">
        <v>5043</v>
      </c>
      <c r="Q29" s="3236">
        <v>0</v>
      </c>
      <c r="R29" s="3236" t="s">
        <v>3509</v>
      </c>
      <c r="S29" s="3236" t="s">
        <v>3582</v>
      </c>
      <c r="T29" s="3236" t="s">
        <v>3600</v>
      </c>
      <c r="U29" s="3236" t="s">
        <v>3506</v>
      </c>
    </row>
    <row r="30" spans="1:21">
      <c r="A30" s="3235" t="s">
        <v>3599</v>
      </c>
      <c r="B30" s="3236" t="s">
        <v>3596</v>
      </c>
      <c r="C30" s="3236" t="s">
        <v>3529</v>
      </c>
      <c r="D30" s="3236" t="s">
        <v>3598</v>
      </c>
      <c r="E30" s="3236" t="s">
        <v>3544</v>
      </c>
      <c r="F30" s="3236" t="s">
        <v>3597</v>
      </c>
      <c r="G30" s="3236" t="s">
        <v>3596</v>
      </c>
      <c r="H30" s="3236">
        <v>5500.65</v>
      </c>
      <c r="I30" s="3236">
        <v>15401.81</v>
      </c>
      <c r="J30" s="3236">
        <v>17000</v>
      </c>
      <c r="K30" s="3236" t="s">
        <v>3526</v>
      </c>
      <c r="L30" s="3236">
        <v>2.8</v>
      </c>
      <c r="M30" s="3236" t="s">
        <v>3510</v>
      </c>
      <c r="N30" s="3236">
        <v>2060.36</v>
      </c>
      <c r="O30" s="3236">
        <v>11038</v>
      </c>
      <c r="P30" s="3236">
        <v>11038</v>
      </c>
      <c r="Q30" s="3236">
        <v>0</v>
      </c>
      <c r="R30" s="3236" t="s">
        <v>3595</v>
      </c>
      <c r="S30" s="3236" t="s">
        <v>3582</v>
      </c>
      <c r="T30" s="3236" t="s">
        <v>3594</v>
      </c>
      <c r="U30" s="3236" t="s">
        <v>3506</v>
      </c>
    </row>
    <row r="31" spans="1:21">
      <c r="A31" s="3235" t="s">
        <v>3593</v>
      </c>
      <c r="B31" s="3236" t="s">
        <v>3590</v>
      </c>
      <c r="C31" s="3236" t="s">
        <v>3516</v>
      </c>
      <c r="D31" s="3236" t="s">
        <v>3515</v>
      </c>
      <c r="E31" s="3236" t="s">
        <v>3592</v>
      </c>
      <c r="F31" s="3236" t="s">
        <v>3591</v>
      </c>
      <c r="G31" s="3236" t="s">
        <v>3590</v>
      </c>
      <c r="H31" s="3236">
        <v>82500</v>
      </c>
      <c r="I31" s="3236">
        <v>165000</v>
      </c>
      <c r="J31" s="3236">
        <v>260700</v>
      </c>
      <c r="K31" s="3236" t="s">
        <v>3589</v>
      </c>
      <c r="L31" s="3236">
        <v>2</v>
      </c>
      <c r="M31" s="3236" t="s">
        <v>3510</v>
      </c>
      <c r="N31" s="3236">
        <v>2106.67</v>
      </c>
      <c r="O31" s="3236">
        <v>15800</v>
      </c>
      <c r="P31" s="3236">
        <v>15800</v>
      </c>
      <c r="Q31" s="3236">
        <v>0</v>
      </c>
      <c r="R31" s="3236">
        <v>40</v>
      </c>
      <c r="S31" s="3236" t="s">
        <v>3582</v>
      </c>
      <c r="T31" s="3236" t="s">
        <v>3588</v>
      </c>
      <c r="U31" s="3236" t="s">
        <v>3506</v>
      </c>
    </row>
    <row r="32" spans="1:21">
      <c r="A32" s="3235" t="s">
        <v>3587</v>
      </c>
      <c r="B32" s="3236" t="s">
        <v>3584</v>
      </c>
      <c r="C32" s="3236" t="s">
        <v>3586</v>
      </c>
      <c r="D32" s="3236" t="s">
        <v>3545</v>
      </c>
      <c r="E32" s="3236" t="s">
        <v>3544</v>
      </c>
      <c r="F32" s="3236" t="s">
        <v>3585</v>
      </c>
      <c r="G32" s="3236" t="s">
        <v>3584</v>
      </c>
      <c r="H32" s="3236">
        <v>62796.800000000003</v>
      </c>
      <c r="I32" s="3236">
        <v>275500</v>
      </c>
      <c r="J32" s="3236">
        <v>635800</v>
      </c>
      <c r="K32" s="3236" t="s">
        <v>3583</v>
      </c>
      <c r="L32" s="3236">
        <v>4.3899999999999997</v>
      </c>
      <c r="M32" s="3236" t="s">
        <v>3510</v>
      </c>
      <c r="N32" s="3236">
        <v>6749.81</v>
      </c>
      <c r="O32" s="3236">
        <v>23078</v>
      </c>
      <c r="P32" s="3236">
        <v>23078</v>
      </c>
      <c r="Q32" s="3236">
        <v>0</v>
      </c>
      <c r="R32" s="3236" t="s">
        <v>3509</v>
      </c>
      <c r="S32" s="3236" t="s">
        <v>3582</v>
      </c>
      <c r="T32" s="3236" t="s">
        <v>3581</v>
      </c>
      <c r="U32" s="3236" t="s">
        <v>3506</v>
      </c>
    </row>
    <row r="33" spans="1:21">
      <c r="A33" s="3235" t="s">
        <v>3580</v>
      </c>
      <c r="B33" s="3236" t="s">
        <v>3576</v>
      </c>
      <c r="C33" s="3236" t="s">
        <v>3516</v>
      </c>
      <c r="D33" s="3236" t="s">
        <v>3579</v>
      </c>
      <c r="E33" s="3236" t="s">
        <v>3578</v>
      </c>
      <c r="F33" s="3236" t="s">
        <v>3577</v>
      </c>
      <c r="G33" s="3236" t="s">
        <v>3576</v>
      </c>
      <c r="H33" s="3236">
        <v>4800</v>
      </c>
      <c r="I33" s="3236">
        <v>1920</v>
      </c>
      <c r="J33" s="3236">
        <v>5800</v>
      </c>
      <c r="K33" s="3236" t="s">
        <v>3575</v>
      </c>
      <c r="L33" s="3236">
        <v>0.4</v>
      </c>
      <c r="M33" s="3236" t="s">
        <v>3510</v>
      </c>
      <c r="N33" s="3236">
        <v>805.56</v>
      </c>
      <c r="O33" s="3236">
        <v>30208</v>
      </c>
      <c r="P33" s="3236">
        <v>30208</v>
      </c>
      <c r="Q33" s="3236">
        <v>0</v>
      </c>
      <c r="R33" s="3236" t="s">
        <v>3574</v>
      </c>
      <c r="S33" s="3236" t="s">
        <v>3508</v>
      </c>
      <c r="T33" s="3236" t="s">
        <v>3573</v>
      </c>
      <c r="U33" s="3236" t="s">
        <v>3506</v>
      </c>
    </row>
    <row r="34" spans="1:21">
      <c r="A34" s="3235" t="s">
        <v>3572</v>
      </c>
      <c r="B34" s="3236" t="s">
        <v>3567</v>
      </c>
      <c r="C34" s="3236" t="s">
        <v>3571</v>
      </c>
      <c r="D34" s="3236" t="s">
        <v>3570</v>
      </c>
      <c r="E34" s="3236" t="s">
        <v>3569</v>
      </c>
      <c r="F34" s="3236" t="s">
        <v>3568</v>
      </c>
      <c r="G34" s="3236" t="s">
        <v>3567</v>
      </c>
      <c r="H34" s="3236">
        <v>46654.62</v>
      </c>
      <c r="I34" s="3236">
        <v>88643.78</v>
      </c>
      <c r="J34" s="3236">
        <v>28000</v>
      </c>
      <c r="K34" s="3236" t="s">
        <v>3566</v>
      </c>
      <c r="L34" s="3236">
        <v>1.9</v>
      </c>
      <c r="M34" s="3236" t="s">
        <v>3510</v>
      </c>
      <c r="N34" s="3236">
        <v>400.1</v>
      </c>
      <c r="O34" s="3236">
        <v>3159</v>
      </c>
      <c r="P34" s="3236">
        <v>3159</v>
      </c>
      <c r="Q34" s="3236">
        <v>0</v>
      </c>
      <c r="R34" s="3236" t="s">
        <v>3509</v>
      </c>
      <c r="S34" s="3236" t="s">
        <v>3508</v>
      </c>
      <c r="T34" s="3236" t="s">
        <v>3565</v>
      </c>
      <c r="U34" s="3236" t="s">
        <v>3506</v>
      </c>
    </row>
    <row r="35" spans="1:21">
      <c r="A35" s="3235" t="s">
        <v>3564</v>
      </c>
      <c r="B35" s="3236" t="s">
        <v>3560</v>
      </c>
      <c r="C35" s="3236" t="s">
        <v>3563</v>
      </c>
      <c r="D35" s="3236" t="s">
        <v>3515</v>
      </c>
      <c r="E35" s="3236" t="s">
        <v>3562</v>
      </c>
      <c r="F35" s="3236" t="s">
        <v>3561</v>
      </c>
      <c r="G35" s="3236" t="s">
        <v>3560</v>
      </c>
      <c r="H35" s="3236">
        <v>64012.4</v>
      </c>
      <c r="I35" s="3236">
        <v>192037.19</v>
      </c>
      <c r="J35" s="3236">
        <v>177000</v>
      </c>
      <c r="K35" s="3236" t="s">
        <v>3559</v>
      </c>
      <c r="L35" s="3236">
        <v>3</v>
      </c>
      <c r="M35" s="3236" t="s">
        <v>3510</v>
      </c>
      <c r="N35" s="3236">
        <v>1843.39</v>
      </c>
      <c r="O35" s="3236">
        <v>9217</v>
      </c>
      <c r="P35" s="3236">
        <v>9217</v>
      </c>
      <c r="Q35" s="3236">
        <v>0</v>
      </c>
      <c r="R35" s="3236" t="s">
        <v>3558</v>
      </c>
      <c r="S35" s="3236" t="s">
        <v>3508</v>
      </c>
      <c r="T35" s="3236" t="s">
        <v>3557</v>
      </c>
      <c r="U35" s="3236" t="s">
        <v>3506</v>
      </c>
    </row>
    <row r="36" spans="1:21">
      <c r="A36" s="3235" t="s">
        <v>3556</v>
      </c>
      <c r="B36" s="3236" t="s">
        <v>3555</v>
      </c>
      <c r="C36" s="3236" t="s">
        <v>3552</v>
      </c>
      <c r="D36" s="3236" t="s">
        <v>3515</v>
      </c>
      <c r="E36" s="3236" t="s">
        <v>3514</v>
      </c>
      <c r="F36" s="3236" t="s">
        <v>3551</v>
      </c>
      <c r="G36" s="3236" t="s">
        <v>3555</v>
      </c>
      <c r="H36" s="3236">
        <v>32733.22</v>
      </c>
      <c r="I36" s="3236">
        <v>72013.08</v>
      </c>
      <c r="J36" s="3236">
        <v>149000</v>
      </c>
      <c r="K36" s="3236" t="s">
        <v>3549</v>
      </c>
      <c r="L36" s="3236">
        <v>2.2000000000000002</v>
      </c>
      <c r="M36" s="3236" t="s">
        <v>3510</v>
      </c>
      <c r="N36" s="3236">
        <v>3034.63</v>
      </c>
      <c r="O36" s="3236">
        <v>20691</v>
      </c>
      <c r="P36" s="3236">
        <v>20691</v>
      </c>
      <c r="Q36" s="3236">
        <v>0</v>
      </c>
      <c r="R36" s="3236" t="s">
        <v>3509</v>
      </c>
      <c r="S36" s="3236" t="s">
        <v>3508</v>
      </c>
      <c r="T36" s="3236" t="s">
        <v>3554</v>
      </c>
      <c r="U36" s="3236" t="s">
        <v>3506</v>
      </c>
    </row>
    <row r="37" spans="1:21">
      <c r="A37" s="3235" t="s">
        <v>3553</v>
      </c>
      <c r="B37" s="3236" t="s">
        <v>3550</v>
      </c>
      <c r="C37" s="3236" t="s">
        <v>3552</v>
      </c>
      <c r="D37" s="3236" t="s">
        <v>3515</v>
      </c>
      <c r="E37" s="3236" t="s">
        <v>3514</v>
      </c>
      <c r="F37" s="3236" t="s">
        <v>3551</v>
      </c>
      <c r="G37" s="3236" t="s">
        <v>3550</v>
      </c>
      <c r="H37" s="3236">
        <v>29506.55</v>
      </c>
      <c r="I37" s="3236">
        <v>64914.41</v>
      </c>
      <c r="J37" s="3236">
        <v>135000</v>
      </c>
      <c r="K37" s="3236" t="s">
        <v>3549</v>
      </c>
      <c r="L37" s="3236">
        <v>2.2000000000000002</v>
      </c>
      <c r="M37" s="3236" t="s">
        <v>3510</v>
      </c>
      <c r="N37" s="3236">
        <v>3050.17</v>
      </c>
      <c r="O37" s="3236">
        <v>20797</v>
      </c>
      <c r="P37" s="3236">
        <v>20797</v>
      </c>
      <c r="Q37" s="3236">
        <v>0</v>
      </c>
      <c r="R37" s="3236" t="s">
        <v>3509</v>
      </c>
      <c r="S37" s="3236" t="s">
        <v>3508</v>
      </c>
      <c r="T37" s="3236" t="s">
        <v>3548</v>
      </c>
      <c r="U37" s="3236" t="s">
        <v>3506</v>
      </c>
    </row>
    <row r="38" spans="1:21">
      <c r="A38" s="3235" t="s">
        <v>3547</v>
      </c>
      <c r="B38" s="3236" t="s">
        <v>3542</v>
      </c>
      <c r="C38" s="3236" t="s">
        <v>3546</v>
      </c>
      <c r="D38" s="3236" t="s">
        <v>3545</v>
      </c>
      <c r="E38" s="3236" t="s">
        <v>3544</v>
      </c>
      <c r="F38" s="3236" t="s">
        <v>3543</v>
      </c>
      <c r="G38" s="3236" t="s">
        <v>3542</v>
      </c>
      <c r="H38" s="3236">
        <v>12629.88</v>
      </c>
      <c r="I38" s="3236">
        <v>80000</v>
      </c>
      <c r="J38" s="3236">
        <v>166000</v>
      </c>
      <c r="K38" s="3236" t="s">
        <v>3541</v>
      </c>
      <c r="L38" s="3236">
        <v>6.33</v>
      </c>
      <c r="M38" s="3236" t="s">
        <v>3510</v>
      </c>
      <c r="N38" s="3236">
        <v>8762.2900000000009</v>
      </c>
      <c r="O38" s="3236">
        <v>20750</v>
      </c>
      <c r="P38" s="3236">
        <v>20750</v>
      </c>
      <c r="Q38" s="3236">
        <v>0</v>
      </c>
      <c r="R38" s="3236" t="s">
        <v>3509</v>
      </c>
      <c r="S38" s="3236" t="s">
        <v>3508</v>
      </c>
      <c r="T38" s="3236" t="s">
        <v>3540</v>
      </c>
      <c r="U38" s="3236" t="s">
        <v>3506</v>
      </c>
    </row>
    <row r="39" spans="1:21">
      <c r="A39" s="3235" t="s">
        <v>3539</v>
      </c>
      <c r="B39" s="3236" t="s">
        <v>3537</v>
      </c>
      <c r="C39" s="3236" t="s">
        <v>3529</v>
      </c>
      <c r="D39" s="3236" t="s">
        <v>3515</v>
      </c>
      <c r="E39" s="3236" t="s">
        <v>3514</v>
      </c>
      <c r="F39" s="3236" t="s">
        <v>3538</v>
      </c>
      <c r="G39" s="3236" t="s">
        <v>3537</v>
      </c>
      <c r="H39" s="3236">
        <v>10000</v>
      </c>
      <c r="I39" s="3236">
        <v>22000</v>
      </c>
      <c r="J39" s="3236">
        <v>36400</v>
      </c>
      <c r="K39" s="3236" t="s">
        <v>3511</v>
      </c>
      <c r="L39" s="3236">
        <v>2.2000000000000002</v>
      </c>
      <c r="M39" s="3236" t="s">
        <v>3510</v>
      </c>
      <c r="N39" s="3236">
        <v>2426.67</v>
      </c>
      <c r="O39" s="3236">
        <v>16545</v>
      </c>
      <c r="P39" s="3236">
        <v>16545</v>
      </c>
      <c r="Q39" s="3236">
        <v>0</v>
      </c>
      <c r="R39" s="3236" t="s">
        <v>3532</v>
      </c>
      <c r="S39" s="3236" t="s">
        <v>3508</v>
      </c>
      <c r="T39" s="3236" t="s">
        <v>3536</v>
      </c>
      <c r="U39" s="3236" t="s">
        <v>3506</v>
      </c>
    </row>
    <row r="40" spans="1:21">
      <c r="A40" s="3235" t="s">
        <v>3535</v>
      </c>
      <c r="B40" s="3236" t="s">
        <v>3533</v>
      </c>
      <c r="C40" s="3236" t="s">
        <v>3529</v>
      </c>
      <c r="D40" s="3236" t="s">
        <v>3515</v>
      </c>
      <c r="E40" s="3236" t="s">
        <v>3514</v>
      </c>
      <c r="F40" s="3236" t="s">
        <v>3534</v>
      </c>
      <c r="G40" s="3236" t="s">
        <v>3533</v>
      </c>
      <c r="H40" s="3236">
        <v>5500</v>
      </c>
      <c r="I40" s="3236">
        <v>12100</v>
      </c>
      <c r="J40" s="3236">
        <v>20000</v>
      </c>
      <c r="K40" s="3236" t="s">
        <v>3511</v>
      </c>
      <c r="L40" s="3236">
        <v>2.2000000000000002</v>
      </c>
      <c r="M40" s="3236" t="s">
        <v>3510</v>
      </c>
      <c r="N40" s="3236">
        <v>2424.2399999999998</v>
      </c>
      <c r="O40" s="3236">
        <v>16529</v>
      </c>
      <c r="P40" s="3236">
        <v>16529</v>
      </c>
      <c r="Q40" s="3236">
        <v>0</v>
      </c>
      <c r="R40" s="3236" t="s">
        <v>3532</v>
      </c>
      <c r="S40" s="3236" t="s">
        <v>3508</v>
      </c>
      <c r="T40" s="3236" t="s">
        <v>3531</v>
      </c>
      <c r="U40" s="3236" t="s">
        <v>3506</v>
      </c>
    </row>
    <row r="41" spans="1:21">
      <c r="A41" s="3235" t="s">
        <v>3530</v>
      </c>
      <c r="B41" s="3236" t="s">
        <v>3527</v>
      </c>
      <c r="C41" s="3236" t="s">
        <v>3529</v>
      </c>
      <c r="D41" s="3236" t="s">
        <v>3515</v>
      </c>
      <c r="E41" s="3236" t="s">
        <v>3514</v>
      </c>
      <c r="F41" s="3236" t="s">
        <v>3528</v>
      </c>
      <c r="G41" s="3236" t="s">
        <v>3527</v>
      </c>
      <c r="H41" s="3236">
        <v>16122.82</v>
      </c>
      <c r="I41" s="3236">
        <v>45143.91</v>
      </c>
      <c r="J41" s="3236">
        <v>76000</v>
      </c>
      <c r="K41" s="3236" t="s">
        <v>3526</v>
      </c>
      <c r="L41" s="3236">
        <v>2.8</v>
      </c>
      <c r="M41" s="3236" t="s">
        <v>3510</v>
      </c>
      <c r="N41" s="3236">
        <v>3142.54</v>
      </c>
      <c r="O41" s="3236">
        <v>16835</v>
      </c>
      <c r="P41" s="3236">
        <v>16835</v>
      </c>
      <c r="Q41" s="3236">
        <v>0</v>
      </c>
      <c r="R41" s="3236" t="s">
        <v>3525</v>
      </c>
      <c r="S41" s="3236" t="s">
        <v>3508</v>
      </c>
      <c r="T41" s="3236" t="s">
        <v>3524</v>
      </c>
      <c r="U41" s="3236" t="s">
        <v>3506</v>
      </c>
    </row>
    <row r="42" spans="1:21">
      <c r="A42" s="3235" t="s">
        <v>3523</v>
      </c>
      <c r="B42" s="3236" t="s">
        <v>3521</v>
      </c>
      <c r="C42" s="3236" t="s">
        <v>3516</v>
      </c>
      <c r="D42" s="3236" t="s">
        <v>3515</v>
      </c>
      <c r="E42" s="3236" t="s">
        <v>3514</v>
      </c>
      <c r="F42" s="3236" t="s">
        <v>3522</v>
      </c>
      <c r="G42" s="3236" t="s">
        <v>3521</v>
      </c>
      <c r="H42" s="3236">
        <v>17308.8</v>
      </c>
      <c r="I42" s="3236">
        <v>86544</v>
      </c>
      <c r="J42" s="3236">
        <v>91400</v>
      </c>
      <c r="K42" s="3236" t="s">
        <v>3520</v>
      </c>
      <c r="L42" s="3236">
        <v>5</v>
      </c>
      <c r="M42" s="3236" t="s">
        <v>3510</v>
      </c>
      <c r="N42" s="3236">
        <v>3520.37</v>
      </c>
      <c r="O42" s="3236">
        <v>10561</v>
      </c>
      <c r="P42" s="3236">
        <v>10561</v>
      </c>
      <c r="Q42" s="3236">
        <v>0</v>
      </c>
      <c r="R42" s="3236" t="s">
        <v>3519</v>
      </c>
      <c r="S42" s="3236" t="s">
        <v>3508</v>
      </c>
      <c r="T42" s="3236" t="s">
        <v>3518</v>
      </c>
      <c r="U42" s="3236" t="s">
        <v>3506</v>
      </c>
    </row>
    <row r="43" spans="1:21">
      <c r="A43" s="3235" t="s">
        <v>3517</v>
      </c>
      <c r="B43" s="3236" t="s">
        <v>3512</v>
      </c>
      <c r="C43" s="3236" t="s">
        <v>3516</v>
      </c>
      <c r="D43" s="3236" t="s">
        <v>3515</v>
      </c>
      <c r="E43" s="3236" t="s">
        <v>3514</v>
      </c>
      <c r="F43" s="3236" t="s">
        <v>3513</v>
      </c>
      <c r="G43" s="3236" t="s">
        <v>3512</v>
      </c>
      <c r="H43" s="3236">
        <v>59169.74</v>
      </c>
      <c r="I43" s="3236">
        <v>130173.43</v>
      </c>
      <c r="J43" s="3236">
        <v>131600</v>
      </c>
      <c r="K43" s="3236" t="s">
        <v>3511</v>
      </c>
      <c r="L43" s="3236">
        <v>2.2000000000000002</v>
      </c>
      <c r="M43" s="3236" t="s">
        <v>3510</v>
      </c>
      <c r="N43" s="3236">
        <v>1482.74</v>
      </c>
      <c r="O43" s="3236">
        <v>10110</v>
      </c>
      <c r="P43" s="3236">
        <v>10110</v>
      </c>
      <c r="Q43" s="3236">
        <v>0</v>
      </c>
      <c r="R43" s="3236" t="s">
        <v>3509</v>
      </c>
      <c r="S43" s="3236" t="s">
        <v>3508</v>
      </c>
      <c r="T43" s="3236" t="s">
        <v>3507</v>
      </c>
      <c r="U43" s="3236" t="s">
        <v>3506</v>
      </c>
    </row>
  </sheetData>
  <mergeCells count="903">
    <mergeCell ref="U43"/>
    <mergeCell ref="J43"/>
    <mergeCell ref="K43"/>
    <mergeCell ref="L43"/>
    <mergeCell ref="M43"/>
    <mergeCell ref="N43"/>
    <mergeCell ref="O43"/>
    <mergeCell ref="P43"/>
    <mergeCell ref="A42"/>
    <mergeCell ref="B42"/>
    <mergeCell ref="C42"/>
    <mergeCell ref="D42"/>
    <mergeCell ref="E42"/>
    <mergeCell ref="F42"/>
    <mergeCell ref="Q43"/>
    <mergeCell ref="R43"/>
    <mergeCell ref="A43"/>
    <mergeCell ref="B43"/>
    <mergeCell ref="C43"/>
    <mergeCell ref="D43"/>
    <mergeCell ref="E43"/>
    <mergeCell ref="F43"/>
    <mergeCell ref="G43"/>
    <mergeCell ref="H43"/>
    <mergeCell ref="G42"/>
    <mergeCell ref="H42"/>
    <mergeCell ref="I42"/>
    <mergeCell ref="J42"/>
    <mergeCell ref="K42"/>
    <mergeCell ref="L42"/>
    <mergeCell ref="I43"/>
    <mergeCell ref="S41"/>
    <mergeCell ref="T41"/>
    <mergeCell ref="S43"/>
    <mergeCell ref="T43"/>
    <mergeCell ref="S42"/>
    <mergeCell ref="T42"/>
    <mergeCell ref="U42"/>
    <mergeCell ref="J41"/>
    <mergeCell ref="K41"/>
    <mergeCell ref="L41"/>
    <mergeCell ref="M41"/>
    <mergeCell ref="N41"/>
    <mergeCell ref="O41"/>
    <mergeCell ref="P41"/>
    <mergeCell ref="M42"/>
    <mergeCell ref="N42"/>
    <mergeCell ref="O42"/>
    <mergeCell ref="P42"/>
    <mergeCell ref="Q42"/>
    <mergeCell ref="R42"/>
    <mergeCell ref="U41"/>
    <mergeCell ref="A40"/>
    <mergeCell ref="B40"/>
    <mergeCell ref="C40"/>
    <mergeCell ref="D40"/>
    <mergeCell ref="E40"/>
    <mergeCell ref="F40"/>
    <mergeCell ref="Q41"/>
    <mergeCell ref="R41"/>
    <mergeCell ref="A41"/>
    <mergeCell ref="B41"/>
    <mergeCell ref="C41"/>
    <mergeCell ref="D41"/>
    <mergeCell ref="E41"/>
    <mergeCell ref="F41"/>
    <mergeCell ref="G41"/>
    <mergeCell ref="H41"/>
    <mergeCell ref="G40"/>
    <mergeCell ref="H40"/>
    <mergeCell ref="I40"/>
    <mergeCell ref="J40"/>
    <mergeCell ref="K40"/>
    <mergeCell ref="L40"/>
    <mergeCell ref="I41"/>
    <mergeCell ref="S39"/>
    <mergeCell ref="T39"/>
    <mergeCell ref="S40"/>
    <mergeCell ref="T40"/>
    <mergeCell ref="U40"/>
    <mergeCell ref="J39"/>
    <mergeCell ref="K39"/>
    <mergeCell ref="L39"/>
    <mergeCell ref="M39"/>
    <mergeCell ref="N39"/>
    <mergeCell ref="O39"/>
    <mergeCell ref="P39"/>
    <mergeCell ref="M40"/>
    <mergeCell ref="N40"/>
    <mergeCell ref="O40"/>
    <mergeCell ref="P40"/>
    <mergeCell ref="Q40"/>
    <mergeCell ref="R40"/>
    <mergeCell ref="U39"/>
    <mergeCell ref="A38"/>
    <mergeCell ref="B38"/>
    <mergeCell ref="C38"/>
    <mergeCell ref="D38"/>
    <mergeCell ref="E38"/>
    <mergeCell ref="F38"/>
    <mergeCell ref="Q39"/>
    <mergeCell ref="R39"/>
    <mergeCell ref="A39"/>
    <mergeCell ref="B39"/>
    <mergeCell ref="C39"/>
    <mergeCell ref="D39"/>
    <mergeCell ref="E39"/>
    <mergeCell ref="F39"/>
    <mergeCell ref="G39"/>
    <mergeCell ref="H39"/>
    <mergeCell ref="G38"/>
    <mergeCell ref="H38"/>
    <mergeCell ref="I38"/>
    <mergeCell ref="J38"/>
    <mergeCell ref="K38"/>
    <mergeCell ref="L38"/>
    <mergeCell ref="I39"/>
    <mergeCell ref="S37"/>
    <mergeCell ref="T37"/>
    <mergeCell ref="S38"/>
    <mergeCell ref="T38"/>
    <mergeCell ref="U38"/>
    <mergeCell ref="J37"/>
    <mergeCell ref="K37"/>
    <mergeCell ref="L37"/>
    <mergeCell ref="M37"/>
    <mergeCell ref="N37"/>
    <mergeCell ref="O37"/>
    <mergeCell ref="P37"/>
    <mergeCell ref="M38"/>
    <mergeCell ref="N38"/>
    <mergeCell ref="O38"/>
    <mergeCell ref="P38"/>
    <mergeCell ref="Q38"/>
    <mergeCell ref="R38"/>
    <mergeCell ref="U37"/>
    <mergeCell ref="A36"/>
    <mergeCell ref="B36"/>
    <mergeCell ref="C36"/>
    <mergeCell ref="D36"/>
    <mergeCell ref="E36"/>
    <mergeCell ref="F36"/>
    <mergeCell ref="Q37"/>
    <mergeCell ref="R37"/>
    <mergeCell ref="A37"/>
    <mergeCell ref="B37"/>
    <mergeCell ref="C37"/>
    <mergeCell ref="D37"/>
    <mergeCell ref="E37"/>
    <mergeCell ref="F37"/>
    <mergeCell ref="G37"/>
    <mergeCell ref="H37"/>
    <mergeCell ref="G36"/>
    <mergeCell ref="H36"/>
    <mergeCell ref="I36"/>
    <mergeCell ref="J36"/>
    <mergeCell ref="K36"/>
    <mergeCell ref="L36"/>
    <mergeCell ref="I37"/>
    <mergeCell ref="S35"/>
    <mergeCell ref="T35"/>
    <mergeCell ref="S36"/>
    <mergeCell ref="T36"/>
    <mergeCell ref="U36"/>
    <mergeCell ref="J35"/>
    <mergeCell ref="K35"/>
    <mergeCell ref="L35"/>
    <mergeCell ref="M35"/>
    <mergeCell ref="N35"/>
    <mergeCell ref="O35"/>
    <mergeCell ref="P35"/>
    <mergeCell ref="M36"/>
    <mergeCell ref="N36"/>
    <mergeCell ref="O36"/>
    <mergeCell ref="P36"/>
    <mergeCell ref="Q36"/>
    <mergeCell ref="R36"/>
    <mergeCell ref="U35"/>
    <mergeCell ref="A34"/>
    <mergeCell ref="B34"/>
    <mergeCell ref="C34"/>
    <mergeCell ref="D34"/>
    <mergeCell ref="E34"/>
    <mergeCell ref="F34"/>
    <mergeCell ref="Q35"/>
    <mergeCell ref="R35"/>
    <mergeCell ref="A35"/>
    <mergeCell ref="B35"/>
    <mergeCell ref="C35"/>
    <mergeCell ref="D35"/>
    <mergeCell ref="E35"/>
    <mergeCell ref="F35"/>
    <mergeCell ref="G35"/>
    <mergeCell ref="H35"/>
    <mergeCell ref="G34"/>
    <mergeCell ref="H34"/>
    <mergeCell ref="I34"/>
    <mergeCell ref="J34"/>
    <mergeCell ref="K34"/>
    <mergeCell ref="L34"/>
    <mergeCell ref="I35"/>
    <mergeCell ref="S33"/>
    <mergeCell ref="T33"/>
    <mergeCell ref="S34"/>
    <mergeCell ref="T34"/>
    <mergeCell ref="U34"/>
    <mergeCell ref="J33"/>
    <mergeCell ref="K33"/>
    <mergeCell ref="L33"/>
    <mergeCell ref="M33"/>
    <mergeCell ref="N33"/>
    <mergeCell ref="O33"/>
    <mergeCell ref="P33"/>
    <mergeCell ref="M34"/>
    <mergeCell ref="N34"/>
    <mergeCell ref="O34"/>
    <mergeCell ref="P34"/>
    <mergeCell ref="Q34"/>
    <mergeCell ref="R34"/>
    <mergeCell ref="U33"/>
    <mergeCell ref="A32"/>
    <mergeCell ref="B32"/>
    <mergeCell ref="C32"/>
    <mergeCell ref="D32"/>
    <mergeCell ref="E32"/>
    <mergeCell ref="F32"/>
    <mergeCell ref="Q33"/>
    <mergeCell ref="R33"/>
    <mergeCell ref="A33"/>
    <mergeCell ref="B33"/>
    <mergeCell ref="C33"/>
    <mergeCell ref="D33"/>
    <mergeCell ref="E33"/>
    <mergeCell ref="F33"/>
    <mergeCell ref="G33"/>
    <mergeCell ref="H33"/>
    <mergeCell ref="G32"/>
    <mergeCell ref="H32"/>
    <mergeCell ref="I32"/>
    <mergeCell ref="J32"/>
    <mergeCell ref="K32"/>
    <mergeCell ref="L32"/>
    <mergeCell ref="I33"/>
    <mergeCell ref="S31"/>
    <mergeCell ref="T31"/>
    <mergeCell ref="S32"/>
    <mergeCell ref="T32"/>
    <mergeCell ref="U32"/>
    <mergeCell ref="J31"/>
    <mergeCell ref="K31"/>
    <mergeCell ref="L31"/>
    <mergeCell ref="M31"/>
    <mergeCell ref="N31"/>
    <mergeCell ref="O31"/>
    <mergeCell ref="P31"/>
    <mergeCell ref="M32"/>
    <mergeCell ref="N32"/>
    <mergeCell ref="O32"/>
    <mergeCell ref="P32"/>
    <mergeCell ref="Q32"/>
    <mergeCell ref="R32"/>
    <mergeCell ref="U31"/>
    <mergeCell ref="A30"/>
    <mergeCell ref="B30"/>
    <mergeCell ref="C30"/>
    <mergeCell ref="D30"/>
    <mergeCell ref="E30"/>
    <mergeCell ref="F30"/>
    <mergeCell ref="Q31"/>
    <mergeCell ref="R31"/>
    <mergeCell ref="A31"/>
    <mergeCell ref="B31"/>
    <mergeCell ref="C31"/>
    <mergeCell ref="D31"/>
    <mergeCell ref="E31"/>
    <mergeCell ref="F31"/>
    <mergeCell ref="G31"/>
    <mergeCell ref="H31"/>
    <mergeCell ref="G30"/>
    <mergeCell ref="H30"/>
    <mergeCell ref="I30"/>
    <mergeCell ref="J30"/>
    <mergeCell ref="K30"/>
    <mergeCell ref="L30"/>
    <mergeCell ref="I31"/>
    <mergeCell ref="S29"/>
    <mergeCell ref="T29"/>
    <mergeCell ref="S30"/>
    <mergeCell ref="T30"/>
    <mergeCell ref="U30"/>
    <mergeCell ref="J29"/>
    <mergeCell ref="K29"/>
    <mergeCell ref="L29"/>
    <mergeCell ref="M29"/>
    <mergeCell ref="N29"/>
    <mergeCell ref="O29"/>
    <mergeCell ref="P29"/>
    <mergeCell ref="M30"/>
    <mergeCell ref="N30"/>
    <mergeCell ref="O30"/>
    <mergeCell ref="P30"/>
    <mergeCell ref="Q30"/>
    <mergeCell ref="R30"/>
    <mergeCell ref="U29"/>
    <mergeCell ref="A28"/>
    <mergeCell ref="B28"/>
    <mergeCell ref="C28"/>
    <mergeCell ref="D28"/>
    <mergeCell ref="E28"/>
    <mergeCell ref="F28"/>
    <mergeCell ref="Q29"/>
    <mergeCell ref="R29"/>
    <mergeCell ref="A29"/>
    <mergeCell ref="B29"/>
    <mergeCell ref="C29"/>
    <mergeCell ref="D29"/>
    <mergeCell ref="E29"/>
    <mergeCell ref="F29"/>
    <mergeCell ref="G29"/>
    <mergeCell ref="H29"/>
    <mergeCell ref="G28"/>
    <mergeCell ref="H28"/>
    <mergeCell ref="I28"/>
    <mergeCell ref="J28"/>
    <mergeCell ref="K28"/>
    <mergeCell ref="L28"/>
    <mergeCell ref="I29"/>
    <mergeCell ref="S27"/>
    <mergeCell ref="T27"/>
    <mergeCell ref="S28"/>
    <mergeCell ref="T28"/>
    <mergeCell ref="U28"/>
    <mergeCell ref="J27"/>
    <mergeCell ref="K27"/>
    <mergeCell ref="L27"/>
    <mergeCell ref="M27"/>
    <mergeCell ref="N27"/>
    <mergeCell ref="O27"/>
    <mergeCell ref="P27"/>
    <mergeCell ref="M28"/>
    <mergeCell ref="N28"/>
    <mergeCell ref="O28"/>
    <mergeCell ref="P28"/>
    <mergeCell ref="Q28"/>
    <mergeCell ref="R28"/>
    <mergeCell ref="U27"/>
    <mergeCell ref="A26"/>
    <mergeCell ref="B26"/>
    <mergeCell ref="C26"/>
    <mergeCell ref="D26"/>
    <mergeCell ref="E26"/>
    <mergeCell ref="F26"/>
    <mergeCell ref="Q27"/>
    <mergeCell ref="R27"/>
    <mergeCell ref="A27"/>
    <mergeCell ref="B27"/>
    <mergeCell ref="C27"/>
    <mergeCell ref="D27"/>
    <mergeCell ref="E27"/>
    <mergeCell ref="F27"/>
    <mergeCell ref="G27"/>
    <mergeCell ref="H27"/>
    <mergeCell ref="G26"/>
    <mergeCell ref="H26"/>
    <mergeCell ref="I26"/>
    <mergeCell ref="J26"/>
    <mergeCell ref="K26"/>
    <mergeCell ref="L26"/>
    <mergeCell ref="I27"/>
    <mergeCell ref="S25"/>
    <mergeCell ref="T25"/>
    <mergeCell ref="S26"/>
    <mergeCell ref="T26"/>
    <mergeCell ref="U26"/>
    <mergeCell ref="J25"/>
    <mergeCell ref="K25"/>
    <mergeCell ref="L25"/>
    <mergeCell ref="M25"/>
    <mergeCell ref="N25"/>
    <mergeCell ref="O25"/>
    <mergeCell ref="P25"/>
    <mergeCell ref="M26"/>
    <mergeCell ref="N26"/>
    <mergeCell ref="O26"/>
    <mergeCell ref="P26"/>
    <mergeCell ref="Q26"/>
    <mergeCell ref="R26"/>
    <mergeCell ref="U25"/>
    <mergeCell ref="A24"/>
    <mergeCell ref="B24"/>
    <mergeCell ref="C24"/>
    <mergeCell ref="D24"/>
    <mergeCell ref="E24"/>
    <mergeCell ref="F24"/>
    <mergeCell ref="Q25"/>
    <mergeCell ref="R25"/>
    <mergeCell ref="A25"/>
    <mergeCell ref="B25"/>
    <mergeCell ref="C25"/>
    <mergeCell ref="D25"/>
    <mergeCell ref="E25"/>
    <mergeCell ref="F25"/>
    <mergeCell ref="G25"/>
    <mergeCell ref="H25"/>
    <mergeCell ref="G24"/>
    <mergeCell ref="H24"/>
    <mergeCell ref="I24"/>
    <mergeCell ref="J24"/>
    <mergeCell ref="K24"/>
    <mergeCell ref="L24"/>
    <mergeCell ref="I25"/>
    <mergeCell ref="S23"/>
    <mergeCell ref="T23"/>
    <mergeCell ref="S24"/>
    <mergeCell ref="T24"/>
    <mergeCell ref="U24"/>
    <mergeCell ref="J23"/>
    <mergeCell ref="K23"/>
    <mergeCell ref="L23"/>
    <mergeCell ref="M23"/>
    <mergeCell ref="N23"/>
    <mergeCell ref="O23"/>
    <mergeCell ref="P23"/>
    <mergeCell ref="M24"/>
    <mergeCell ref="N24"/>
    <mergeCell ref="O24"/>
    <mergeCell ref="P24"/>
    <mergeCell ref="Q24"/>
    <mergeCell ref="R24"/>
    <mergeCell ref="U23"/>
    <mergeCell ref="A22"/>
    <mergeCell ref="B22"/>
    <mergeCell ref="C22"/>
    <mergeCell ref="D22"/>
    <mergeCell ref="E22"/>
    <mergeCell ref="F22"/>
    <mergeCell ref="Q23"/>
    <mergeCell ref="R23"/>
    <mergeCell ref="A23"/>
    <mergeCell ref="B23"/>
    <mergeCell ref="C23"/>
    <mergeCell ref="D23"/>
    <mergeCell ref="E23"/>
    <mergeCell ref="F23"/>
    <mergeCell ref="G23"/>
    <mergeCell ref="H23"/>
    <mergeCell ref="G22"/>
    <mergeCell ref="H22"/>
    <mergeCell ref="I22"/>
    <mergeCell ref="J22"/>
    <mergeCell ref="K22"/>
    <mergeCell ref="L22"/>
    <mergeCell ref="I23"/>
    <mergeCell ref="S21"/>
    <mergeCell ref="T21"/>
    <mergeCell ref="S22"/>
    <mergeCell ref="T22"/>
    <mergeCell ref="U22"/>
    <mergeCell ref="J21"/>
    <mergeCell ref="K21"/>
    <mergeCell ref="L21"/>
    <mergeCell ref="M21"/>
    <mergeCell ref="N21"/>
    <mergeCell ref="O21"/>
    <mergeCell ref="P21"/>
    <mergeCell ref="M22"/>
    <mergeCell ref="N22"/>
    <mergeCell ref="O22"/>
    <mergeCell ref="P22"/>
    <mergeCell ref="Q22"/>
    <mergeCell ref="R22"/>
    <mergeCell ref="U21"/>
    <mergeCell ref="A20"/>
    <mergeCell ref="B20"/>
    <mergeCell ref="C20"/>
    <mergeCell ref="D20"/>
    <mergeCell ref="E20"/>
    <mergeCell ref="F20"/>
    <mergeCell ref="Q21"/>
    <mergeCell ref="R21"/>
    <mergeCell ref="A21"/>
    <mergeCell ref="B21"/>
    <mergeCell ref="C21"/>
    <mergeCell ref="D21"/>
    <mergeCell ref="E21"/>
    <mergeCell ref="F21"/>
    <mergeCell ref="G21"/>
    <mergeCell ref="H21"/>
    <mergeCell ref="G20"/>
    <mergeCell ref="H20"/>
    <mergeCell ref="I20"/>
    <mergeCell ref="J20"/>
    <mergeCell ref="K20"/>
    <mergeCell ref="L20"/>
    <mergeCell ref="I21"/>
    <mergeCell ref="S19"/>
    <mergeCell ref="T19"/>
    <mergeCell ref="S20"/>
    <mergeCell ref="T20"/>
    <mergeCell ref="U20"/>
    <mergeCell ref="J19"/>
    <mergeCell ref="K19"/>
    <mergeCell ref="L19"/>
    <mergeCell ref="M19"/>
    <mergeCell ref="N19"/>
    <mergeCell ref="O19"/>
    <mergeCell ref="P19"/>
    <mergeCell ref="M20"/>
    <mergeCell ref="N20"/>
    <mergeCell ref="O20"/>
    <mergeCell ref="P20"/>
    <mergeCell ref="Q20"/>
    <mergeCell ref="R20"/>
    <mergeCell ref="U19"/>
    <mergeCell ref="A18"/>
    <mergeCell ref="B18"/>
    <mergeCell ref="C18"/>
    <mergeCell ref="D18"/>
    <mergeCell ref="E18"/>
    <mergeCell ref="F18"/>
    <mergeCell ref="Q19"/>
    <mergeCell ref="R19"/>
    <mergeCell ref="A19"/>
    <mergeCell ref="B19"/>
    <mergeCell ref="C19"/>
    <mergeCell ref="D19"/>
    <mergeCell ref="E19"/>
    <mergeCell ref="F19"/>
    <mergeCell ref="G19"/>
    <mergeCell ref="H19"/>
    <mergeCell ref="G18"/>
    <mergeCell ref="H18"/>
    <mergeCell ref="I18"/>
    <mergeCell ref="J18"/>
    <mergeCell ref="K18"/>
    <mergeCell ref="L18"/>
    <mergeCell ref="I19"/>
    <mergeCell ref="S17"/>
    <mergeCell ref="T17"/>
    <mergeCell ref="S18"/>
    <mergeCell ref="T18"/>
    <mergeCell ref="U18"/>
    <mergeCell ref="J17"/>
    <mergeCell ref="K17"/>
    <mergeCell ref="L17"/>
    <mergeCell ref="M17"/>
    <mergeCell ref="N17"/>
    <mergeCell ref="O17"/>
    <mergeCell ref="P17"/>
    <mergeCell ref="M18"/>
    <mergeCell ref="N18"/>
    <mergeCell ref="O18"/>
    <mergeCell ref="P18"/>
    <mergeCell ref="Q18"/>
    <mergeCell ref="R18"/>
    <mergeCell ref="U17"/>
    <mergeCell ref="A16"/>
    <mergeCell ref="B16"/>
    <mergeCell ref="C16"/>
    <mergeCell ref="D16"/>
    <mergeCell ref="E16"/>
    <mergeCell ref="F16"/>
    <mergeCell ref="Q17"/>
    <mergeCell ref="R17"/>
    <mergeCell ref="A17"/>
    <mergeCell ref="B17"/>
    <mergeCell ref="C17"/>
    <mergeCell ref="D17"/>
    <mergeCell ref="E17"/>
    <mergeCell ref="F17"/>
    <mergeCell ref="G17"/>
    <mergeCell ref="H17"/>
    <mergeCell ref="G16"/>
    <mergeCell ref="H16"/>
    <mergeCell ref="I16"/>
    <mergeCell ref="J16"/>
    <mergeCell ref="K16"/>
    <mergeCell ref="L16"/>
    <mergeCell ref="I17"/>
    <mergeCell ref="S15"/>
    <mergeCell ref="T15"/>
    <mergeCell ref="S16"/>
    <mergeCell ref="T16"/>
    <mergeCell ref="U16"/>
    <mergeCell ref="J15"/>
    <mergeCell ref="K15"/>
    <mergeCell ref="L15"/>
    <mergeCell ref="M15"/>
    <mergeCell ref="N15"/>
    <mergeCell ref="O15"/>
    <mergeCell ref="P15"/>
    <mergeCell ref="M16"/>
    <mergeCell ref="N16"/>
    <mergeCell ref="O16"/>
    <mergeCell ref="P16"/>
    <mergeCell ref="Q16"/>
    <mergeCell ref="R16"/>
    <mergeCell ref="U15"/>
    <mergeCell ref="A14"/>
    <mergeCell ref="B14"/>
    <mergeCell ref="C14"/>
    <mergeCell ref="D14"/>
    <mergeCell ref="E14"/>
    <mergeCell ref="F14"/>
    <mergeCell ref="Q15"/>
    <mergeCell ref="R15"/>
    <mergeCell ref="A15"/>
    <mergeCell ref="B15"/>
    <mergeCell ref="C15"/>
    <mergeCell ref="D15"/>
    <mergeCell ref="E15"/>
    <mergeCell ref="F15"/>
    <mergeCell ref="G15"/>
    <mergeCell ref="H15"/>
    <mergeCell ref="G14"/>
    <mergeCell ref="H14"/>
    <mergeCell ref="I14"/>
    <mergeCell ref="J14"/>
    <mergeCell ref="K14"/>
    <mergeCell ref="L14"/>
    <mergeCell ref="I15"/>
    <mergeCell ref="S13"/>
    <mergeCell ref="T13"/>
    <mergeCell ref="S14"/>
    <mergeCell ref="T14"/>
    <mergeCell ref="U14"/>
    <mergeCell ref="J13"/>
    <mergeCell ref="K13"/>
    <mergeCell ref="L13"/>
    <mergeCell ref="M13"/>
    <mergeCell ref="N13"/>
    <mergeCell ref="O13"/>
    <mergeCell ref="P13"/>
    <mergeCell ref="M14"/>
    <mergeCell ref="N14"/>
    <mergeCell ref="O14"/>
    <mergeCell ref="P14"/>
    <mergeCell ref="Q14"/>
    <mergeCell ref="R14"/>
    <mergeCell ref="U13"/>
    <mergeCell ref="A12"/>
    <mergeCell ref="B12"/>
    <mergeCell ref="C12"/>
    <mergeCell ref="D12"/>
    <mergeCell ref="E12"/>
    <mergeCell ref="F12"/>
    <mergeCell ref="Q13"/>
    <mergeCell ref="R13"/>
    <mergeCell ref="A13"/>
    <mergeCell ref="B13"/>
    <mergeCell ref="C13"/>
    <mergeCell ref="D13"/>
    <mergeCell ref="E13"/>
    <mergeCell ref="F13"/>
    <mergeCell ref="G13"/>
    <mergeCell ref="H13"/>
    <mergeCell ref="G12"/>
    <mergeCell ref="H12"/>
    <mergeCell ref="I12"/>
    <mergeCell ref="J12"/>
    <mergeCell ref="K12"/>
    <mergeCell ref="L12"/>
    <mergeCell ref="I13"/>
    <mergeCell ref="S11"/>
    <mergeCell ref="T11"/>
    <mergeCell ref="S12"/>
    <mergeCell ref="T12"/>
    <mergeCell ref="U12"/>
    <mergeCell ref="J11"/>
    <mergeCell ref="K11"/>
    <mergeCell ref="L11"/>
    <mergeCell ref="M11"/>
    <mergeCell ref="N11"/>
    <mergeCell ref="O11"/>
    <mergeCell ref="P11"/>
    <mergeCell ref="M12"/>
    <mergeCell ref="N12"/>
    <mergeCell ref="O12"/>
    <mergeCell ref="P12"/>
    <mergeCell ref="Q12"/>
    <mergeCell ref="R12"/>
    <mergeCell ref="U11"/>
    <mergeCell ref="A10"/>
    <mergeCell ref="B10"/>
    <mergeCell ref="C10"/>
    <mergeCell ref="D10"/>
    <mergeCell ref="E10"/>
    <mergeCell ref="F10"/>
    <mergeCell ref="Q11"/>
    <mergeCell ref="R11"/>
    <mergeCell ref="A11"/>
    <mergeCell ref="B11"/>
    <mergeCell ref="C11"/>
    <mergeCell ref="D11"/>
    <mergeCell ref="E11"/>
    <mergeCell ref="F11"/>
    <mergeCell ref="G11"/>
    <mergeCell ref="H11"/>
    <mergeCell ref="G10"/>
    <mergeCell ref="H10"/>
    <mergeCell ref="I10"/>
    <mergeCell ref="J10"/>
    <mergeCell ref="K10"/>
    <mergeCell ref="L10"/>
    <mergeCell ref="I11"/>
    <mergeCell ref="S9"/>
    <mergeCell ref="T9"/>
    <mergeCell ref="S10"/>
    <mergeCell ref="T10"/>
    <mergeCell ref="U10"/>
    <mergeCell ref="J9"/>
    <mergeCell ref="K9"/>
    <mergeCell ref="L9"/>
    <mergeCell ref="M9"/>
    <mergeCell ref="N9"/>
    <mergeCell ref="O9"/>
    <mergeCell ref="P9"/>
    <mergeCell ref="M10"/>
    <mergeCell ref="N10"/>
    <mergeCell ref="O10"/>
    <mergeCell ref="P10"/>
    <mergeCell ref="Q10"/>
    <mergeCell ref="R10"/>
    <mergeCell ref="U9"/>
    <mergeCell ref="A8"/>
    <mergeCell ref="B8"/>
    <mergeCell ref="C8"/>
    <mergeCell ref="D8"/>
    <mergeCell ref="E8"/>
    <mergeCell ref="F8"/>
    <mergeCell ref="Q9"/>
    <mergeCell ref="R9"/>
    <mergeCell ref="A9"/>
    <mergeCell ref="B9"/>
    <mergeCell ref="C9"/>
    <mergeCell ref="D9"/>
    <mergeCell ref="E9"/>
    <mergeCell ref="F9"/>
    <mergeCell ref="G9"/>
    <mergeCell ref="H9"/>
    <mergeCell ref="G8"/>
    <mergeCell ref="H8"/>
    <mergeCell ref="I8"/>
    <mergeCell ref="J8"/>
    <mergeCell ref="K8"/>
    <mergeCell ref="L8"/>
    <mergeCell ref="I9"/>
    <mergeCell ref="S7"/>
    <mergeCell ref="T7"/>
    <mergeCell ref="S8"/>
    <mergeCell ref="T8"/>
    <mergeCell ref="U8"/>
    <mergeCell ref="J7"/>
    <mergeCell ref="K7"/>
    <mergeCell ref="L7"/>
    <mergeCell ref="M7"/>
    <mergeCell ref="N7"/>
    <mergeCell ref="O7"/>
    <mergeCell ref="P7"/>
    <mergeCell ref="M8"/>
    <mergeCell ref="N8"/>
    <mergeCell ref="O8"/>
    <mergeCell ref="P8"/>
    <mergeCell ref="Q8"/>
    <mergeCell ref="R8"/>
    <mergeCell ref="U7"/>
    <mergeCell ref="A6"/>
    <mergeCell ref="B6"/>
    <mergeCell ref="C6"/>
    <mergeCell ref="D6"/>
    <mergeCell ref="E6"/>
    <mergeCell ref="F6"/>
    <mergeCell ref="Q7"/>
    <mergeCell ref="R7"/>
    <mergeCell ref="A7"/>
    <mergeCell ref="B7"/>
    <mergeCell ref="C7"/>
    <mergeCell ref="D7"/>
    <mergeCell ref="E7"/>
    <mergeCell ref="F7"/>
    <mergeCell ref="G7"/>
    <mergeCell ref="H7"/>
    <mergeCell ref="G6"/>
    <mergeCell ref="H6"/>
    <mergeCell ref="I6"/>
    <mergeCell ref="J6"/>
    <mergeCell ref="K6"/>
    <mergeCell ref="L6"/>
    <mergeCell ref="I7"/>
    <mergeCell ref="S5"/>
    <mergeCell ref="T5"/>
    <mergeCell ref="S6"/>
    <mergeCell ref="T6"/>
    <mergeCell ref="U6"/>
    <mergeCell ref="J5"/>
    <mergeCell ref="K5"/>
    <mergeCell ref="L5"/>
    <mergeCell ref="M5"/>
    <mergeCell ref="N5"/>
    <mergeCell ref="O5"/>
    <mergeCell ref="P5"/>
    <mergeCell ref="M6"/>
    <mergeCell ref="N6"/>
    <mergeCell ref="O6"/>
    <mergeCell ref="P6"/>
    <mergeCell ref="Q6"/>
    <mergeCell ref="R6"/>
    <mergeCell ref="U5"/>
    <mergeCell ref="A4"/>
    <mergeCell ref="B4"/>
    <mergeCell ref="C4"/>
    <mergeCell ref="D4"/>
    <mergeCell ref="E4"/>
    <mergeCell ref="F4"/>
    <mergeCell ref="Q5"/>
    <mergeCell ref="R5"/>
    <mergeCell ref="A5"/>
    <mergeCell ref="B5"/>
    <mergeCell ref="C5"/>
    <mergeCell ref="D5"/>
    <mergeCell ref="E5"/>
    <mergeCell ref="F5"/>
    <mergeCell ref="G5"/>
    <mergeCell ref="H5"/>
    <mergeCell ref="G4"/>
    <mergeCell ref="H4"/>
    <mergeCell ref="I4"/>
    <mergeCell ref="J4"/>
    <mergeCell ref="K4"/>
    <mergeCell ref="L4"/>
    <mergeCell ref="I5"/>
    <mergeCell ref="S3"/>
    <mergeCell ref="T3"/>
    <mergeCell ref="S4"/>
    <mergeCell ref="T4"/>
    <mergeCell ref="U4"/>
    <mergeCell ref="J3"/>
    <mergeCell ref="K3"/>
    <mergeCell ref="L3"/>
    <mergeCell ref="M3"/>
    <mergeCell ref="N3"/>
    <mergeCell ref="O3"/>
    <mergeCell ref="P3"/>
    <mergeCell ref="M4"/>
    <mergeCell ref="N4"/>
    <mergeCell ref="O4"/>
    <mergeCell ref="P4"/>
    <mergeCell ref="Q4"/>
    <mergeCell ref="R4"/>
    <mergeCell ref="U3"/>
    <mergeCell ref="A2"/>
    <mergeCell ref="B2"/>
    <mergeCell ref="C2"/>
    <mergeCell ref="D2"/>
    <mergeCell ref="E2"/>
    <mergeCell ref="F2"/>
    <mergeCell ref="Q3"/>
    <mergeCell ref="R3"/>
    <mergeCell ref="A3"/>
    <mergeCell ref="B3"/>
    <mergeCell ref="C3"/>
    <mergeCell ref="D3"/>
    <mergeCell ref="E3"/>
    <mergeCell ref="F3"/>
    <mergeCell ref="G3"/>
    <mergeCell ref="H3"/>
    <mergeCell ref="G2"/>
    <mergeCell ref="H2"/>
    <mergeCell ref="I2"/>
    <mergeCell ref="J2"/>
    <mergeCell ref="K2"/>
    <mergeCell ref="L2"/>
    <mergeCell ref="I3"/>
    <mergeCell ref="S1"/>
    <mergeCell ref="T1"/>
    <mergeCell ref="S2"/>
    <mergeCell ref="T2"/>
    <mergeCell ref="U2"/>
    <mergeCell ref="J1"/>
    <mergeCell ref="K1"/>
    <mergeCell ref="L1"/>
    <mergeCell ref="M1"/>
    <mergeCell ref="N1"/>
    <mergeCell ref="O1"/>
    <mergeCell ref="P1"/>
    <mergeCell ref="M2"/>
    <mergeCell ref="N2"/>
    <mergeCell ref="O2"/>
    <mergeCell ref="P2"/>
    <mergeCell ref="Q2"/>
    <mergeCell ref="R2"/>
    <mergeCell ref="U1"/>
    <mergeCell ref="I1"/>
    <mergeCell ref="Q1"/>
    <mergeCell ref="R1"/>
    <mergeCell ref="A1"/>
    <mergeCell ref="B1"/>
    <mergeCell ref="C1"/>
    <mergeCell ref="D1"/>
    <mergeCell ref="E1"/>
    <mergeCell ref="F1"/>
    <mergeCell ref="G1"/>
    <mergeCell ref="H1"/>
  </mergeCells>
  <phoneticPr fontId="1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F2BC3-F273-451F-9263-71FFDE94D809}">
  <dimension ref="A1:M51"/>
  <sheetViews>
    <sheetView workbookViewId="0">
      <selection activeCell="C11" sqref="C11"/>
    </sheetView>
  </sheetViews>
  <sheetFormatPr defaultRowHeight="12"/>
  <cols>
    <col min="1" max="1" width="4.77734375" style="3151" bestFit="1" customWidth="1"/>
    <col min="2" max="2" width="21.33203125" style="3151" bestFit="1" customWidth="1"/>
    <col min="3" max="3" width="11.33203125" style="3151" bestFit="1" customWidth="1"/>
    <col min="4" max="5" width="13.109375" style="3151" bestFit="1" customWidth="1"/>
    <col min="6" max="6" width="29.21875" style="3151" bestFit="1" customWidth="1"/>
    <col min="7" max="7" width="8" style="3151" bestFit="1" customWidth="1"/>
    <col min="8" max="8" width="9.33203125" style="3151" bestFit="1" customWidth="1"/>
    <col min="9" max="9" width="11" style="3151" customWidth="1"/>
    <col min="10" max="10" width="9" style="3151" bestFit="1" customWidth="1"/>
    <col min="11" max="12" width="7.109375" style="3151" bestFit="1" customWidth="1"/>
    <col min="13" max="256" width="11" style="3151" customWidth="1"/>
    <col min="257" max="257" width="3.33203125" style="3151" customWidth="1"/>
    <col min="258" max="258" width="28.109375" style="3151" customWidth="1"/>
    <col min="259" max="259" width="13" style="3151" bestFit="1" customWidth="1"/>
    <col min="260" max="261" width="19" style="3151" customWidth="1"/>
    <col min="262" max="262" width="33.88671875" style="3151" customWidth="1"/>
    <col min="263" max="512" width="11" style="3151" customWidth="1"/>
    <col min="513" max="513" width="3.33203125" style="3151" customWidth="1"/>
    <col min="514" max="514" width="28.109375" style="3151" customWidth="1"/>
    <col min="515" max="515" width="13" style="3151" bestFit="1" customWidth="1"/>
    <col min="516" max="517" width="19" style="3151" customWidth="1"/>
    <col min="518" max="518" width="33.88671875" style="3151" customWidth="1"/>
    <col min="519" max="768" width="11" style="3151" customWidth="1"/>
    <col min="769" max="769" width="3.33203125" style="3151" customWidth="1"/>
    <col min="770" max="770" width="28.109375" style="3151" customWidth="1"/>
    <col min="771" max="771" width="13" style="3151" bestFit="1" customWidth="1"/>
    <col min="772" max="773" width="19" style="3151" customWidth="1"/>
    <col min="774" max="774" width="33.88671875" style="3151" customWidth="1"/>
    <col min="775" max="1024" width="11" style="3151" customWidth="1"/>
    <col min="1025" max="1025" width="3.33203125" style="3151" customWidth="1"/>
    <col min="1026" max="1026" width="28.109375" style="3151" customWidth="1"/>
    <col min="1027" max="1027" width="13" style="3151" bestFit="1" customWidth="1"/>
    <col min="1028" max="1029" width="19" style="3151" customWidth="1"/>
    <col min="1030" max="1030" width="33.88671875" style="3151" customWidth="1"/>
    <col min="1031" max="1280" width="11" style="3151" customWidth="1"/>
    <col min="1281" max="1281" width="3.33203125" style="3151" customWidth="1"/>
    <col min="1282" max="1282" width="28.109375" style="3151" customWidth="1"/>
    <col min="1283" max="1283" width="13" style="3151" bestFit="1" customWidth="1"/>
    <col min="1284" max="1285" width="19" style="3151" customWidth="1"/>
    <col min="1286" max="1286" width="33.88671875" style="3151" customWidth="1"/>
    <col min="1287" max="1536" width="11" style="3151" customWidth="1"/>
    <col min="1537" max="1537" width="3.33203125" style="3151" customWidth="1"/>
    <col min="1538" max="1538" width="28.109375" style="3151" customWidth="1"/>
    <col min="1539" max="1539" width="13" style="3151" bestFit="1" customWidth="1"/>
    <col min="1540" max="1541" width="19" style="3151" customWidth="1"/>
    <col min="1542" max="1542" width="33.88671875" style="3151" customWidth="1"/>
    <col min="1543" max="1792" width="11" style="3151" customWidth="1"/>
    <col min="1793" max="1793" width="3.33203125" style="3151" customWidth="1"/>
    <col min="1794" max="1794" width="28.109375" style="3151" customWidth="1"/>
    <col min="1795" max="1795" width="13" style="3151" bestFit="1" customWidth="1"/>
    <col min="1796" max="1797" width="19" style="3151" customWidth="1"/>
    <col min="1798" max="1798" width="33.88671875" style="3151" customWidth="1"/>
    <col min="1799" max="2048" width="11" style="3151" customWidth="1"/>
    <col min="2049" max="2049" width="3.33203125" style="3151" customWidth="1"/>
    <col min="2050" max="2050" width="28.109375" style="3151" customWidth="1"/>
    <col min="2051" max="2051" width="13" style="3151" bestFit="1" customWidth="1"/>
    <col min="2052" max="2053" width="19" style="3151" customWidth="1"/>
    <col min="2054" max="2054" width="33.88671875" style="3151" customWidth="1"/>
    <col min="2055" max="2304" width="11" style="3151" customWidth="1"/>
    <col min="2305" max="2305" width="3.33203125" style="3151" customWidth="1"/>
    <col min="2306" max="2306" width="28.109375" style="3151" customWidth="1"/>
    <col min="2307" max="2307" width="13" style="3151" bestFit="1" customWidth="1"/>
    <col min="2308" max="2309" width="19" style="3151" customWidth="1"/>
    <col min="2310" max="2310" width="33.88671875" style="3151" customWidth="1"/>
    <col min="2311" max="2560" width="11" style="3151" customWidth="1"/>
    <col min="2561" max="2561" width="3.33203125" style="3151" customWidth="1"/>
    <col min="2562" max="2562" width="28.109375" style="3151" customWidth="1"/>
    <col min="2563" max="2563" width="13" style="3151" bestFit="1" customWidth="1"/>
    <col min="2564" max="2565" width="19" style="3151" customWidth="1"/>
    <col min="2566" max="2566" width="33.88671875" style="3151" customWidth="1"/>
    <col min="2567" max="2816" width="11" style="3151" customWidth="1"/>
    <col min="2817" max="2817" width="3.33203125" style="3151" customWidth="1"/>
    <col min="2818" max="2818" width="28.109375" style="3151" customWidth="1"/>
    <col min="2819" max="2819" width="13" style="3151" bestFit="1" customWidth="1"/>
    <col min="2820" max="2821" width="19" style="3151" customWidth="1"/>
    <col min="2822" max="2822" width="33.88671875" style="3151" customWidth="1"/>
    <col min="2823" max="3072" width="11" style="3151" customWidth="1"/>
    <col min="3073" max="3073" width="3.33203125" style="3151" customWidth="1"/>
    <col min="3074" max="3074" width="28.109375" style="3151" customWidth="1"/>
    <col min="3075" max="3075" width="13" style="3151" bestFit="1" customWidth="1"/>
    <col min="3076" max="3077" width="19" style="3151" customWidth="1"/>
    <col min="3078" max="3078" width="33.88671875" style="3151" customWidth="1"/>
    <col min="3079" max="3328" width="11" style="3151" customWidth="1"/>
    <col min="3329" max="3329" width="3.33203125" style="3151" customWidth="1"/>
    <col min="3330" max="3330" width="28.109375" style="3151" customWidth="1"/>
    <col min="3331" max="3331" width="13" style="3151" bestFit="1" customWidth="1"/>
    <col min="3332" max="3333" width="19" style="3151" customWidth="1"/>
    <col min="3334" max="3334" width="33.88671875" style="3151" customWidth="1"/>
    <col min="3335" max="3584" width="11" style="3151" customWidth="1"/>
    <col min="3585" max="3585" width="3.33203125" style="3151" customWidth="1"/>
    <col min="3586" max="3586" width="28.109375" style="3151" customWidth="1"/>
    <col min="3587" max="3587" width="13" style="3151" bestFit="1" customWidth="1"/>
    <col min="3588" max="3589" width="19" style="3151" customWidth="1"/>
    <col min="3590" max="3590" width="33.88671875" style="3151" customWidth="1"/>
    <col min="3591" max="3840" width="11" style="3151" customWidth="1"/>
    <col min="3841" max="3841" width="3.33203125" style="3151" customWidth="1"/>
    <col min="3842" max="3842" width="28.109375" style="3151" customWidth="1"/>
    <col min="3843" max="3843" width="13" style="3151" bestFit="1" customWidth="1"/>
    <col min="3844" max="3845" width="19" style="3151" customWidth="1"/>
    <col min="3846" max="3846" width="33.88671875" style="3151" customWidth="1"/>
    <col min="3847" max="4096" width="11" style="3151" customWidth="1"/>
    <col min="4097" max="4097" width="3.33203125" style="3151" customWidth="1"/>
    <col min="4098" max="4098" width="28.109375" style="3151" customWidth="1"/>
    <col min="4099" max="4099" width="13" style="3151" bestFit="1" customWidth="1"/>
    <col min="4100" max="4101" width="19" style="3151" customWidth="1"/>
    <col min="4102" max="4102" width="33.88671875" style="3151" customWidth="1"/>
    <col min="4103" max="4352" width="11" style="3151" customWidth="1"/>
    <col min="4353" max="4353" width="3.33203125" style="3151" customWidth="1"/>
    <col min="4354" max="4354" width="28.109375" style="3151" customWidth="1"/>
    <col min="4355" max="4355" width="13" style="3151" bestFit="1" customWidth="1"/>
    <col min="4356" max="4357" width="19" style="3151" customWidth="1"/>
    <col min="4358" max="4358" width="33.88671875" style="3151" customWidth="1"/>
    <col min="4359" max="4608" width="11" style="3151" customWidth="1"/>
    <col min="4609" max="4609" width="3.33203125" style="3151" customWidth="1"/>
    <col min="4610" max="4610" width="28.109375" style="3151" customWidth="1"/>
    <col min="4611" max="4611" width="13" style="3151" bestFit="1" customWidth="1"/>
    <col min="4612" max="4613" width="19" style="3151" customWidth="1"/>
    <col min="4614" max="4614" width="33.88671875" style="3151" customWidth="1"/>
    <col min="4615" max="4864" width="11" style="3151" customWidth="1"/>
    <col min="4865" max="4865" width="3.33203125" style="3151" customWidth="1"/>
    <col min="4866" max="4866" width="28.109375" style="3151" customWidth="1"/>
    <col min="4867" max="4867" width="13" style="3151" bestFit="1" customWidth="1"/>
    <col min="4868" max="4869" width="19" style="3151" customWidth="1"/>
    <col min="4870" max="4870" width="33.88671875" style="3151" customWidth="1"/>
    <col min="4871" max="5120" width="11" style="3151" customWidth="1"/>
    <col min="5121" max="5121" width="3.33203125" style="3151" customWidth="1"/>
    <col min="5122" max="5122" width="28.109375" style="3151" customWidth="1"/>
    <col min="5123" max="5123" width="13" style="3151" bestFit="1" customWidth="1"/>
    <col min="5124" max="5125" width="19" style="3151" customWidth="1"/>
    <col min="5126" max="5126" width="33.88671875" style="3151" customWidth="1"/>
    <col min="5127" max="5376" width="11" style="3151" customWidth="1"/>
    <col min="5377" max="5377" width="3.33203125" style="3151" customWidth="1"/>
    <col min="5378" max="5378" width="28.109375" style="3151" customWidth="1"/>
    <col min="5379" max="5379" width="13" style="3151" bestFit="1" customWidth="1"/>
    <col min="5380" max="5381" width="19" style="3151" customWidth="1"/>
    <col min="5382" max="5382" width="33.88671875" style="3151" customWidth="1"/>
    <col min="5383" max="5632" width="11" style="3151" customWidth="1"/>
    <col min="5633" max="5633" width="3.33203125" style="3151" customWidth="1"/>
    <col min="5634" max="5634" width="28.109375" style="3151" customWidth="1"/>
    <col min="5635" max="5635" width="13" style="3151" bestFit="1" customWidth="1"/>
    <col min="5636" max="5637" width="19" style="3151" customWidth="1"/>
    <col min="5638" max="5638" width="33.88671875" style="3151" customWidth="1"/>
    <col min="5639" max="5888" width="11" style="3151" customWidth="1"/>
    <col min="5889" max="5889" width="3.33203125" style="3151" customWidth="1"/>
    <col min="5890" max="5890" width="28.109375" style="3151" customWidth="1"/>
    <col min="5891" max="5891" width="13" style="3151" bestFit="1" customWidth="1"/>
    <col min="5892" max="5893" width="19" style="3151" customWidth="1"/>
    <col min="5894" max="5894" width="33.88671875" style="3151" customWidth="1"/>
    <col min="5895" max="6144" width="11" style="3151" customWidth="1"/>
    <col min="6145" max="6145" width="3.33203125" style="3151" customWidth="1"/>
    <col min="6146" max="6146" width="28.109375" style="3151" customWidth="1"/>
    <col min="6147" max="6147" width="13" style="3151" bestFit="1" customWidth="1"/>
    <col min="6148" max="6149" width="19" style="3151" customWidth="1"/>
    <col min="6150" max="6150" width="33.88671875" style="3151" customWidth="1"/>
    <col min="6151" max="6400" width="11" style="3151" customWidth="1"/>
    <col min="6401" max="6401" width="3.33203125" style="3151" customWidth="1"/>
    <col min="6402" max="6402" width="28.109375" style="3151" customWidth="1"/>
    <col min="6403" max="6403" width="13" style="3151" bestFit="1" customWidth="1"/>
    <col min="6404" max="6405" width="19" style="3151" customWidth="1"/>
    <col min="6406" max="6406" width="33.88671875" style="3151" customWidth="1"/>
    <col min="6407" max="6656" width="11" style="3151" customWidth="1"/>
    <col min="6657" max="6657" width="3.33203125" style="3151" customWidth="1"/>
    <col min="6658" max="6658" width="28.109375" style="3151" customWidth="1"/>
    <col min="6659" max="6659" width="13" style="3151" bestFit="1" customWidth="1"/>
    <col min="6660" max="6661" width="19" style="3151" customWidth="1"/>
    <col min="6662" max="6662" width="33.88671875" style="3151" customWidth="1"/>
    <col min="6663" max="6912" width="11" style="3151" customWidth="1"/>
    <col min="6913" max="6913" width="3.33203125" style="3151" customWidth="1"/>
    <col min="6914" max="6914" width="28.109375" style="3151" customWidth="1"/>
    <col min="6915" max="6915" width="13" style="3151" bestFit="1" customWidth="1"/>
    <col min="6916" max="6917" width="19" style="3151" customWidth="1"/>
    <col min="6918" max="6918" width="33.88671875" style="3151" customWidth="1"/>
    <col min="6919" max="7168" width="11" style="3151" customWidth="1"/>
    <col min="7169" max="7169" width="3.33203125" style="3151" customWidth="1"/>
    <col min="7170" max="7170" width="28.109375" style="3151" customWidth="1"/>
    <col min="7171" max="7171" width="13" style="3151" bestFit="1" customWidth="1"/>
    <col min="7172" max="7173" width="19" style="3151" customWidth="1"/>
    <col min="7174" max="7174" width="33.88671875" style="3151" customWidth="1"/>
    <col min="7175" max="7424" width="11" style="3151" customWidth="1"/>
    <col min="7425" max="7425" width="3.33203125" style="3151" customWidth="1"/>
    <col min="7426" max="7426" width="28.109375" style="3151" customWidth="1"/>
    <col min="7427" max="7427" width="13" style="3151" bestFit="1" customWidth="1"/>
    <col min="7428" max="7429" width="19" style="3151" customWidth="1"/>
    <col min="7430" max="7430" width="33.88671875" style="3151" customWidth="1"/>
    <col min="7431" max="7680" width="11" style="3151" customWidth="1"/>
    <col min="7681" max="7681" width="3.33203125" style="3151" customWidth="1"/>
    <col min="7682" max="7682" width="28.109375" style="3151" customWidth="1"/>
    <col min="7683" max="7683" width="13" style="3151" bestFit="1" customWidth="1"/>
    <col min="7684" max="7685" width="19" style="3151" customWidth="1"/>
    <col min="7686" max="7686" width="33.88671875" style="3151" customWidth="1"/>
    <col min="7687" max="7936" width="11" style="3151" customWidth="1"/>
    <col min="7937" max="7937" width="3.33203125" style="3151" customWidth="1"/>
    <col min="7938" max="7938" width="28.109375" style="3151" customWidth="1"/>
    <col min="7939" max="7939" width="13" style="3151" bestFit="1" customWidth="1"/>
    <col min="7940" max="7941" width="19" style="3151" customWidth="1"/>
    <col min="7942" max="7942" width="33.88671875" style="3151" customWidth="1"/>
    <col min="7943" max="8192" width="11" style="3151" customWidth="1"/>
    <col min="8193" max="8193" width="3.33203125" style="3151" customWidth="1"/>
    <col min="8194" max="8194" width="28.109375" style="3151" customWidth="1"/>
    <col min="8195" max="8195" width="13" style="3151" bestFit="1" customWidth="1"/>
    <col min="8196" max="8197" width="19" style="3151" customWidth="1"/>
    <col min="8198" max="8198" width="33.88671875" style="3151" customWidth="1"/>
    <col min="8199" max="8448" width="11" style="3151" customWidth="1"/>
    <col min="8449" max="8449" width="3.33203125" style="3151" customWidth="1"/>
    <col min="8450" max="8450" width="28.109375" style="3151" customWidth="1"/>
    <col min="8451" max="8451" width="13" style="3151" bestFit="1" customWidth="1"/>
    <col min="8452" max="8453" width="19" style="3151" customWidth="1"/>
    <col min="8454" max="8454" width="33.88671875" style="3151" customWidth="1"/>
    <col min="8455" max="8704" width="11" style="3151" customWidth="1"/>
    <col min="8705" max="8705" width="3.33203125" style="3151" customWidth="1"/>
    <col min="8706" max="8706" width="28.109375" style="3151" customWidth="1"/>
    <col min="8707" max="8707" width="13" style="3151" bestFit="1" customWidth="1"/>
    <col min="8708" max="8709" width="19" style="3151" customWidth="1"/>
    <col min="8710" max="8710" width="33.88671875" style="3151" customWidth="1"/>
    <col min="8711" max="8960" width="11" style="3151" customWidth="1"/>
    <col min="8961" max="8961" width="3.33203125" style="3151" customWidth="1"/>
    <col min="8962" max="8962" width="28.109375" style="3151" customWidth="1"/>
    <col min="8963" max="8963" width="13" style="3151" bestFit="1" customWidth="1"/>
    <col min="8964" max="8965" width="19" style="3151" customWidth="1"/>
    <col min="8966" max="8966" width="33.88671875" style="3151" customWidth="1"/>
    <col min="8967" max="9216" width="11" style="3151" customWidth="1"/>
    <col min="9217" max="9217" width="3.33203125" style="3151" customWidth="1"/>
    <col min="9218" max="9218" width="28.109375" style="3151" customWidth="1"/>
    <col min="9219" max="9219" width="13" style="3151" bestFit="1" customWidth="1"/>
    <col min="9220" max="9221" width="19" style="3151" customWidth="1"/>
    <col min="9222" max="9222" width="33.88671875" style="3151" customWidth="1"/>
    <col min="9223" max="9472" width="11" style="3151" customWidth="1"/>
    <col min="9473" max="9473" width="3.33203125" style="3151" customWidth="1"/>
    <col min="9474" max="9474" width="28.109375" style="3151" customWidth="1"/>
    <col min="9475" max="9475" width="13" style="3151" bestFit="1" customWidth="1"/>
    <col min="9476" max="9477" width="19" style="3151" customWidth="1"/>
    <col min="9478" max="9478" width="33.88671875" style="3151" customWidth="1"/>
    <col min="9479" max="9728" width="11" style="3151" customWidth="1"/>
    <col min="9729" max="9729" width="3.33203125" style="3151" customWidth="1"/>
    <col min="9730" max="9730" width="28.109375" style="3151" customWidth="1"/>
    <col min="9731" max="9731" width="13" style="3151" bestFit="1" customWidth="1"/>
    <col min="9732" max="9733" width="19" style="3151" customWidth="1"/>
    <col min="9734" max="9734" width="33.88671875" style="3151" customWidth="1"/>
    <col min="9735" max="9984" width="11" style="3151" customWidth="1"/>
    <col min="9985" max="9985" width="3.33203125" style="3151" customWidth="1"/>
    <col min="9986" max="9986" width="28.109375" style="3151" customWidth="1"/>
    <col min="9987" max="9987" width="13" style="3151" bestFit="1" customWidth="1"/>
    <col min="9988" max="9989" width="19" style="3151" customWidth="1"/>
    <col min="9990" max="9990" width="33.88671875" style="3151" customWidth="1"/>
    <col min="9991" max="10240" width="11" style="3151" customWidth="1"/>
    <col min="10241" max="10241" width="3.33203125" style="3151" customWidth="1"/>
    <col min="10242" max="10242" width="28.109375" style="3151" customWidth="1"/>
    <col min="10243" max="10243" width="13" style="3151" bestFit="1" customWidth="1"/>
    <col min="10244" max="10245" width="19" style="3151" customWidth="1"/>
    <col min="10246" max="10246" width="33.88671875" style="3151" customWidth="1"/>
    <col min="10247" max="10496" width="11" style="3151" customWidth="1"/>
    <col min="10497" max="10497" width="3.33203125" style="3151" customWidth="1"/>
    <col min="10498" max="10498" width="28.109375" style="3151" customWidth="1"/>
    <col min="10499" max="10499" width="13" style="3151" bestFit="1" customWidth="1"/>
    <col min="10500" max="10501" width="19" style="3151" customWidth="1"/>
    <col min="10502" max="10502" width="33.88671875" style="3151" customWidth="1"/>
    <col min="10503" max="10752" width="11" style="3151" customWidth="1"/>
    <col min="10753" max="10753" width="3.33203125" style="3151" customWidth="1"/>
    <col min="10754" max="10754" width="28.109375" style="3151" customWidth="1"/>
    <col min="10755" max="10755" width="13" style="3151" bestFit="1" customWidth="1"/>
    <col min="10756" max="10757" width="19" style="3151" customWidth="1"/>
    <col min="10758" max="10758" width="33.88671875" style="3151" customWidth="1"/>
    <col min="10759" max="11008" width="11" style="3151" customWidth="1"/>
    <col min="11009" max="11009" width="3.33203125" style="3151" customWidth="1"/>
    <col min="11010" max="11010" width="28.109375" style="3151" customWidth="1"/>
    <col min="11011" max="11011" width="13" style="3151" bestFit="1" customWidth="1"/>
    <col min="11012" max="11013" width="19" style="3151" customWidth="1"/>
    <col min="11014" max="11014" width="33.88671875" style="3151" customWidth="1"/>
    <col min="11015" max="11264" width="11" style="3151" customWidth="1"/>
    <col min="11265" max="11265" width="3.33203125" style="3151" customWidth="1"/>
    <col min="11266" max="11266" width="28.109375" style="3151" customWidth="1"/>
    <col min="11267" max="11267" width="13" style="3151" bestFit="1" customWidth="1"/>
    <col min="11268" max="11269" width="19" style="3151" customWidth="1"/>
    <col min="11270" max="11270" width="33.88671875" style="3151" customWidth="1"/>
    <col min="11271" max="11520" width="11" style="3151" customWidth="1"/>
    <col min="11521" max="11521" width="3.33203125" style="3151" customWidth="1"/>
    <col min="11522" max="11522" width="28.109375" style="3151" customWidth="1"/>
    <col min="11523" max="11523" width="13" style="3151" bestFit="1" customWidth="1"/>
    <col min="11524" max="11525" width="19" style="3151" customWidth="1"/>
    <col min="11526" max="11526" width="33.88671875" style="3151" customWidth="1"/>
    <col min="11527" max="11776" width="11" style="3151" customWidth="1"/>
    <col min="11777" max="11777" width="3.33203125" style="3151" customWidth="1"/>
    <col min="11778" max="11778" width="28.109375" style="3151" customWidth="1"/>
    <col min="11779" max="11779" width="13" style="3151" bestFit="1" customWidth="1"/>
    <col min="11780" max="11781" width="19" style="3151" customWidth="1"/>
    <col min="11782" max="11782" width="33.88671875" style="3151" customWidth="1"/>
    <col min="11783" max="12032" width="11" style="3151" customWidth="1"/>
    <col min="12033" max="12033" width="3.33203125" style="3151" customWidth="1"/>
    <col min="12034" max="12034" width="28.109375" style="3151" customWidth="1"/>
    <col min="12035" max="12035" width="13" style="3151" bestFit="1" customWidth="1"/>
    <col min="12036" max="12037" width="19" style="3151" customWidth="1"/>
    <col min="12038" max="12038" width="33.88671875" style="3151" customWidth="1"/>
    <col min="12039" max="12288" width="11" style="3151" customWidth="1"/>
    <col min="12289" max="12289" width="3.33203125" style="3151" customWidth="1"/>
    <col min="12290" max="12290" width="28.109375" style="3151" customWidth="1"/>
    <col min="12291" max="12291" width="13" style="3151" bestFit="1" customWidth="1"/>
    <col min="12292" max="12293" width="19" style="3151" customWidth="1"/>
    <col min="12294" max="12294" width="33.88671875" style="3151" customWidth="1"/>
    <col min="12295" max="12544" width="11" style="3151" customWidth="1"/>
    <col min="12545" max="12545" width="3.33203125" style="3151" customWidth="1"/>
    <col min="12546" max="12546" width="28.109375" style="3151" customWidth="1"/>
    <col min="12547" max="12547" width="13" style="3151" bestFit="1" customWidth="1"/>
    <col min="12548" max="12549" width="19" style="3151" customWidth="1"/>
    <col min="12550" max="12550" width="33.88671875" style="3151" customWidth="1"/>
    <col min="12551" max="12800" width="11" style="3151" customWidth="1"/>
    <col min="12801" max="12801" width="3.33203125" style="3151" customWidth="1"/>
    <col min="12802" max="12802" width="28.109375" style="3151" customWidth="1"/>
    <col min="12803" max="12803" width="13" style="3151" bestFit="1" customWidth="1"/>
    <col min="12804" max="12805" width="19" style="3151" customWidth="1"/>
    <col min="12806" max="12806" width="33.88671875" style="3151" customWidth="1"/>
    <col min="12807" max="13056" width="11" style="3151" customWidth="1"/>
    <col min="13057" max="13057" width="3.33203125" style="3151" customWidth="1"/>
    <col min="13058" max="13058" width="28.109375" style="3151" customWidth="1"/>
    <col min="13059" max="13059" width="13" style="3151" bestFit="1" customWidth="1"/>
    <col min="13060" max="13061" width="19" style="3151" customWidth="1"/>
    <col min="13062" max="13062" width="33.88671875" style="3151" customWidth="1"/>
    <col min="13063" max="13312" width="11" style="3151" customWidth="1"/>
    <col min="13313" max="13313" width="3.33203125" style="3151" customWidth="1"/>
    <col min="13314" max="13314" width="28.109375" style="3151" customWidth="1"/>
    <col min="13315" max="13315" width="13" style="3151" bestFit="1" customWidth="1"/>
    <col min="13316" max="13317" width="19" style="3151" customWidth="1"/>
    <col min="13318" max="13318" width="33.88671875" style="3151" customWidth="1"/>
    <col min="13319" max="13568" width="11" style="3151" customWidth="1"/>
    <col min="13569" max="13569" width="3.33203125" style="3151" customWidth="1"/>
    <col min="13570" max="13570" width="28.109375" style="3151" customWidth="1"/>
    <col min="13571" max="13571" width="13" style="3151" bestFit="1" customWidth="1"/>
    <col min="13572" max="13573" width="19" style="3151" customWidth="1"/>
    <col min="13574" max="13574" width="33.88671875" style="3151" customWidth="1"/>
    <col min="13575" max="13824" width="11" style="3151" customWidth="1"/>
    <col min="13825" max="13825" width="3.33203125" style="3151" customWidth="1"/>
    <col min="13826" max="13826" width="28.109375" style="3151" customWidth="1"/>
    <col min="13827" max="13827" width="13" style="3151" bestFit="1" customWidth="1"/>
    <col min="13828" max="13829" width="19" style="3151" customWidth="1"/>
    <col min="13830" max="13830" width="33.88671875" style="3151" customWidth="1"/>
    <col min="13831" max="14080" width="11" style="3151" customWidth="1"/>
    <col min="14081" max="14081" width="3.33203125" style="3151" customWidth="1"/>
    <col min="14082" max="14082" width="28.109375" style="3151" customWidth="1"/>
    <col min="14083" max="14083" width="13" style="3151" bestFit="1" customWidth="1"/>
    <col min="14084" max="14085" width="19" style="3151" customWidth="1"/>
    <col min="14086" max="14086" width="33.88671875" style="3151" customWidth="1"/>
    <col min="14087" max="14336" width="11" style="3151" customWidth="1"/>
    <col min="14337" max="14337" width="3.33203125" style="3151" customWidth="1"/>
    <col min="14338" max="14338" width="28.109375" style="3151" customWidth="1"/>
    <col min="14339" max="14339" width="13" style="3151" bestFit="1" customWidth="1"/>
    <col min="14340" max="14341" width="19" style="3151" customWidth="1"/>
    <col min="14342" max="14342" width="33.88671875" style="3151" customWidth="1"/>
    <col min="14343" max="14592" width="11" style="3151" customWidth="1"/>
    <col min="14593" max="14593" width="3.33203125" style="3151" customWidth="1"/>
    <col min="14594" max="14594" width="28.109375" style="3151" customWidth="1"/>
    <col min="14595" max="14595" width="13" style="3151" bestFit="1" customWidth="1"/>
    <col min="14596" max="14597" width="19" style="3151" customWidth="1"/>
    <col min="14598" max="14598" width="33.88671875" style="3151" customWidth="1"/>
    <col min="14599" max="14848" width="11" style="3151" customWidth="1"/>
    <col min="14849" max="14849" width="3.33203125" style="3151" customWidth="1"/>
    <col min="14850" max="14850" width="28.109375" style="3151" customWidth="1"/>
    <col min="14851" max="14851" width="13" style="3151" bestFit="1" customWidth="1"/>
    <col min="14852" max="14853" width="19" style="3151" customWidth="1"/>
    <col min="14854" max="14854" width="33.88671875" style="3151" customWidth="1"/>
    <col min="14855" max="15104" width="11" style="3151" customWidth="1"/>
    <col min="15105" max="15105" width="3.33203125" style="3151" customWidth="1"/>
    <col min="15106" max="15106" width="28.109375" style="3151" customWidth="1"/>
    <col min="15107" max="15107" width="13" style="3151" bestFit="1" customWidth="1"/>
    <col min="15108" max="15109" width="19" style="3151" customWidth="1"/>
    <col min="15110" max="15110" width="33.88671875" style="3151" customWidth="1"/>
    <col min="15111" max="15360" width="11" style="3151" customWidth="1"/>
    <col min="15361" max="15361" width="3.33203125" style="3151" customWidth="1"/>
    <col min="15362" max="15362" width="28.109375" style="3151" customWidth="1"/>
    <col min="15363" max="15363" width="13" style="3151" bestFit="1" customWidth="1"/>
    <col min="15364" max="15365" width="19" style="3151" customWidth="1"/>
    <col min="15366" max="15366" width="33.88671875" style="3151" customWidth="1"/>
    <col min="15367" max="15616" width="11" style="3151" customWidth="1"/>
    <col min="15617" max="15617" width="3.33203125" style="3151" customWidth="1"/>
    <col min="15618" max="15618" width="28.109375" style="3151" customWidth="1"/>
    <col min="15619" max="15619" width="13" style="3151" bestFit="1" customWidth="1"/>
    <col min="15620" max="15621" width="19" style="3151" customWidth="1"/>
    <col min="15622" max="15622" width="33.88671875" style="3151" customWidth="1"/>
    <col min="15623" max="15872" width="11" style="3151" customWidth="1"/>
    <col min="15873" max="15873" width="3.33203125" style="3151" customWidth="1"/>
    <col min="15874" max="15874" width="28.109375" style="3151" customWidth="1"/>
    <col min="15875" max="15875" width="13" style="3151" bestFit="1" customWidth="1"/>
    <col min="15876" max="15877" width="19" style="3151" customWidth="1"/>
    <col min="15878" max="15878" width="33.88671875" style="3151" customWidth="1"/>
    <col min="15879" max="16128" width="11" style="3151" customWidth="1"/>
    <col min="16129" max="16129" width="3.33203125" style="3151" customWidth="1"/>
    <col min="16130" max="16130" width="28.109375" style="3151" customWidth="1"/>
    <col min="16131" max="16131" width="13" style="3151" bestFit="1" customWidth="1"/>
    <col min="16132" max="16133" width="19" style="3151" customWidth="1"/>
    <col min="16134" max="16134" width="33.88671875" style="3151" customWidth="1"/>
    <col min="16135" max="16384" width="11" style="3151" customWidth="1"/>
  </cols>
  <sheetData>
    <row r="1" spans="1:13">
      <c r="A1" s="3242" t="s">
        <v>3396</v>
      </c>
      <c r="B1" s="3242"/>
      <c r="C1" s="3242"/>
      <c r="D1" s="3242"/>
      <c r="E1" s="3242"/>
      <c r="F1" s="3243"/>
    </row>
    <row r="2" spans="1:13">
      <c r="A2" s="3244" t="s">
        <v>3397</v>
      </c>
      <c r="B2" s="3244"/>
      <c r="C2" s="3244"/>
      <c r="D2" s="3244"/>
      <c r="E2" s="3244"/>
      <c r="F2" s="3245"/>
      <c r="J2" s="3153" t="s">
        <v>3398</v>
      </c>
    </row>
    <row r="3" spans="1:13" ht="24">
      <c r="A3" s="3153" t="s">
        <v>3399</v>
      </c>
      <c r="B3" s="3153" t="s">
        <v>3400</v>
      </c>
      <c r="C3" s="3154" t="s">
        <v>3401</v>
      </c>
      <c r="D3" s="3154" t="s">
        <v>3402</v>
      </c>
      <c r="E3" s="3153" t="s">
        <v>3403</v>
      </c>
      <c r="F3" s="3153" t="s">
        <v>3404</v>
      </c>
      <c r="G3" s="3153" t="s">
        <v>3405</v>
      </c>
      <c r="H3" s="3153" t="s">
        <v>3406</v>
      </c>
      <c r="J3" s="3155" t="s">
        <v>3407</v>
      </c>
      <c r="K3" s="3155" t="s">
        <v>3408</v>
      </c>
      <c r="L3" s="3155" t="s">
        <v>3409</v>
      </c>
      <c r="M3" s="3155" t="s">
        <v>3380</v>
      </c>
    </row>
    <row r="4" spans="1:13">
      <c r="A4" s="3153">
        <v>1</v>
      </c>
      <c r="B4" s="3153" t="s">
        <v>3410</v>
      </c>
      <c r="C4" s="3153">
        <f>D4+E4</f>
        <v>1908.63</v>
      </c>
      <c r="D4" s="3153">
        <v>1118.68</v>
      </c>
      <c r="E4" s="3153">
        <v>789.95</v>
      </c>
      <c r="F4" s="3153" t="s">
        <v>3411</v>
      </c>
      <c r="G4" s="3153">
        <f>E39</f>
        <v>10000</v>
      </c>
      <c r="H4" s="3153">
        <f>ROUND(G4*C4/10000,0)</f>
        <v>1909</v>
      </c>
      <c r="J4" s="3153">
        <f t="shared" ref="J4:J17" si="0">ROUND($J$25*C4/($C$24-$C$18-$C$23),0)</f>
        <v>2924</v>
      </c>
      <c r="K4" s="3153">
        <f t="shared" ref="K4:K17" si="1">ROUND($K$25*H4/($H$24-$H$18-$H$23),0)</f>
        <v>2515</v>
      </c>
      <c r="L4" s="3153">
        <f>J4+K4</f>
        <v>5439</v>
      </c>
      <c r="M4" s="3153">
        <f>ROUND(L4/C4*10000,0)</f>
        <v>28497</v>
      </c>
    </row>
    <row r="5" spans="1:13" ht="12" customHeight="1">
      <c r="A5" s="3153">
        <v>2</v>
      </c>
      <c r="B5" s="3153" t="s">
        <v>3412</v>
      </c>
      <c r="C5" s="3153">
        <f t="shared" ref="C5:C23" si="2">D5+E5</f>
        <v>1232.79</v>
      </c>
      <c r="D5" s="3153">
        <v>742.75</v>
      </c>
      <c r="E5" s="3153">
        <v>490.04</v>
      </c>
      <c r="F5" s="3153" t="s">
        <v>3413</v>
      </c>
      <c r="G5" s="3153">
        <f>G4</f>
        <v>10000</v>
      </c>
      <c r="H5" s="3153">
        <f t="shared" ref="H5:H23" si="3">ROUND(G5*C5/10000,0)</f>
        <v>1233</v>
      </c>
      <c r="J5" s="3153">
        <f t="shared" si="0"/>
        <v>1889</v>
      </c>
      <c r="K5" s="3153">
        <f t="shared" si="1"/>
        <v>1624</v>
      </c>
      <c r="L5" s="3153">
        <f t="shared" ref="L5:L23" si="4">J5+K5</f>
        <v>3513</v>
      </c>
      <c r="M5" s="3153">
        <f t="shared" ref="M5:M23" si="5">ROUND(L5/C5*10000,0)</f>
        <v>28496</v>
      </c>
    </row>
    <row r="6" spans="1:13" ht="12" customHeight="1">
      <c r="A6" s="3153">
        <v>3</v>
      </c>
      <c r="B6" s="3153" t="s">
        <v>3414</v>
      </c>
      <c r="C6" s="3153">
        <f t="shared" si="2"/>
        <v>1231.76</v>
      </c>
      <c r="D6" s="3153">
        <v>742.75</v>
      </c>
      <c r="E6" s="3153">
        <v>489.01</v>
      </c>
      <c r="F6" s="3153" t="s">
        <v>3415</v>
      </c>
      <c r="G6" s="3153">
        <f t="shared" ref="G6:G20" si="6">G5</f>
        <v>10000</v>
      </c>
      <c r="H6" s="3153">
        <f t="shared" si="3"/>
        <v>1232</v>
      </c>
      <c r="J6" s="3153">
        <f t="shared" si="0"/>
        <v>1887</v>
      </c>
      <c r="K6" s="3153">
        <f t="shared" si="1"/>
        <v>1623</v>
      </c>
      <c r="L6" s="3153">
        <f t="shared" si="4"/>
        <v>3510</v>
      </c>
      <c r="M6" s="3153">
        <f t="shared" si="5"/>
        <v>28496</v>
      </c>
    </row>
    <row r="7" spans="1:13" ht="13.5" customHeight="1">
      <c r="A7" s="3153">
        <v>4</v>
      </c>
      <c r="B7" s="3153" t="s">
        <v>3416</v>
      </c>
      <c r="C7" s="3153">
        <f t="shared" si="2"/>
        <v>671.72</v>
      </c>
      <c r="D7" s="3153">
        <v>671.72</v>
      </c>
      <c r="E7" s="3153">
        <v>0</v>
      </c>
      <c r="F7" s="3153" t="s">
        <v>3417</v>
      </c>
      <c r="G7" s="3153">
        <v>20000</v>
      </c>
      <c r="H7" s="3153">
        <f t="shared" si="3"/>
        <v>1343</v>
      </c>
      <c r="I7" s="3151">
        <f>G6+(20000000/C21)</f>
        <v>26239.829806583628</v>
      </c>
      <c r="J7" s="3153">
        <f t="shared" si="0"/>
        <v>1029</v>
      </c>
      <c r="K7" s="3153">
        <f t="shared" si="1"/>
        <v>1769</v>
      </c>
      <c r="L7" s="3153">
        <f t="shared" si="4"/>
        <v>2798</v>
      </c>
      <c r="M7" s="3153">
        <f t="shared" si="5"/>
        <v>41654</v>
      </c>
    </row>
    <row r="8" spans="1:13" ht="12" customHeight="1">
      <c r="A8" s="3153">
        <v>5</v>
      </c>
      <c r="B8" s="3153" t="s">
        <v>3418</v>
      </c>
      <c r="C8" s="3153">
        <f t="shared" si="2"/>
        <v>981.81999999999994</v>
      </c>
      <c r="D8" s="3153">
        <v>598.38</v>
      </c>
      <c r="E8" s="3153">
        <v>383.44</v>
      </c>
      <c r="F8" s="3153" t="s">
        <v>3419</v>
      </c>
      <c r="G8" s="3153">
        <f>G4</f>
        <v>10000</v>
      </c>
      <c r="H8" s="3153">
        <f t="shared" si="3"/>
        <v>982</v>
      </c>
      <c r="J8" s="3153">
        <f t="shared" si="0"/>
        <v>1504</v>
      </c>
      <c r="K8" s="3153">
        <f t="shared" si="1"/>
        <v>1294</v>
      </c>
      <c r="L8" s="3153">
        <f t="shared" si="4"/>
        <v>2798</v>
      </c>
      <c r="M8" s="3153">
        <f t="shared" si="5"/>
        <v>28498</v>
      </c>
    </row>
    <row r="9" spans="1:13" ht="12" customHeight="1">
      <c r="A9" s="3153">
        <v>6</v>
      </c>
      <c r="B9" s="3153" t="s">
        <v>3420</v>
      </c>
      <c r="C9" s="3153">
        <f t="shared" si="2"/>
        <v>1232.79</v>
      </c>
      <c r="D9" s="3153">
        <v>742.75</v>
      </c>
      <c r="E9" s="3153">
        <v>490.04</v>
      </c>
      <c r="F9" s="3153" t="s">
        <v>3421</v>
      </c>
      <c r="G9" s="3153">
        <f t="shared" si="6"/>
        <v>10000</v>
      </c>
      <c r="H9" s="3153">
        <f t="shared" si="3"/>
        <v>1233</v>
      </c>
      <c r="J9" s="3153">
        <f t="shared" si="0"/>
        <v>1889</v>
      </c>
      <c r="K9" s="3153">
        <f t="shared" si="1"/>
        <v>1624</v>
      </c>
      <c r="L9" s="3153">
        <f t="shared" si="4"/>
        <v>3513</v>
      </c>
      <c r="M9" s="3153">
        <f t="shared" si="5"/>
        <v>28496</v>
      </c>
    </row>
    <row r="10" spans="1:13">
      <c r="A10" s="3153">
        <v>7</v>
      </c>
      <c r="B10" s="3153" t="s">
        <v>3422</v>
      </c>
      <c r="C10" s="3153">
        <f t="shared" si="2"/>
        <v>1232.79</v>
      </c>
      <c r="D10" s="3153">
        <v>742.75</v>
      </c>
      <c r="E10" s="3153">
        <v>490.04</v>
      </c>
      <c r="F10" s="3153" t="s">
        <v>3423</v>
      </c>
      <c r="G10" s="3153">
        <f t="shared" si="6"/>
        <v>10000</v>
      </c>
      <c r="H10" s="3153">
        <f t="shared" si="3"/>
        <v>1233</v>
      </c>
      <c r="J10" s="3153">
        <f t="shared" si="0"/>
        <v>1889</v>
      </c>
      <c r="K10" s="3153">
        <f t="shared" si="1"/>
        <v>1624</v>
      </c>
      <c r="L10" s="3153">
        <f t="shared" si="4"/>
        <v>3513</v>
      </c>
      <c r="M10" s="3153">
        <f t="shared" si="5"/>
        <v>28496</v>
      </c>
    </row>
    <row r="11" spans="1:13" ht="13.5" customHeight="1">
      <c r="A11" s="3153">
        <v>8</v>
      </c>
      <c r="B11" s="3153" t="s">
        <v>3424</v>
      </c>
      <c r="C11" s="3153">
        <f t="shared" si="2"/>
        <v>1908.63</v>
      </c>
      <c r="D11" s="3153">
        <v>1118.68</v>
      </c>
      <c r="E11" s="3153">
        <v>789.95</v>
      </c>
      <c r="F11" s="3153" t="s">
        <v>3425</v>
      </c>
      <c r="G11" s="3153">
        <f t="shared" si="6"/>
        <v>10000</v>
      </c>
      <c r="H11" s="3153">
        <f t="shared" si="3"/>
        <v>1909</v>
      </c>
      <c r="J11" s="3153">
        <f t="shared" si="0"/>
        <v>2924</v>
      </c>
      <c r="K11" s="3153">
        <f t="shared" si="1"/>
        <v>2515</v>
      </c>
      <c r="L11" s="3153">
        <f t="shared" si="4"/>
        <v>5439</v>
      </c>
      <c r="M11" s="3153">
        <f t="shared" si="5"/>
        <v>28497</v>
      </c>
    </row>
    <row r="12" spans="1:13" ht="12" customHeight="1">
      <c r="A12" s="3153">
        <v>9</v>
      </c>
      <c r="B12" s="3153" t="s">
        <v>3426</v>
      </c>
      <c r="C12" s="3153">
        <f t="shared" si="2"/>
        <v>1908.63</v>
      </c>
      <c r="D12" s="3153">
        <v>1118.68</v>
      </c>
      <c r="E12" s="3153">
        <v>789.95</v>
      </c>
      <c r="F12" s="3153" t="s">
        <v>3427</v>
      </c>
      <c r="G12" s="3153">
        <f t="shared" si="6"/>
        <v>10000</v>
      </c>
      <c r="H12" s="3153">
        <f t="shared" si="3"/>
        <v>1909</v>
      </c>
      <c r="J12" s="3153">
        <f t="shared" si="0"/>
        <v>2924</v>
      </c>
      <c r="K12" s="3153">
        <f t="shared" si="1"/>
        <v>2515</v>
      </c>
      <c r="L12" s="3153">
        <f t="shared" si="4"/>
        <v>5439</v>
      </c>
      <c r="M12" s="3153">
        <f t="shared" si="5"/>
        <v>28497</v>
      </c>
    </row>
    <row r="13" spans="1:13" ht="12" customHeight="1">
      <c r="A13" s="3153">
        <v>10</v>
      </c>
      <c r="B13" s="3153" t="s">
        <v>3428</v>
      </c>
      <c r="C13" s="3153">
        <f t="shared" si="2"/>
        <v>1232.79</v>
      </c>
      <c r="D13" s="3153">
        <v>742.75</v>
      </c>
      <c r="E13" s="3153">
        <v>490.04</v>
      </c>
      <c r="F13" s="3153" t="s">
        <v>3429</v>
      </c>
      <c r="G13" s="3153">
        <f t="shared" si="6"/>
        <v>10000</v>
      </c>
      <c r="H13" s="3153">
        <f t="shared" si="3"/>
        <v>1233</v>
      </c>
      <c r="J13" s="3153">
        <f t="shared" si="0"/>
        <v>1889</v>
      </c>
      <c r="K13" s="3153">
        <f t="shared" si="1"/>
        <v>1624</v>
      </c>
      <c r="L13" s="3153">
        <f t="shared" si="4"/>
        <v>3513</v>
      </c>
      <c r="M13" s="3153">
        <f t="shared" si="5"/>
        <v>28496</v>
      </c>
    </row>
    <row r="14" spans="1:13" s="3157" customFormat="1">
      <c r="A14" s="3156">
        <v>11</v>
      </c>
      <c r="B14" s="3156" t="s">
        <v>3430</v>
      </c>
      <c r="C14" s="3156">
        <f t="shared" si="2"/>
        <v>1232.79</v>
      </c>
      <c r="D14" s="3156">
        <v>742.75</v>
      </c>
      <c r="E14" s="3156">
        <v>490.04</v>
      </c>
      <c r="F14" s="3156" t="s">
        <v>3431</v>
      </c>
      <c r="G14" s="3156">
        <f t="shared" si="6"/>
        <v>10000</v>
      </c>
      <c r="H14" s="3156">
        <f t="shared" si="3"/>
        <v>1233</v>
      </c>
      <c r="J14" s="3156">
        <f t="shared" si="0"/>
        <v>1889</v>
      </c>
      <c r="K14" s="3156">
        <f t="shared" si="1"/>
        <v>1624</v>
      </c>
      <c r="L14" s="3156">
        <f t="shared" si="4"/>
        <v>3513</v>
      </c>
      <c r="M14" s="3156">
        <f t="shared" si="5"/>
        <v>28496</v>
      </c>
    </row>
    <row r="15" spans="1:13" s="3157" customFormat="1">
      <c r="A15" s="3156">
        <v>12</v>
      </c>
      <c r="B15" s="3156" t="s">
        <v>3432</v>
      </c>
      <c r="C15" s="3156">
        <f t="shared" si="2"/>
        <v>1232.79</v>
      </c>
      <c r="D15" s="3156">
        <v>742.75</v>
      </c>
      <c r="E15" s="3156">
        <v>490.04</v>
      </c>
      <c r="F15" s="3156" t="s">
        <v>3433</v>
      </c>
      <c r="G15" s="3156">
        <f t="shared" si="6"/>
        <v>10000</v>
      </c>
      <c r="H15" s="3156">
        <f t="shared" si="3"/>
        <v>1233</v>
      </c>
      <c r="J15" s="3156">
        <f t="shared" si="0"/>
        <v>1889</v>
      </c>
      <c r="K15" s="3156">
        <f t="shared" si="1"/>
        <v>1624</v>
      </c>
      <c r="L15" s="3156">
        <f t="shared" si="4"/>
        <v>3513</v>
      </c>
      <c r="M15" s="3156">
        <f t="shared" si="5"/>
        <v>28496</v>
      </c>
    </row>
    <row r="16" spans="1:13">
      <c r="A16" s="3153">
        <v>13</v>
      </c>
      <c r="B16" s="3153" t="s">
        <v>3434</v>
      </c>
      <c r="C16" s="3153">
        <f t="shared" si="2"/>
        <v>1232.79</v>
      </c>
      <c r="D16" s="3153">
        <v>742.75</v>
      </c>
      <c r="E16" s="3153">
        <v>490.04</v>
      </c>
      <c r="F16" s="3153" t="s">
        <v>3435</v>
      </c>
      <c r="G16" s="3153">
        <f t="shared" si="6"/>
        <v>10000</v>
      </c>
      <c r="H16" s="3153">
        <f t="shared" si="3"/>
        <v>1233</v>
      </c>
      <c r="J16" s="3153">
        <f t="shared" si="0"/>
        <v>1889</v>
      </c>
      <c r="K16" s="3153">
        <f t="shared" si="1"/>
        <v>1624</v>
      </c>
      <c r="L16" s="3153">
        <f t="shared" si="4"/>
        <v>3513</v>
      </c>
      <c r="M16" s="3153">
        <f t="shared" si="5"/>
        <v>28496</v>
      </c>
    </row>
    <row r="17" spans="1:13">
      <c r="A17" s="3153">
        <v>14</v>
      </c>
      <c r="B17" s="3153" t="s">
        <v>3436</v>
      </c>
      <c r="C17" s="3153">
        <f t="shared" si="2"/>
        <v>1232.79</v>
      </c>
      <c r="D17" s="3153">
        <v>742.75</v>
      </c>
      <c r="E17" s="3153">
        <v>490.04</v>
      </c>
      <c r="F17" s="3153" t="s">
        <v>3437</v>
      </c>
      <c r="G17" s="3153">
        <f t="shared" si="6"/>
        <v>10000</v>
      </c>
      <c r="H17" s="3153">
        <f t="shared" si="3"/>
        <v>1233</v>
      </c>
      <c r="J17" s="3153">
        <f t="shared" si="0"/>
        <v>1889</v>
      </c>
      <c r="K17" s="3153">
        <f t="shared" si="1"/>
        <v>1624</v>
      </c>
      <c r="L17" s="3153">
        <f t="shared" si="4"/>
        <v>3513</v>
      </c>
      <c r="M17" s="3153">
        <f t="shared" si="5"/>
        <v>28496</v>
      </c>
    </row>
    <row r="18" spans="1:13">
      <c r="A18" s="3153">
        <v>15</v>
      </c>
      <c r="B18" s="3153" t="s">
        <v>3438</v>
      </c>
      <c r="C18" s="3153">
        <f t="shared" si="2"/>
        <v>1232.79</v>
      </c>
      <c r="D18" s="3153">
        <v>742.75</v>
      </c>
      <c r="E18" s="3153">
        <v>490.04</v>
      </c>
      <c r="F18" s="3153" t="s">
        <v>3439</v>
      </c>
      <c r="G18" s="3153">
        <f t="shared" si="6"/>
        <v>10000</v>
      </c>
      <c r="H18" s="3153">
        <f t="shared" si="3"/>
        <v>1233</v>
      </c>
      <c r="J18" s="3153"/>
      <c r="K18" s="3153"/>
      <c r="L18" s="3153"/>
      <c r="M18" s="3153"/>
    </row>
    <row r="19" spans="1:13">
      <c r="A19" s="3153">
        <v>16</v>
      </c>
      <c r="B19" s="3153" t="s">
        <v>3440</v>
      </c>
      <c r="C19" s="3153">
        <f t="shared" si="2"/>
        <v>1866.1200000000001</v>
      </c>
      <c r="D19" s="3153">
        <v>1129.8800000000001</v>
      </c>
      <c r="E19" s="3153">
        <v>736.24</v>
      </c>
      <c r="F19" s="3153" t="s">
        <v>3441</v>
      </c>
      <c r="G19" s="3153">
        <f t="shared" si="6"/>
        <v>10000</v>
      </c>
      <c r="H19" s="3153">
        <f t="shared" si="3"/>
        <v>1866</v>
      </c>
      <c r="J19" s="3153">
        <f>ROUND($J$25*C19/($C$24-$C$18-$C$23),0)</f>
        <v>2859</v>
      </c>
      <c r="K19" s="3153">
        <f>ROUND($K$25*H19/($H$24-$H$18-$H$23),0)</f>
        <v>2458</v>
      </c>
      <c r="L19" s="3153">
        <f t="shared" si="4"/>
        <v>5317</v>
      </c>
      <c r="M19" s="3153">
        <f t="shared" si="5"/>
        <v>28492</v>
      </c>
    </row>
    <row r="20" spans="1:13">
      <c r="A20" s="3153">
        <v>17</v>
      </c>
      <c r="B20" s="3153" t="s">
        <v>3442</v>
      </c>
      <c r="C20" s="3153">
        <f t="shared" si="2"/>
        <v>1231.54</v>
      </c>
      <c r="D20" s="3153">
        <v>742.75</v>
      </c>
      <c r="E20" s="3153">
        <v>488.79</v>
      </c>
      <c r="F20" s="3153" t="s">
        <v>3443</v>
      </c>
      <c r="G20" s="3153">
        <f t="shared" si="6"/>
        <v>10000</v>
      </c>
      <c r="H20" s="3153">
        <f t="shared" si="3"/>
        <v>1232</v>
      </c>
      <c r="J20" s="3153">
        <f>ROUND($J$25*C20/($C$24-$C$18-$C$23),0)</f>
        <v>1887</v>
      </c>
      <c r="K20" s="3153">
        <f>ROUND($K$25*H20/($H$24-$H$18-$H$23),0)</f>
        <v>1623</v>
      </c>
      <c r="L20" s="3153">
        <f t="shared" si="4"/>
        <v>3510</v>
      </c>
      <c r="M20" s="3153">
        <f t="shared" si="5"/>
        <v>28501</v>
      </c>
    </row>
    <row r="21" spans="1:13">
      <c r="A21" s="3153">
        <v>18</v>
      </c>
      <c r="B21" s="3153" t="s">
        <v>3444</v>
      </c>
      <c r="C21" s="3153">
        <f t="shared" si="2"/>
        <v>1231.54</v>
      </c>
      <c r="D21" s="3153">
        <v>742.75</v>
      </c>
      <c r="E21" s="3153">
        <v>488.79</v>
      </c>
      <c r="F21" s="3153" t="s">
        <v>3445</v>
      </c>
      <c r="G21" s="3153">
        <v>20000</v>
      </c>
      <c r="H21" s="3153">
        <f t="shared" si="3"/>
        <v>2463</v>
      </c>
      <c r="J21" s="3153">
        <f>ROUND($J$25*C21/($C$24-$C$18-$C$23),0)</f>
        <v>1887</v>
      </c>
      <c r="K21" s="3153">
        <f>ROUND($K$25*H21/($H$24-$H$18-$H$23),0)</f>
        <v>3245</v>
      </c>
      <c r="L21" s="3153">
        <f t="shared" si="4"/>
        <v>5132</v>
      </c>
      <c r="M21" s="3153">
        <f t="shared" si="5"/>
        <v>41671</v>
      </c>
    </row>
    <row r="22" spans="1:13">
      <c r="A22" s="3153">
        <v>19</v>
      </c>
      <c r="B22" s="3153" t="s">
        <v>3446</v>
      </c>
      <c r="C22" s="3153">
        <f t="shared" si="2"/>
        <v>1239.47</v>
      </c>
      <c r="D22" s="3153">
        <v>749.43</v>
      </c>
      <c r="E22" s="3153">
        <v>490.04</v>
      </c>
      <c r="F22" s="3153" t="s">
        <v>3447</v>
      </c>
      <c r="G22" s="3153">
        <f>G21</f>
        <v>20000</v>
      </c>
      <c r="H22" s="3153">
        <f t="shared" si="3"/>
        <v>2479</v>
      </c>
      <c r="I22" s="3151">
        <f>15000*C22/10000</f>
        <v>1859.2049999999999</v>
      </c>
      <c r="J22" s="3153">
        <f>ROUND($J$25*C22/($C$24-$C$18-$C$23),0)</f>
        <v>1899</v>
      </c>
      <c r="K22" s="3153">
        <f>ROUND($K$25*H22/($H$24-$H$18-$H$23),0)</f>
        <v>3266</v>
      </c>
      <c r="L22" s="3153">
        <f t="shared" si="4"/>
        <v>5165</v>
      </c>
      <c r="M22" s="3153">
        <f t="shared" si="5"/>
        <v>41671</v>
      </c>
    </row>
    <row r="23" spans="1:13" ht="48">
      <c r="A23" s="3153">
        <v>20</v>
      </c>
      <c r="B23" s="3158" t="s">
        <v>3448</v>
      </c>
      <c r="C23" s="3153">
        <f t="shared" si="2"/>
        <v>4554.43</v>
      </c>
      <c r="D23" s="3153">
        <v>0</v>
      </c>
      <c r="E23" s="3153">
        <v>4554.43</v>
      </c>
      <c r="F23" s="3153"/>
      <c r="G23" s="3153">
        <f>G4</f>
        <v>10000</v>
      </c>
      <c r="H23" s="3153">
        <f t="shared" si="3"/>
        <v>4554</v>
      </c>
      <c r="I23" s="3151">
        <f>H23/(C24-C23)</f>
        <v>0.18017825540445739</v>
      </c>
      <c r="J23" s="3153"/>
      <c r="K23" s="3153"/>
      <c r="L23" s="3153">
        <f t="shared" si="4"/>
        <v>0</v>
      </c>
      <c r="M23" s="3153">
        <f t="shared" si="5"/>
        <v>0</v>
      </c>
    </row>
    <row r="24" spans="1:13">
      <c r="A24" s="3246" t="s">
        <v>3449</v>
      </c>
      <c r="B24" s="3246"/>
      <c r="C24" s="3153">
        <f>SUM(C4:C23)</f>
        <v>29829.400000000009</v>
      </c>
      <c r="D24" s="3153">
        <f>SUM(D4:D23)</f>
        <v>15418.45</v>
      </c>
      <c r="E24" s="3153">
        <f>SUM(E4:E23)</f>
        <v>14410.950000000003</v>
      </c>
      <c r="F24" s="3153"/>
      <c r="G24" s="3153">
        <f>ROUND(H24/(C24-C18-C23)*10000,0)</f>
        <v>13715</v>
      </c>
      <c r="H24" s="3153">
        <f>SUM(H4:H23)</f>
        <v>32975</v>
      </c>
      <c r="J24" s="3153">
        <f>SUM(J4:J23)</f>
        <v>36836</v>
      </c>
      <c r="K24" s="3153">
        <f t="shared" ref="K24:L24" si="7">SUM(K4:K23)</f>
        <v>35815</v>
      </c>
      <c r="L24" s="3153">
        <f t="shared" si="7"/>
        <v>72651</v>
      </c>
      <c r="M24" s="3153"/>
    </row>
    <row r="25" spans="1:13">
      <c r="A25" s="3244" t="s">
        <v>3450</v>
      </c>
      <c r="B25" s="3244"/>
      <c r="C25" s="3244"/>
      <c r="D25" s="3244"/>
      <c r="E25" s="3244"/>
      <c r="F25" s="3152"/>
      <c r="J25" s="3153">
        <v>36837</v>
      </c>
      <c r="K25" s="3153">
        <v>35820</v>
      </c>
      <c r="L25" s="3153">
        <f>J25+K25</f>
        <v>72657</v>
      </c>
      <c r="M25" s="3153">
        <v>30221</v>
      </c>
    </row>
    <row r="26" spans="1:13">
      <c r="A26" s="3152"/>
      <c r="B26" s="3154"/>
      <c r="C26" s="3154"/>
      <c r="D26" s="3154" t="s">
        <v>3451</v>
      </c>
      <c r="E26" s="3154" t="s">
        <v>3452</v>
      </c>
      <c r="F26" s="3154" t="s">
        <v>3453</v>
      </c>
    </row>
    <row r="27" spans="1:13">
      <c r="B27" s="3153" t="s">
        <v>655</v>
      </c>
      <c r="C27" s="3153">
        <f>C28+C29+C30</f>
        <v>86752</v>
      </c>
      <c r="D27" s="3153"/>
      <c r="E27" s="3153"/>
      <c r="F27" s="3153"/>
    </row>
    <row r="28" spans="1:13">
      <c r="B28" s="3153" t="s">
        <v>3451</v>
      </c>
      <c r="C28" s="3153">
        <f>D28+E28</f>
        <v>5100</v>
      </c>
      <c r="D28" s="3153">
        <v>1759.51</v>
      </c>
      <c r="E28" s="3153">
        <v>3340.49</v>
      </c>
      <c r="F28" s="3153"/>
    </row>
    <row r="29" spans="1:13">
      <c r="B29" s="3153" t="s">
        <v>3454</v>
      </c>
      <c r="C29" s="3153">
        <v>52275</v>
      </c>
      <c r="D29" s="3153"/>
      <c r="E29" s="3153"/>
      <c r="F29" s="3153">
        <f>C29/C24*10000</f>
        <v>17524.656882136413</v>
      </c>
    </row>
    <row r="30" spans="1:13">
      <c r="B30" s="3153" t="s">
        <v>3455</v>
      </c>
      <c r="C30" s="3153">
        <v>29377</v>
      </c>
      <c r="D30" s="3153"/>
      <c r="E30" s="3153"/>
      <c r="F30" s="3153"/>
    </row>
    <row r="31" spans="1:13">
      <c r="B31" s="3153" t="s">
        <v>3456</v>
      </c>
      <c r="C31" s="3153">
        <f>ROUND(2000/C21*(C7+C21+C22),0)</f>
        <v>5104</v>
      </c>
      <c r="D31" s="3153"/>
      <c r="E31" s="3153"/>
      <c r="F31" s="3153"/>
    </row>
    <row r="32" spans="1:13" ht="13.8">
      <c r="B32" s="3247"/>
      <c r="C32" s="3247"/>
      <c r="D32" s="3247"/>
      <c r="E32" s="3159"/>
    </row>
    <row r="33" spans="2:7" ht="14.4">
      <c r="B33" s="3237" t="s">
        <v>3457</v>
      </c>
      <c r="C33" s="3237"/>
      <c r="D33" s="3161"/>
      <c r="E33" s="3162"/>
      <c r="G33" s="3151" t="s">
        <v>3458</v>
      </c>
    </row>
    <row r="34" spans="2:7" ht="13.8">
      <c r="B34" s="3237"/>
      <c r="C34" s="3237"/>
      <c r="D34" s="3163" t="s">
        <v>3459</v>
      </c>
      <c r="E34" s="3160">
        <v>2</v>
      </c>
    </row>
    <row r="35" spans="2:7" ht="13.8">
      <c r="B35" s="3237"/>
      <c r="C35" s="3237"/>
      <c r="D35" s="3163" t="s">
        <v>3460</v>
      </c>
      <c r="E35" s="3160">
        <v>1</v>
      </c>
    </row>
    <row r="36" spans="2:7" ht="14.4">
      <c r="B36" s="3237" t="s">
        <v>3461</v>
      </c>
      <c r="C36" s="3237"/>
      <c r="D36" s="3160" t="s">
        <v>3462</v>
      </c>
      <c r="E36" s="3160">
        <f>E37+E38</f>
        <v>25274.97</v>
      </c>
    </row>
    <row r="37" spans="2:7">
      <c r="B37" s="3237"/>
      <c r="C37" s="3237"/>
      <c r="D37" s="3163" t="s">
        <v>3459</v>
      </c>
      <c r="E37" s="3163">
        <f>D24</f>
        <v>15418.45</v>
      </c>
    </row>
    <row r="38" spans="2:7">
      <c r="B38" s="3237"/>
      <c r="C38" s="3237"/>
      <c r="D38" s="3163" t="s">
        <v>3460</v>
      </c>
      <c r="E38" s="3163">
        <f>E24-E23</f>
        <v>9856.5200000000023</v>
      </c>
    </row>
    <row r="39" spans="2:7" ht="13.8">
      <c r="B39" s="3238" t="s">
        <v>3463</v>
      </c>
      <c r="C39" s="3239" t="s">
        <v>3464</v>
      </c>
      <c r="D39" s="3240"/>
      <c r="E39" s="3164">
        <f>E40+E43+E44+E45</f>
        <v>10000</v>
      </c>
    </row>
    <row r="40" spans="2:7" ht="14.4">
      <c r="B40" s="3238"/>
      <c r="C40" s="3237" t="s">
        <v>3465</v>
      </c>
      <c r="D40" s="3165" t="s">
        <v>3462</v>
      </c>
      <c r="E40" s="3166">
        <f>E41+E42</f>
        <v>7500</v>
      </c>
    </row>
    <row r="41" spans="2:7" ht="12" customHeight="1">
      <c r="B41" s="3238"/>
      <c r="C41" s="3237"/>
      <c r="D41" s="3167" t="s">
        <v>3466</v>
      </c>
      <c r="E41" s="3163">
        <v>2500</v>
      </c>
    </row>
    <row r="42" spans="2:7" ht="12" customHeight="1">
      <c r="B42" s="3238"/>
      <c r="C42" s="3237"/>
      <c r="D42" s="3167" t="s">
        <v>3467</v>
      </c>
      <c r="E42" s="3163">
        <v>5000</v>
      </c>
    </row>
    <row r="43" spans="2:7" ht="13.8">
      <c r="B43" s="3238"/>
      <c r="C43" s="3241" t="s">
        <v>3468</v>
      </c>
      <c r="D43" s="3241"/>
      <c r="E43" s="3168">
        <v>0</v>
      </c>
    </row>
    <row r="44" spans="2:7" ht="13.8">
      <c r="B44" s="3238"/>
      <c r="C44" s="3241" t="s">
        <v>3469</v>
      </c>
      <c r="D44" s="3241"/>
      <c r="E44" s="3168">
        <v>1000</v>
      </c>
    </row>
    <row r="45" spans="2:7" ht="14.4">
      <c r="B45" s="3238"/>
      <c r="C45" s="3169" t="s">
        <v>3470</v>
      </c>
      <c r="D45" s="3168"/>
      <c r="E45" s="3168">
        <v>1500</v>
      </c>
    </row>
    <row r="46" spans="2:7" ht="14.4">
      <c r="B46" s="3238"/>
      <c r="C46" s="3162"/>
      <c r="D46" s="3160"/>
      <c r="E46" s="3160"/>
    </row>
    <row r="47" spans="2:7" ht="14.4">
      <c r="B47" s="3238"/>
      <c r="C47" s="3162" t="s">
        <v>3471</v>
      </c>
      <c r="D47" s="3160"/>
      <c r="E47" s="3160"/>
    </row>
    <row r="48" spans="2:7" ht="14.4">
      <c r="B48" s="3238"/>
      <c r="C48" s="3162" t="s">
        <v>3472</v>
      </c>
      <c r="D48" s="3160"/>
      <c r="E48" s="3170">
        <f>E40/E39</f>
        <v>0.75</v>
      </c>
    </row>
    <row r="49" spans="2:5" ht="14.4">
      <c r="B49" s="3238"/>
      <c r="C49" s="3162" t="s">
        <v>3473</v>
      </c>
      <c r="D49" s="3160"/>
      <c r="E49" s="3170">
        <f>E43/$E$39</f>
        <v>0</v>
      </c>
    </row>
    <row r="50" spans="2:5" ht="14.4">
      <c r="B50" s="3238"/>
      <c r="C50" s="3162" t="s">
        <v>3474</v>
      </c>
      <c r="D50" s="3160"/>
      <c r="E50" s="3170">
        <f>E44/$E$39</f>
        <v>0.1</v>
      </c>
    </row>
    <row r="51" spans="2:5" ht="14.4">
      <c r="B51" s="3238"/>
      <c r="C51" s="3162" t="s">
        <v>3475</v>
      </c>
      <c r="D51" s="3153"/>
      <c r="E51" s="3170">
        <f>E45/$E$39</f>
        <v>0.15</v>
      </c>
    </row>
  </sheetData>
  <mergeCells count="12">
    <mergeCell ref="B33:C35"/>
    <mergeCell ref="A1:F1"/>
    <mergeCell ref="A2:F2"/>
    <mergeCell ref="A24:B24"/>
    <mergeCell ref="A25:E25"/>
    <mergeCell ref="B32:D32"/>
    <mergeCell ref="B36:C38"/>
    <mergeCell ref="B39:B51"/>
    <mergeCell ref="C39:D39"/>
    <mergeCell ref="C40:C42"/>
    <mergeCell ref="C43:D43"/>
    <mergeCell ref="C44:D44"/>
  </mergeCells>
  <phoneticPr fontId="134" type="noConversion"/>
  <pageMargins left="0.75" right="0.75" top="1" bottom="1" header="0.5" footer="0.5"/>
  <pageSetup paperSize="9"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sheet1 (2)</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土地案例</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2025-03-13T02:50:34Z</dcterms:modified>
</cp:coreProperties>
</file>