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G:\高鹏\项目\司法-北京市朝阳区景华南街1号楼19层2103号住宅用房涉执房地产处置司法评估报告\测算\"/>
    </mc:Choice>
  </mc:AlternateContent>
  <xr:revisionPtr revIDLastSave="0" documentId="13_ncr:1_{7EDB66A9-6D04-44A6-89DB-41D1B8118176}" xr6:coauthVersionLast="47" xr6:coauthVersionMax="47" xr10:uidLastSave="{00000000-0000-0000-0000-000000000000}"/>
  <bookViews>
    <workbookView xWindow="-120" yWindow="-120" windowWidth="38640" windowHeight="21240" tabRatio="899" firstSheet="8"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5" i="81" l="1"/>
  <c r="D38" i="81"/>
  <c r="L20" i="9"/>
  <c r="K24" i="9"/>
  <c r="J24" i="9"/>
  <c r="J33" i="21"/>
  <c r="H33" i="21"/>
  <c r="G104" i="21"/>
  <c r="E104" i="21"/>
  <c r="D104" i="21"/>
  <c r="F33" i="21" s="1"/>
  <c r="C104" i="21"/>
  <c r="H104" i="21"/>
  <c r="E91" i="21"/>
  <c r="F27" i="21" s="1"/>
  <c r="J27" i="21" s="1"/>
  <c r="C91" i="21"/>
  <c r="J37" i="21"/>
  <c r="H37" i="21"/>
  <c r="F37" i="21"/>
  <c r="I37" i="21" l="1"/>
  <c r="G37" i="21"/>
  <c r="I51" i="21"/>
  <c r="G51" i="21"/>
  <c r="N6" i="1"/>
  <c r="E51" i="21"/>
  <c r="F59" i="21"/>
  <c r="L83" i="81"/>
  <c r="P83" i="81"/>
  <c r="T83" i="81"/>
  <c r="X83" i="81"/>
  <c r="L82" i="81"/>
  <c r="M82" i="81"/>
  <c r="M83" i="81" s="1"/>
  <c r="N82" i="81"/>
  <c r="N83" i="81" s="1"/>
  <c r="O82" i="81"/>
  <c r="P82" i="81"/>
  <c r="Q82" i="81"/>
  <c r="Q83" i="81" s="1"/>
  <c r="R82" i="81"/>
  <c r="R83" i="81" s="1"/>
  <c r="S82" i="81"/>
  <c r="T82" i="81"/>
  <c r="U82" i="81"/>
  <c r="U83" i="81" s="1"/>
  <c r="V82" i="81"/>
  <c r="V83" i="81" s="1"/>
  <c r="W82" i="81"/>
  <c r="X82" i="81"/>
  <c r="K82" i="81"/>
  <c r="K83" i="81" s="1"/>
  <c r="D41" i="81"/>
  <c r="E41" i="81" s="1"/>
  <c r="D40" i="81"/>
  <c r="D33" i="81"/>
  <c r="D34" i="81"/>
  <c r="D36" i="81"/>
  <c r="D37" i="81"/>
  <c r="D39" i="81"/>
  <c r="D32" i="81"/>
  <c r="G13" i="73"/>
  <c r="F13" i="73"/>
  <c r="E13" i="73"/>
  <c r="J1" i="73"/>
  <c r="G14" i="73"/>
  <c r="F14" i="73"/>
  <c r="E14" i="73"/>
  <c r="W83" i="81" l="1"/>
  <c r="O83" i="81"/>
  <c r="S83" i="81"/>
  <c r="M20" i="1"/>
  <c r="J16" i="4"/>
  <c r="AA13" i="81"/>
  <c r="O9" i="81"/>
  <c r="O10" i="81"/>
  <c r="AT27" i="81" l="1"/>
  <c r="AT26" i="81"/>
  <c r="E59" i="21" l="1"/>
  <c r="G59" i="21"/>
  <c r="H59" i="21" s="1"/>
  <c r="I59" i="21" l="1"/>
  <c r="J59" i="21" s="1"/>
  <c r="K59" i="21" s="1"/>
  <c r="L59" i="21" s="1"/>
  <c r="M59" i="21" s="1"/>
  <c r="N59" i="21" s="1"/>
  <c r="O59" i="21" s="1"/>
  <c r="I128" i="21"/>
  <c r="E129" i="21" s="1"/>
  <c r="D129" i="21" s="1"/>
  <c r="C129" i="21" s="1"/>
  <c r="D59" i="21"/>
  <c r="D127" i="21"/>
  <c r="B27" i="9"/>
  <c r="P59" i="21" l="1"/>
  <c r="Q59" i="21" s="1"/>
  <c r="R59" i="21" s="1"/>
  <c r="S59" i="21" s="1"/>
  <c r="H27" i="21"/>
  <c r="E127" i="21"/>
  <c r="F91" i="21"/>
  <c r="B21" i="1" l="1"/>
  <c r="J12" i="67" l="1"/>
  <c r="M21" i="1" l="1"/>
  <c r="N22" i="1" s="1"/>
  <c r="D3" i="4"/>
  <c r="Y20" i="1"/>
  <c r="G129" i="21" l="1"/>
  <c r="H45" i="21" l="1"/>
  <c r="J45" i="21"/>
  <c r="F45" i="21"/>
  <c r="I5" i="21"/>
  <c r="G5" i="21"/>
  <c r="D66" i="21" l="1"/>
  <c r="B65" i="21"/>
  <c r="I33" i="21" l="1"/>
  <c r="G33" i="21"/>
  <c r="E33" i="21"/>
  <c r="E5" i="21"/>
  <c r="G17" i="73" l="1"/>
  <c r="F17" i="73"/>
  <c r="E17" i="73"/>
  <c r="G16" i="73"/>
  <c r="F16" i="73"/>
  <c r="E16" i="73"/>
  <c r="G15" i="73"/>
  <c r="F15" i="73"/>
  <c r="E15"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Q15" i="21"/>
  <c r="Z15" i="21" s="1"/>
  <c r="H15" i="21"/>
  <c r="AB15" i="21" s="1"/>
  <c r="C15" i="21"/>
  <c r="G15" i="21" s="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B50" i="72" s="1"/>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44" i="72"/>
  <c r="B42" i="72"/>
  <c r="B16" i="72"/>
  <c r="B10" i="72"/>
  <c r="B8" i="72"/>
  <c r="E10" i="76"/>
  <c r="D34" i="9"/>
  <c r="D2" i="37"/>
  <c r="AO12" i="1"/>
  <c r="E9" i="76"/>
  <c r="E13" i="76"/>
  <c r="M27" i="67"/>
  <c r="M6" i="67"/>
  <c r="AO10" i="1"/>
  <c r="E8" i="76"/>
  <c r="D2" i="33"/>
  <c r="F16" i="67"/>
  <c r="F42" i="67"/>
  <c r="E11" i="76"/>
  <c r="D2" i="35"/>
  <c r="E2" i="68"/>
  <c r="C76" i="67"/>
  <c r="D2" i="34"/>
  <c r="AO8" i="1"/>
  <c r="E7" i="76"/>
  <c r="E2" i="69"/>
  <c r="B8" i="76"/>
  <c r="D2" i="36"/>
  <c r="E12" i="76"/>
  <c r="AO13" i="1"/>
  <c r="F20" i="31"/>
  <c r="B7" i="76"/>
  <c r="L47" i="67"/>
  <c r="B10" i="76"/>
  <c r="B9" i="76"/>
  <c r="J15" i="67"/>
  <c r="D2" i="21"/>
  <c r="AO7" i="1"/>
  <c r="D35" i="9"/>
  <c r="AO11" i="1"/>
  <c r="B13" i="76"/>
  <c r="F38" i="67"/>
  <c r="B12" i="76"/>
  <c r="B11" i="76"/>
  <c r="AO9" i="1"/>
  <c r="M26" i="67"/>
  <c r="F9" i="67"/>
  <c r="G113" i="21" l="1"/>
  <c r="H113" i="21" s="1"/>
  <c r="G19" i="21"/>
  <c r="I19" i="21"/>
  <c r="J40" i="21"/>
  <c r="AC40" i="21" s="1"/>
  <c r="G523" i="3"/>
  <c r="H109" i="9"/>
  <c r="D16" i="53" s="1"/>
  <c r="D17" i="53" s="1"/>
  <c r="B36" i="72" s="1"/>
  <c r="F40" i="21"/>
  <c r="AA40" i="21"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B2" i="1"/>
  <c r="C25" i="39"/>
  <c r="B58" i="43"/>
  <c r="B79" i="43"/>
  <c r="B101" i="43"/>
  <c r="C29" i="39"/>
  <c r="B100" i="43"/>
  <c r="B57" i="43"/>
  <c r="B68" i="43"/>
  <c r="C27" i="39"/>
  <c r="B67" i="43"/>
  <c r="B56" i="43"/>
  <c r="B76" i="43"/>
  <c r="B51" i="43"/>
  <c r="B62" i="43"/>
  <c r="B73" i="43"/>
  <c r="C21" i="39"/>
  <c r="B8" i="70"/>
  <c r="B10" i="70"/>
  <c r="B12" i="70"/>
  <c r="B7" i="70"/>
  <c r="B9" i="70"/>
  <c r="B11" i="70"/>
  <c r="B13" i="70"/>
  <c r="B20" i="31"/>
  <c r="B21" i="31" s="1"/>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M24" i="67"/>
  <c r="M23" i="67"/>
  <c r="F7" i="67"/>
  <c r="M8" i="67"/>
  <c r="D7" i="73"/>
  <c r="F37" i="67"/>
  <c r="F13" i="67"/>
  <c r="L48" i="67"/>
  <c r="F40" i="67"/>
  <c r="F26" i="67"/>
  <c r="F8" i="67"/>
  <c r="M9" i="67"/>
  <c r="M28" i="67"/>
  <c r="F36" i="67"/>
  <c r="F6" i="73"/>
  <c r="M22" i="67"/>
  <c r="F6" i="67"/>
  <c r="L66" i="9" l="1"/>
  <c r="M66" i="9" s="1"/>
  <c r="W37" i="21"/>
  <c r="AB37" i="21"/>
  <c r="F28" i="67"/>
  <c r="F65" i="67"/>
  <c r="C27" i="67"/>
  <c r="F64" i="67"/>
  <c r="F51" i="67"/>
  <c r="F68" i="67"/>
  <c r="AZ587" i="3"/>
  <c r="AZ456" i="3"/>
  <c r="AZ366" i="3"/>
  <c r="AZ483" i="3"/>
  <c r="AZ237" i="3"/>
  <c r="AZ129" i="3"/>
  <c r="AZ119" i="3"/>
  <c r="AZ89" i="3"/>
  <c r="AZ69" i="3"/>
  <c r="AZ205" i="3"/>
  <c r="AZ135" i="3"/>
  <c r="AZ105" i="3"/>
  <c r="AZ75" i="3"/>
  <c r="AZ349" i="3"/>
  <c r="AZ249" i="3"/>
  <c r="AZ189" i="3"/>
  <c r="AZ143" i="3"/>
  <c r="AZ67" i="3"/>
  <c r="AZ24" i="3"/>
  <c r="AZ73" i="3"/>
  <c r="AZ265" i="3"/>
  <c r="AZ185" i="3"/>
  <c r="AZ95" i="3"/>
  <c r="AZ79" i="3"/>
  <c r="AZ254" i="3"/>
  <c r="AZ125" i="3"/>
  <c r="D32" i="77"/>
  <c r="AZ435" i="3"/>
  <c r="AZ35" i="3"/>
  <c r="AZ215" i="3"/>
  <c r="AZ31" i="3"/>
  <c r="AZ173" i="3"/>
  <c r="AZ190" i="3"/>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M7" i="67"/>
  <c r="J6" i="67" s="1"/>
  <c r="F31" i="67"/>
  <c r="G5" i="3"/>
  <c r="B3" i="3" s="1"/>
  <c r="E317" i="3" s="1"/>
  <c r="AZ477" i="3"/>
  <c r="AZ445" i="3"/>
  <c r="C33" i="21"/>
  <c r="F106" i="21"/>
  <c r="G106" i="21" s="1"/>
  <c r="H106" i="21" s="1"/>
  <c r="I106" i="21" s="1"/>
  <c r="J106" i="21" s="1"/>
  <c r="K106" i="21" s="1"/>
  <c r="L106" i="21" s="1"/>
  <c r="M106" i="21" s="1"/>
  <c r="F34" i="21"/>
  <c r="J34" i="21"/>
  <c r="AC34" i="21" s="1"/>
  <c r="U37" i="21"/>
  <c r="AA37" i="21"/>
  <c r="E8" i="6"/>
  <c r="AZ364" i="3"/>
  <c r="AZ311" i="3"/>
  <c r="AZ338" i="3"/>
  <c r="AZ275" i="3"/>
  <c r="AZ303" i="3"/>
  <c r="E17" i="43"/>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E63" i="39" s="1"/>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Q16" i="1"/>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C14" i="15"/>
  <c r="M21" i="15"/>
  <c r="F13" i="15"/>
  <c r="F26" i="15"/>
  <c r="C76" i="15"/>
  <c r="D6" i="73"/>
  <c r="F6" i="15"/>
  <c r="D3" i="73"/>
  <c r="M29" i="15"/>
  <c r="F7" i="15"/>
  <c r="L47" i="15"/>
  <c r="M8" i="15"/>
  <c r="F3" i="73"/>
  <c r="F5" i="73"/>
  <c r="F41" i="15"/>
  <c r="M9" i="15"/>
  <c r="F42" i="15"/>
  <c r="F8" i="15"/>
  <c r="F7" i="73"/>
  <c r="M26" i="15"/>
  <c r="F37" i="15"/>
  <c r="M29" i="67"/>
  <c r="M27" i="15"/>
  <c r="F16" i="15"/>
  <c r="F36" i="15"/>
  <c r="M6" i="15"/>
  <c r="F35" i="15"/>
  <c r="D4" i="73"/>
  <c r="D5" i="73"/>
  <c r="G1" i="73" s="1"/>
  <c r="J15" i="15"/>
  <c r="M23" i="15"/>
  <c r="F38" i="15"/>
  <c r="M22" i="15"/>
  <c r="F4" i="73"/>
  <c r="M28" i="15"/>
  <c r="M24" i="15"/>
  <c r="F40" i="15"/>
  <c r="F9" i="15"/>
  <c r="F43" i="67"/>
  <c r="L48" i="15"/>
  <c r="F43" i="15"/>
  <c r="C30" i="11" l="1"/>
  <c r="E59" i="40"/>
  <c r="E62" i="39"/>
  <c r="AB33" i="21"/>
  <c r="C49" i="67"/>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L56" i="67"/>
  <c r="C17" i="15"/>
  <c r="C16" i="67"/>
  <c r="C16" i="15"/>
  <c r="H10" i="39" l="1"/>
  <c r="AB10" i="39" s="1"/>
  <c r="J10" i="40"/>
  <c r="AC10" i="40" s="1"/>
  <c r="F10" i="40"/>
  <c r="S10" i="40" s="1"/>
  <c r="H6" i="3"/>
  <c r="H10" i="40"/>
  <c r="AB10" i="40" s="1"/>
  <c r="F10" i="39"/>
  <c r="AA10" i="39" s="1"/>
  <c r="C59" i="67"/>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AC10" i="39"/>
  <c r="W10" i="39"/>
  <c r="J7" i="36"/>
  <c r="Q52" i="67"/>
  <c r="F1" i="67"/>
  <c r="U7" i="35"/>
  <c r="D65" i="40"/>
  <c r="E63" i="40"/>
  <c r="AC7" i="34"/>
  <c r="V49" i="34" s="1"/>
  <c r="I49" i="34" s="1"/>
  <c r="J7" i="37"/>
  <c r="C14" i="67"/>
  <c r="AE6" i="1"/>
  <c r="F41" i="67" s="1"/>
  <c r="C17" i="67"/>
  <c r="AA10" i="40" l="1"/>
  <c r="U10" i="39"/>
  <c r="W10" i="40"/>
  <c r="U10" i="40"/>
  <c r="S10" i="39"/>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D25" i="6" l="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B6" i="76"/>
  <c r="E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B3" i="21" s="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M21" i="67"/>
  <c r="F35" i="67"/>
  <c r="D20" i="9"/>
  <c r="D19" i="9"/>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C20" i="9"/>
  <c r="C19" i="9"/>
  <c r="G20" i="9" l="1"/>
  <c r="C103" i="9"/>
  <c r="B6" i="70"/>
  <c r="B2" i="70" s="1"/>
  <c r="B3" i="70" s="1"/>
  <c r="C21" i="9"/>
  <c r="C102" i="9"/>
  <c r="D22" i="9"/>
  <c r="T12" i="71"/>
  <c r="D12" i="71"/>
  <c r="U12" i="71" s="1"/>
  <c r="C11" i="71"/>
  <c r="M65" i="40"/>
  <c r="N63" i="40"/>
  <c r="M69" i="39"/>
  <c r="N67" i="39"/>
  <c r="G19" i="9" l="1"/>
  <c r="I20" i="9" s="1"/>
  <c r="E14" i="74"/>
  <c r="D14" i="74" s="1"/>
  <c r="C32" i="9"/>
  <c r="C35" i="9" s="1"/>
  <c r="C34" i="9" s="1"/>
  <c r="D11" i="71"/>
  <c r="C10" i="71"/>
  <c r="N69" i="39"/>
  <c r="O67" i="39"/>
  <c r="O69" i="39" s="1"/>
  <c r="N65" i="40"/>
  <c r="O63" i="40"/>
  <c r="O65" i="40" s="1"/>
  <c r="D30" i="9" l="1"/>
  <c r="C30" i="9" s="1"/>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C73" i="9" l="1"/>
  <c r="C78" i="9"/>
  <c r="M55" i="9"/>
  <c r="D59" i="9"/>
  <c r="N58" i="9"/>
  <c r="P57" i="9"/>
  <c r="E97" i="9"/>
  <c r="E96" i="9"/>
  <c r="C96" i="9"/>
  <c r="B48" i="72"/>
  <c r="E4" i="52"/>
  <c r="D8" i="52"/>
  <c r="C5" i="74"/>
  <c r="C85" i="9"/>
  <c r="C95" i="9"/>
  <c r="C97" i="9"/>
  <c r="D58" i="9"/>
  <c r="D56" i="9"/>
  <c r="M54" i="9"/>
  <c r="C86" i="9"/>
  <c r="C93" i="9"/>
  <c r="D122" i="9"/>
  <c r="D123" i="9"/>
  <c r="D9" i="52"/>
  <c r="B32" i="72"/>
  <c r="D14" i="53"/>
  <c r="C6" i="74"/>
  <c r="M48" i="9"/>
  <c r="H108" i="9"/>
  <c r="D15" i="53"/>
  <c r="B31" i="72"/>
  <c r="C80" i="9"/>
  <c r="E80" i="9"/>
  <c r="E81" i="9"/>
  <c r="D4" i="52"/>
  <c r="B47" i="72"/>
  <c r="H107" i="9"/>
  <c r="D13" i="53"/>
  <c r="B30" i="72"/>
  <c r="B22" i="72"/>
  <c r="D6" i="53"/>
  <c r="I4" i="52"/>
  <c r="C105" i="9"/>
  <c r="H5" i="52"/>
  <c r="H119" i="9"/>
  <c r="D5" i="53"/>
  <c r="B20" i="72"/>
  <c r="B51" i="72"/>
  <c r="F4" i="52"/>
  <c r="H102" i="9"/>
  <c r="D7" i="53"/>
  <c r="B21" i="72"/>
  <c r="C104" i="9"/>
  <c r="H4" i="52"/>
  <c r="F119" i="9"/>
  <c r="F5" i="52"/>
  <c r="B53" i="72"/>
  <c r="E118" i="9"/>
  <c r="D118" i="9"/>
  <c r="D119" i="9"/>
  <c r="D5" i="52"/>
  <c r="B49" i="72"/>
  <c r="D53" i="9"/>
  <c r="D52" i="9"/>
  <c r="N61" i="9"/>
  <c r="D55" i="9"/>
  <c r="M53" i="9"/>
  <c r="N57" i="9"/>
  <c r="N59" i="9"/>
  <c r="N60" i="9"/>
  <c r="C72" i="9"/>
  <c r="C79" i="9"/>
  <c r="C81" i="9"/>
  <c r="F118" i="9"/>
  <c r="G118" i="9"/>
  <c r="G4" i="52"/>
  <c r="B52" i="72"/>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<sst xmlns="http://schemas.openxmlformats.org/spreadsheetml/2006/main" count="7998" uniqueCount="3505">
  <si>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</si>
  <si>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</si>
  <si>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</si>
  <si>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</si>
  <si>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</si>
  <si>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</si>
  <si>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</si>
  <si>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</si>
  <si>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</si>
  <si>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</si>
  <si>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</si>
  <si>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</si>
  <si>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</si>
  <si>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</si>
  <si>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</si>
  <si>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</si>
  <si>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</si>
  <si>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</si>
  <si>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</si>
  <si>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</si>
  <si>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</si>
  <si>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</si>
  <si>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</si>
  <si>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</si>
  <si>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</si>
  <si>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</si>
  <si>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</si>
  <si>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</si>
  <si>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</si>
  <si>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</si>
  <si>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</si>
  <si>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</si>
  <si>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</si>
  <si>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</si>
  <si>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</si>
  <si>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</si>
  <si>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</si>
  <si>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</si>
  <si>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</si>
  <si>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</si>
  <si>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</si>
  <si>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</si>
  <si>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</si>
  <si>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</si>
  <si>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</si>
  <si>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</si>
  <si>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</si>
  <si>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</si>
  <si>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</si>
  <si>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</si>
  <si>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</si>
  <si>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</si>
  <si>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</si>
  <si>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</si>
  <si>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</si>
  <si>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</si>
  <si>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</si>
  <si>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</si>
  <si>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</si>
  <si>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</si>
  <si>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</si>
  <si>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</si>
  <si>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</si>
  <si>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</si>
  <si>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</si>
  <si>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</si>
  <si>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</si>
  <si>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</si>
  <si>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</si>
  <si>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</si>
  <si>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</si>
  <si>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</si>
  <si>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</si>
  <si>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</si>
  <si>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</si>
  <si>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</si>
  <si>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</si>
  <si>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</si>
  <si>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</si>
  <si>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</si>
  <si>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</si>
  <si>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</si>
  <si>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</si>
  <si>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</si>
  <si>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</si>
  <si>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</si>
  <si>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</si>
  <si>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</si>
  <si>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</si>
  <si>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</si>
  <si>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</si>
  <si>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</si>
  <si>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</si>
  <si>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</si>
  <si>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</si>
  <si>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</si>
  <si>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</si>
  <si>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</si>
  <si>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</si>
  <si>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</si>
  <si>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</si>
  <si>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</si>
  <si>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</si>
  <si>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</si>
  <si>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</si>
  <si>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</si>
  <si>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</si>
  <si>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</si>
  <si>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</si>
  <si>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</si>
  <si>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</si>
  <si>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</si>
  <si>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</si>
  <si>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</si>
  <si>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</si>
  <si>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</si>
  <si>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</si>
  <si>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</si>
  <si>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</si>
  <si>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</si>
  <si>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</si>
  <si>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</si>
  <si>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</si>
  <si>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</si>
  <si>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</si>
  <si>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</si>
  <si>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</si>
  <si>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</si>
  <si>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</si>
  <si>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</si>
  <si>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</si>
  <si>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</si>
  <si>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</si>
  <si>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</si>
  <si>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</si>
  <si>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</si>
  <si>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</si>
  <si>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</si>
  <si>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</si>
  <si>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</si>
  <si>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</si>
  <si>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</si>
  <si>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</si>
  <si>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</si>
  <si>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</si>
  <si>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</si>
  <si>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</si>
  <si>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</si>
  <si>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</si>
  <si>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</si>
  <si>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</si>
  <si>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</si>
  <si>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</si>
  <si>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</si>
  <si>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</si>
  <si>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</si>
  <si>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</si>
  <si>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</si>
  <si>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</si>
  <si>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</si>
  <si>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</si>
  <si>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</si>
  <si>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</si>
  <si>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</si>
  <si>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</si>
  <si>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</si>
  <si>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</si>
  <si>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</si>
  <si>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</si>
  <si>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</si>
  <si>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</si>
  <si>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</si>
  <si>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</si>
  <si>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</si>
  <si>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</si>
  <si>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</si>
  <si>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</si>
  <si>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</si>
  <si>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</si>
  <si>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</si>
  <si>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</si>
  <si>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</si>
  <si>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</si>
  <si>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</si>
  <si>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</si>
  <si>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</si>
  <si>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</si>
  <si>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</si>
  <si>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</si>
  <si>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</si>
  <si>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</si>
  <si>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</si>
  <si>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</si>
  <si>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</si>
  <si>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</si>
  <si>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</si>
  <si>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</si>
  <si>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</si>
  <si>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</si>
  <si>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</si>
  <si>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</si>
  <si>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</si>
  <si>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</si>
  <si>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</si>
  <si>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</si>
  <si>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</si>
  <si>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</si>
  <si>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</si>
  <si>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</si>
  <si>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</si>
  <si>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</si>
  <si>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</si>
  <si>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</si>
  <si>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</si>
  <si>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</si>
  <si>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</si>
  <si>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</si>
  <si>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</si>
  <si>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</si>
  <si>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</si>
  <si>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</si>
  <si>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</si>
  <si>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</si>
  <si>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</si>
  <si>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</si>
  <si>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</si>
  <si>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</si>
  <si>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</si>
  <si>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</si>
  <si>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</si>
  <si>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</si>
  <si>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</si>
  <si>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</si>
  <si>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</si>
  <si>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</si>
  <si>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</si>
  <si>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</si>
  <si>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</si>
  <si>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</si>
  <si>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</si>
  <si>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</si>
  <si>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</si>
  <si>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</si>
  <si>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</si>
  <si>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</si>
  <si>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</si>
  <si>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</si>
  <si>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</si>
  <si>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</si>
  <si>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</si>
  <si>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</si>
  <si>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</si>
  <si>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</si>
  <si>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</si>
  <si>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</si>
  <si>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</si>
  <si>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</si>
  <si>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</si>
  <si>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</si>
  <si>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</si>
  <si>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</si>
  <si>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</si>
  <si>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</si>
  <si>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</si>
  <si>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</si>
  <si>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</si>
  <si>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</si>
  <si>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</si>
  <si>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</si>
  <si>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</si>
  <si>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</si>
  <si>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</si>
  <si>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</si>
  <si>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</si>
  <si>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</si>
  <si>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</si>
  <si>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</si>
  <si>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</si>
  <si>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</si>
  <si>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</si>
  <si>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</si>
  <si>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</si>
  <si>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</si>
  <si>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</si>
  <si>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</si>
  <si>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</si>
  <si>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</si>
  <si>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</si>
  <si>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</si>
  <si>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</si>
  <si>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</si>
  <si>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</si>
  <si>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</si>
  <si>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</si>
  <si>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</si>
  <si>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</si>
  <si>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</si>
  <si>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</si>
  <si>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</si>
  <si>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</si>
  <si>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</si>
  <si>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</si>
  <si>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</si>
  <si>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</si>
  <si>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</si>
  <si>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</si>
  <si>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</si>
  <si>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</si>
  <si>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</si>
  <si>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</si>
  <si>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</si>
  <si>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</si>
  <si>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</si>
  <si>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</si>
  <si>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</si>
  <si>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</si>
  <si>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</si>
  <si>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</si>
  <si>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</si>
  <si>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</si>
  <si>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</si>
  <si>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</si>
  <si>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</si>
  <si>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</si>
  <si>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</si>
  <si>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</si>
  <si>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</si>
  <si>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</si>
  <si>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</si>
  <si>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</si>
  <si>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</si>
  <si>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</si>
  <si>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</si>
  <si>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</si>
  <si>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</si>
  <si>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</si>
  <si>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</si>
  <si>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</si>
  <si>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</si>
  <si>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</si>
  <si>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</si>
  <si>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</si>
  <si>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</si>
  <si>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</si>
  <si>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</si>
  <si>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</si>
  <si>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</si>
  <si>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</si>
  <si>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</si>
  <si>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</si>
  <si>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</si>
  <si>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</si>
  <si>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</si>
  <si>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</si>
  <si>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</si>
  <si>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</si>
  <si>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</si>
  <si>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</si>
  <si>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</si>
  <si>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</si>
  <si>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</si>
  <si>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</si>
  <si>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</si>
  <si>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</si>
  <si>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</si>
  <si>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</si>
  <si>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</si>
  <si>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</si>
  <si>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</si>
  <si>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</si>
  <si>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</si>
  <si>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</si>
  <si>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</si>
  <si>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</si>
  <si>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</si>
  <si>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</si>
  <si>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</si>
  <si>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</si>
  <si>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</si>
  <si>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</si>
  <si>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</si>
  <si>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</si>
  <si>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</si>
  <si>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</si>
  <si>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</si>
  <si>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</si>
  <si>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</si>
  <si>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</si>
  <si>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</si>
  <si>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</si>
  <si>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</si>
  <si>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</si>
  <si>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</si>
  <si>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</si>
  <si>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</si>
  <si>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</si>
  <si>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</si>
  <si>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</si>
  <si>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</si>
  <si>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</si>
  <si>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</si>
  <si>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</si>
  <si>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</si>
  <si>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</si>
  <si>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</si>
  <si>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</si>
  <si>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</si>
  <si>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</si>
  <si>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</si>
  <si>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</si>
  <si>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</si>
  <si>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</si>
  <si>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</si>
  <si>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</si>
  <si>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</si>
  <si>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</si>
  <si>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</si>
  <si>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</si>
  <si>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</si>
  <si>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</si>
  <si>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</si>
  <si>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</si>
  <si>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</si>
  <si>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</si>
  <si>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</si>
  <si>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</si>
  <si>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</si>
  <si>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</si>
  <si>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</si>
  <si>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</si>
  <si>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</si>
  <si>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</si>
  <si>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</si>
  <si>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</si>
  <si>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</si>
  <si>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</si>
  <si>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</si>
  <si>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</si>
  <si>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</si>
  <si>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</si>
  <si>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</si>
  <si>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</si>
  <si>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</si>
  <si>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</si>
  <si>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</si>
  <si>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</si>
  <si>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</si>
  <si>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</si>
  <si>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</si>
  <si>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</si>
  <si>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</si>
  <si>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</si>
  <si>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</si>
  <si>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</si>
  <si>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</si>
  <si>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</si>
  <si>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</si>
  <si>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</si>
  <si>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</si>
  <si>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</si>
  <si>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</si>
  <si>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</si>
  <si>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</si>
  <si>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</si>
  <si>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</si>
  <si>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</si>
  <si>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</si>
  <si>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</si>
  <si>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</si>
  <si>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</si>
  <si>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</si>
  <si>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</si>
  <si>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</si>
  <si>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</si>
  <si>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</si>
  <si>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</si>
  <si>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</si>
  <si>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</si>
  <si>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</si>
  <si>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</si>
  <si>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</si>
  <si>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</si>
  <si>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</si>
  <si>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</si>
  <si>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</si>
  <si>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</si>
  <si>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</si>
  <si>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</si>
  <si>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</si>
  <si>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</si>
  <si>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</si>
  <si>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</si>
  <si>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</si>
  <si>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</si>
  <si>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</si>
  <si>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</si>
  <si>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</si>
  <si>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</si>
  <si>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</si>
  <si>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</si>
  <si>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</si>
  <si>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</si>
  <si>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</si>
  <si>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</si>
  <si>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</si>
  <si>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</si>
  <si>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</si>
  <si>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</si>
  <si>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</si>
  <si>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</si>
  <si>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</si>
  <si>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</si>
  <si>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</si>
  <si>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</si>
  <si>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</si>
  <si>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</si>
  <si>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</si>
  <si>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</si>
  <si>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</si>
  <si>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</si>
  <si>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</si>
  <si>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</si>
  <si>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</si>
  <si>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</si>
  <si>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</si>
  <si>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</si>
  <si>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</si>
  <si>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</si>
  <si>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</si>
  <si>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</si>
  <si>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</si>
  <si>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</si>
  <si>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</si>
  <si>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</si>
  <si>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</si>
  <si>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</si>
  <si>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</si>
  <si>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</si>
  <si>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</si>
  <si>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</si>
  <si>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</si>
  <si>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</si>
  <si>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</si>
  <si>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</si>
  <si>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</si>
  <si>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</si>
  <si>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</si>
  <si>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</si>
  <si>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</si>
  <si>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</si>
  <si>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</si>
  <si>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</si>
  <si>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</si>
  <si>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</si>
  <si>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</si>
  <si>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</si>
  <si>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</si>
  <si>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</si>
  <si>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</si>
  <si>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</si>
  <si>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</si>
  <si>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</si>
  <si>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</si>
  <si>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</si>
  <si>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</si>
  <si>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</si>
  <si>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</si>
  <si>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</si>
  <si>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</si>
  <si>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</si>
  <si>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</si>
  <si>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</si>
  <si>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</si>
  <si>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</si>
  <si>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</si>
  <si>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</si>
  <si>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</si>
  <si>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</si>
  <si>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</si>
  <si>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</si>
  <si>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</si>
  <si>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</si>
  <si>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</si>
  <si>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</si>
  <si>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</si>
  <si>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</si>
  <si>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</si>
  <si>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</si>
  <si>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</si>
  <si>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</si>
  <si>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</si>
  <si>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</si>
  <si>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</si>
  <si>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</si>
  <si>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</si>
  <si>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</si>
  <si>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</si>
  <si>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</si>
  <si>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</si>
  <si>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</si>
  <si>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</si>
  <si>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</si>
  <si>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</si>
  <si>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</si>
  <si>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</si>
  <si>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</si>
  <si>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</si>
  <si>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</si>
  <si>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</si>
  <si>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</si>
  <si>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</si>
  <si>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</si>
  <si>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</si>
  <si>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</si>
  <si>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</si>
  <si>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</si>
  <si>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</si>
  <si>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</si>
  <si>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</si>
  <si>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</si>
  <si>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</si>
  <si>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</si>
  <si>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</si>
  <si>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</si>
  <si>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</si>
  <si>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</si>
  <si>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</si>
  <si>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</si>
  <si>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</si>
  <si>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</si>
  <si>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</si>
  <si>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</si>
  <si>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</si>
  <si>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</si>
  <si>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</si>
  <si>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</si>
  <si>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</si>
  <si>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</si>
  <si>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</si>
  <si>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</si>
  <si>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</si>
  <si>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</si>
  <si>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</si>
  <si>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</si>
  <si>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</si>
  <si>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</si>
  <si>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</si>
  <si>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</si>
  <si>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</si>
  <si>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</si>
  <si>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</si>
  <si>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</si>
  <si>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</si>
  <si>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</si>
  <si>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</si>
  <si>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</si>
  <si>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</si>
  <si>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</si>
  <si>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</si>
  <si>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</si>
  <si>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</si>
  <si>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</si>
  <si>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</si>
  <si>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</si>
  <si>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</si>
  <si>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</si>
  <si>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</si>
  <si>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</si>
  <si>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</si>
  <si>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</si>
  <si>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</si>
  <si>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</si>
  <si>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</si>
  <si>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</si>
  <si>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</si>
  <si>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</si>
  <si>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</si>
  <si>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</si>
  <si>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</si>
  <si>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</si>
  <si>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</si>
  <si>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</si>
  <si>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</si>
  <si>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</si>
  <si>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</si>
  <si>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</si>
  <si>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</si>
  <si>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</si>
  <si>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</si>
  <si>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</si>
  <si>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</si>
  <si>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</si>
  <si>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</si>
  <si>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</si>
  <si>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</si>
  <si>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</si>
  <si>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</si>
  <si>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</si>
  <si>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</si>
  <si>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</si>
  <si>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</si>
  <si>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</si>
  <si>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</si>
  <si>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</si>
  <si>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</si>
  <si>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</si>
  <si>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</si>
  <si>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</si>
  <si>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</si>
  <si>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</si>
  <si>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</si>
  <si>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</si>
  <si>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</si>
  <si>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</si>
  <si>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</si>
  <si>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</si>
  <si>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</si>
  <si>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</si>
  <si>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</si>
  <si>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</si>
  <si>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</si>
  <si>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</si>
  <si>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</si>
  <si>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</si>
  <si>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</si>
  <si>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</si>
  <si>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</si>
  <si>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</si>
  <si>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</si>
  <si>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</si>
  <si>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</si>
  <si>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</si>
  <si>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</si>
  <si>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</si>
  <si>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</si>
  <si>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</si>
  <si>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</si>
  <si>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</si>
  <si>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</si>
  <si>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</si>
  <si>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</si>
  <si>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</si>
  <si>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</si>
  <si>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</si>
  <si>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</si>
  <si>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</si>
  <si>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</si>
  <si>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</si>
  <si>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</si>
  <si>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</si>
  <si>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</si>
  <si>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</si>
  <si>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</si>
  <si>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</si>
  <si>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</si>
  <si>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</si>
  <si>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</si>
  <si>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</si>
  <si>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</si>
  <si>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</si>
  <si>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</si>
  <si>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</si>
  <si>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</si>
  <si>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</si>
  <si>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</si>
  <si>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</si>
  <si>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</si>
  <si>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</si>
  <si>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</si>
  <si>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</si>
  <si>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</si>
  <si>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</si>
  <si>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</si>
  <si>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</si>
  <si>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</si>
  <si>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</si>
  <si>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</si>
  <si>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</si>
  <si>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</si>
  <si>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</si>
  <si>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</si>
  <si>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</si>
  <si>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</si>
  <si>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</si>
  <si>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</si>
  <si>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</si>
  <si>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</si>
  <si>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</si>
  <si>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</si>
  <si>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</si>
  <si>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</si>
  <si>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</si>
  <si>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</si>
  <si>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</si>
  <si>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</si>
  <si>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</si>
  <si>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</si>
  <si>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</si>
  <si>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</si>
  <si>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</si>
  <si>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</si>
  <si>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</si>
  <si>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</si>
  <si>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</si>
  <si>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</si>
  <si>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</si>
  <si>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</si>
  <si>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</si>
  <si>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</si>
  <si>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</si>
  <si>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</si>
  <si>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</si>
  <si>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</si>
  <si>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</si>
  <si>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</si>
  <si>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</si>
  <si>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</si>
  <si>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</si>
  <si>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</si>
  <si>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</si>
  <si>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</si>
  <si>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</si>
  <si>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</si>
  <si>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</si>
  <si>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</si>
  <si>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</si>
  <si>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</si>
  <si>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</si>
  <si>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</si>
  <si>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</si>
  <si>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</si>
  <si>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</si>
  <si>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</si>
  <si>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</si>
  <si>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</si>
  <si>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</si>
  <si>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</si>
  <si>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</si>
  <si>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</si>
  <si>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</si>
  <si>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</si>
  <si>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</si>
  <si>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</si>
  <si>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</si>
  <si>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</si>
  <si>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</si>
  <si>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</si>
  <si>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</si>
  <si>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</si>
  <si>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</si>
  <si>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</si>
  <si>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</si>
  <si>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</si>
  <si>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</si>
  <si>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</si>
  <si>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</si>
  <si>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</si>
  <si>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</si>
  <si>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</si>
  <si>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</si>
  <si>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</si>
  <si>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</si>
  <si>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</si>
  <si>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</si>
  <si>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</si>
  <si>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</si>
  <si>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</si>
  <si>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</si>
  <si>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</si>
  <si>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</si>
  <si>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</si>
  <si>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</si>
  <si>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</si>
  <si>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</si>
  <si>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</si>
  <si>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</si>
  <si>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</si>
  <si>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</si>
  <si>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</si>
  <si>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</si>
  <si>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</si>
  <si>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</si>
  <si>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</si>
  <si>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</si>
  <si>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</si>
  <si>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</si>
  <si>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</si>
  <si>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</si>
  <si>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</si>
  <si>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</si>
  <si>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</si>
  <si>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</si>
  <si>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</si>
  <si>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</si>
  <si>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</si>
  <si>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</si>
  <si>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</si>
  <si>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</si>
  <si>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</si>
  <si>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</si>
  <si>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</si>
  <si>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</si>
  <si>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</si>
  <si>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</si>
  <si>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</si>
  <si>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</si>
  <si>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</si>
  <si>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</si>
  <si>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</si>
  <si>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</si>
  <si>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</si>
  <si>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</si>
  <si>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</si>
  <si>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</si>
  <si>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</si>
  <si>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</si>
  <si>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</si>
  <si>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</si>
  <si>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</si>
  <si>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</si>
  <si>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</si>
  <si>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</si>
  <si>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</si>
  <si>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</si>
  <si>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</si>
  <si>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</si>
  <si>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</si>
  <si>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</si>
  <si>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</si>
  <si>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</si>
  <si>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</si>
  <si>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</si>
  <si>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</si>
  <si>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</si>
  <si>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</si>
  <si>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</si>
  <si>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</si>
  <si>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</si>
  <si>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</si>
  <si>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</si>
  <si>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</si>
  <si>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</si>
  <si>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</si>
  <si>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</si>
  <si>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</si>
  <si>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</si>
  <si>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</si>
  <si>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</si>
  <si>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</si>
  <si>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</si>
  <si>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</si>
  <si>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</si>
  <si>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</si>
  <si>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</si>
  <si>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</si>
  <si>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</si>
  <si>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</si>
  <si>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</si>
  <si>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</si>
  <si>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</si>
  <si>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</si>
  <si>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</si>
  <si>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</si>
  <si>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</si>
  <si>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</si>
  <si>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</si>
  <si>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</si>
  <si>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</si>
  <si>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</si>
  <si>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</si>
  <si>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</si>
  <si>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</si>
  <si>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</si>
  <si>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</si>
  <si>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</si>
  <si>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</si>
  <si>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</si>
  <si>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</si>
  <si>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</si>
  <si>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</si>
  <si>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</si>
  <si>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</si>
  <si>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</si>
  <si>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</si>
  <si>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</si>
  <si>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</si>
  <si>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</si>
  <si>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</si>
  <si>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</si>
  <si>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</si>
  <si>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</si>
  <si>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</si>
  <si>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</si>
  <si>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</si>
  <si>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</si>
  <si>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</si>
  <si>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</si>
  <si>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</si>
  <si>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</si>
  <si>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</si>
  <si>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</si>
  <si>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</si>
  <si>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</si>
  <si>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</si>
  <si>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</si>
  <si>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</si>
  <si>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</si>
  <si>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</si>
  <si>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</si>
  <si>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</si>
  <si>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</si>
  <si>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</si>
  <si>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</si>
  <si>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</si>
  <si>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</si>
  <si>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</si>
  <si>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</si>
  <si>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</si>
  <si>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</si>
  <si>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</si>
  <si>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</si>
  <si>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</si>
  <si>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</si>
  <si>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</si>
  <si>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</si>
  <si>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</si>
  <si>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</si>
  <si>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</si>
  <si>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</si>
  <si>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</si>
  <si>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</si>
  <si>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</si>
  <si>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</si>
  <si>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</si>
  <si>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</si>
  <si>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</si>
  <si>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</si>
  <si>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</si>
  <si>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</si>
  <si>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</si>
  <si>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</si>
  <si>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</si>
  <si>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</si>
  <si>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</si>
  <si>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</si>
  <si>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</si>
  <si>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</si>
  <si>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</si>
  <si>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</si>
  <si>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</si>
  <si>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</si>
  <si>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</si>
  <si>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</si>
  <si>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</si>
  <si>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</si>
  <si>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</si>
  <si>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</si>
  <si>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</si>
  <si>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</si>
  <si>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</si>
  <si>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</si>
  <si>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</si>
  <si>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</si>
  <si>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</si>
  <si>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</si>
  <si>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</si>
  <si>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</si>
  <si>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</si>
  <si>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</si>
  <si>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</si>
  <si>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</si>
  <si>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</si>
  <si>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</si>
  <si>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</si>
  <si>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</si>
  <si>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</si>
  <si>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</si>
  <si>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</si>
  <si>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</si>
  <si>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</si>
  <si>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</si>
  <si>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</si>
  <si>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</si>
  <si>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</si>
  <si>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</si>
  <si>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</si>
  <si>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</si>
  <si>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</si>
  <si>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</si>
  <si>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</si>
  <si>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</si>
  <si>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</si>
  <si>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</si>
  <si>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</si>
  <si>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</si>
  <si>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</si>
  <si>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</si>
  <si>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</si>
  <si>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</si>
  <si>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</si>
  <si>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</si>
  <si>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</si>
  <si>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</si>
  <si>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</si>
  <si>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</si>
  <si>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</si>
  <si>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</si>
  <si>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</si>
  <si>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</si>
  <si>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</si>
  <si>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</si>
  <si>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</si>
  <si>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</si>
  <si>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</si>
  <si>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</si>
  <si>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</si>
  <si>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</si>
  <si>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</si>
  <si>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</si>
  <si>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</si>
  <si>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</si>
  <si>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</si>
  <si>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</si>
  <si>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</si>
  <si>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</si>
  <si>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</si>
  <si>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</si>
  <si>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</si>
  <si>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</si>
  <si>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</si>
  <si>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</si>
  <si>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</si>
  <si>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</si>
  <si>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</si>
  <si>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</si>
  <si>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</si>
  <si>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</si>
  <si>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</si>
  <si>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</si>
  <si>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</si>
  <si>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</si>
  <si>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</si>
  <si>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</si>
  <si>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</si>
  <si>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</si>
  <si>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</si>
  <si>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</si>
  <si>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</si>
  <si>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</si>
  <si>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</si>
  <si>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</si>
  <si>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</si>
  <si>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</si>
  <si>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</si>
  <si>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</si>
  <si>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</si>
  <si>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</si>
  <si>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</si>
  <si>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</si>
  <si>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</si>
  <si>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</si>
  <si>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</si>
  <si>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</si>
  <si>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</si>
  <si>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</si>
  <si>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</si>
  <si>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</si>
  <si>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</si>
  <si>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</si>
  <si>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</si>
  <si>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</si>
  <si>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</si>
  <si>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</si>
  <si>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</si>
  <si>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</si>
  <si>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</si>
  <si>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</si>
  <si>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</si>
  <si>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</si>
  <si>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</si>
  <si>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</si>
  <si>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</si>
  <si>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</si>
  <si>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</si>
  <si>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</si>
  <si>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</si>
  <si>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</si>
  <si>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</si>
  <si>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</si>
  <si>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</si>
  <si>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</si>
  <si>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</si>
  <si>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</si>
  <si>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</si>
  <si>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</si>
  <si>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</si>
  <si>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</si>
  <si>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</si>
  <si>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</si>
  <si>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</si>
  <si>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</si>
  <si>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</si>
  <si>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</si>
  <si>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</si>
  <si>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</si>
  <si>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</si>
  <si>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</si>
  <si>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</si>
  <si>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</si>
  <si>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</si>
  <si>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</si>
  <si>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</si>
  <si>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</si>
  <si>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</si>
  <si>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</si>
  <si>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</si>
  <si>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</si>
  <si>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</si>
  <si>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</si>
  <si>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</si>
  <si>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</si>
  <si>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</si>
  <si>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</si>
  <si>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</si>
  <si>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</si>
  <si>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</si>
  <si>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</si>
  <si>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</si>
  <si>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</si>
  <si>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</si>
  <si>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</si>
  <si>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</si>
  <si>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</si>
  <si>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</si>
  <si>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</si>
  <si>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</si>
  <si>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</si>
  <si>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</si>
  <si>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</si>
  <si>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</si>
  <si>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</si>
  <si>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</si>
  <si>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</si>
  <si>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</si>
  <si>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</si>
  <si>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</si>
  <si>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</si>
  <si>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</si>
  <si>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</si>
  <si>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</si>
  <si>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</si>
  <si>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</si>
  <si>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</si>
  <si>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</si>
  <si>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</si>
  <si>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</si>
  <si>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</si>
  <si>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</si>
  <si>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</si>
  <si>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</si>
  <si>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</si>
  <si>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</si>
  <si>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</si>
  <si>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</si>
  <si>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</si>
  <si>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</si>
  <si>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</si>
  <si>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</si>
  <si>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</si>
  <si>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</si>
  <si>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</si>
  <si>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</si>
  <si>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</si>
  <si>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</si>
  <si>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</si>
  <si>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</si>
  <si>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</si>
  <si>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</si>
  <si>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</si>
  <si>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</si>
  <si>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</si>
  <si>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</si>
  <si>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</si>
  <si>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</si>
  <si>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</si>
  <si>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</si>
  <si>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</si>
  <si>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</si>
  <si>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</si>
  <si>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</si>
  <si>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</si>
  <si>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</si>
  <si>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</si>
  <si>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</si>
  <si>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</si>
  <si>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</si>
  <si>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</si>
  <si>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</si>
  <si>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</si>
  <si>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</si>
  <si>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</si>
  <si>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</si>
  <si>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</si>
  <si>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</si>
  <si>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</si>
  <si>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</si>
  <si>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</si>
  <si>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</si>
  <si>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</si>
  <si>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</si>
  <si>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</si>
  <si>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</si>
  <si>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</si>
  <si>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</si>
  <si>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</si>
  <si>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</si>
  <si>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</si>
  <si>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</si>
  <si>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</si>
  <si>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</si>
  <si>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</si>
  <si>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</si>
  <si>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</si>
  <si>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</si>
  <si>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</si>
  <si>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</si>
  <si>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</si>
  <si>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</si>
  <si>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</si>
  <si>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</si>
  <si>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</si>
  <si>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</si>
  <si>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</si>
  <si>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</si>
  <si>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</si>
  <si>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</si>
  <si>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</si>
  <si>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</si>
  <si>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</si>
  <si>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</si>
  <si>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</si>
  <si>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</si>
  <si>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</si>
  <si>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</si>
  <si>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</si>
  <si>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</si>
  <si>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</si>
  <si>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</si>
  <si>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</si>
  <si>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</si>
  <si>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</si>
  <si>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</si>
  <si>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</si>
  <si>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</si>
  <si>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</si>
  <si>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</si>
  <si>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</si>
  <si>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</si>
  <si>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</si>
  <si>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</si>
  <si>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</si>
  <si>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</si>
  <si>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</si>
  <si>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</si>
  <si>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</si>
  <si>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</si>
  <si>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</si>
  <si>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</si>
  <si>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</si>
  <si>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</si>
  <si>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</si>
  <si>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</si>
  <si>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</si>
  <si>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</si>
  <si>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</si>
  <si>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</si>
  <si>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</si>
  <si>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</si>
  <si>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</si>
  <si>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</si>
  <si>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</si>
  <si>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</si>
  <si>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</si>
  <si>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</si>
  <si>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</si>
  <si>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</si>
  <si>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</si>
  <si>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</si>
  <si>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</si>
  <si>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</si>
  <si>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</si>
  <si>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</si>
  <si>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</si>
  <si>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</si>
  <si>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</si>
  <si>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</si>
  <si>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</si>
  <si>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</si>
  <si>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</si>
  <si>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</si>
  <si>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</si>
  <si>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</si>
  <si>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</si>
  <si>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</si>
  <si>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</si>
  <si>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</si>
  <si>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</si>
  <si>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</si>
  <si>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</si>
  <si>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</si>
  <si>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</si>
  <si>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</si>
  <si>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</si>
  <si>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</si>
  <si>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</si>
  <si>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</si>
  <si>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</si>
  <si>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</si>
  <si>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</si>
  <si>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</si>
  <si>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</si>
  <si>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</si>
  <si>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</si>
  <si>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</si>
  <si>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</si>
  <si>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</si>
  <si>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</si>
  <si>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</si>
  <si>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</si>
  <si>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</si>
  <si>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</si>
  <si>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</si>
  <si>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</si>
  <si>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</si>
  <si>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</si>
  <si>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</si>
  <si>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</si>
  <si>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</si>
  <si>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</si>
  <si>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</si>
  <si>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</si>
  <si>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</si>
  <si>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</si>
  <si>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</si>
  <si>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</si>
  <si>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</si>
  <si>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</si>
  <si>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</si>
  <si>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</si>
  <si>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</si>
  <si>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</si>
  <si>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</si>
  <si>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</si>
  <si>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</si>
  <si>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</si>
  <si>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</si>
  <si>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</si>
  <si>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</si>
  <si>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</si>
  <si>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</si>
  <si>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</si>
  <si>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</si>
  <si>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</si>
  <si>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</si>
  <si>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</si>
  <si>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</si>
  <si>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</si>
  <si>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</si>
  <si>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</si>
  <si>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</si>
  <si>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</si>
  <si>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</si>
  <si>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</si>
  <si>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</si>
  <si>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</si>
  <si>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</si>
  <si>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</si>
  <si>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</si>
  <si>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</si>
  <si>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</si>
  <si>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</si>
  <si>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</si>
  <si>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</si>
  <si>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</si>
  <si>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</si>
  <si>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</si>
  <si>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</si>
  <si>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</si>
  <si>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</si>
  <si>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</si>
  <si>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</si>
  <si>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</si>
  <si>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</si>
  <si>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</si>
  <si>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</si>
  <si>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</si>
  <si>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</si>
  <si>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</si>
  <si>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</si>
  <si>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</si>
  <si>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</si>
  <si>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</si>
  <si>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</si>
  <si>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</si>
  <si>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</si>
  <si>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</si>
  <si>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</si>
  <si>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</si>
  <si>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</si>
  <si>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</si>
  <si>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</si>
  <si>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</si>
  <si>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</si>
  <si>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</si>
  <si>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</si>
  <si>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</si>
  <si>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</si>
  <si>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</si>
  <si>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</si>
  <si>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</si>
  <si>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</si>
  <si>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</si>
  <si>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</si>
  <si>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</si>
  <si>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</si>
  <si>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</si>
  <si>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</si>
  <si>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</si>
  <si>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</si>
  <si>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</si>
  <si>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</si>
  <si>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</si>
  <si>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</si>
  <si>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</si>
  <si>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</si>
  <si>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</si>
  <si>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</si>
  <si>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</si>
  <si>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</si>
  <si>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</si>
  <si>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</si>
  <si>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</si>
  <si>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</si>
  <si>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</si>
  <si>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</si>
  <si>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</si>
  <si>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</si>
  <si>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</si>
  <si>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</si>
  <si>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</si>
  <si>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</si>
  <si>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</si>
  <si>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</si>
  <si>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</si>
  <si>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</si>
  <si>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</si>
  <si>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</si>
  <si>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</si>
  <si>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</si>
  <si>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</si>
  <si>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</si>
  <si>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</si>
  <si>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</si>
  <si>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</si>
  <si>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</si>
  <si>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</si>
  <si>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</si>
  <si>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</si>
  <si>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</si>
  <si>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</si>
  <si>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</si>
  <si>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</si>
  <si>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</si>
  <si>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</si>
  <si>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</si>
  <si>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</si>
  <si>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</si>
  <si>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</si>
  <si>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</si>
  <si>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</si>
  <si>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</si>
  <si>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</si>
  <si>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</si>
  <si>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</si>
  <si>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</si>
  <si>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</si>
  <si>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</si>
  <si>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</si>
  <si>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</si>
  <si>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</si>
  <si>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</si>
  <si>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</si>
  <si>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</si>
  <si>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</si>
  <si>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</si>
  <si>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</si>
  <si>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</si>
  <si>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</si>
  <si>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</si>
  <si>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</si>
  <si>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</si>
  <si>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</si>
  <si>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</si>
  <si>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</si>
  <si>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</si>
  <si>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</si>
  <si>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</si>
  <si>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</si>
  <si>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</si>
  <si>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</si>
  <si>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</si>
  <si>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</si>
  <si>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</si>
  <si>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</si>
  <si>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</si>
  <si>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</si>
  <si>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</si>
  <si>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</si>
  <si>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</si>
  <si>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</si>
  <si>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</si>
  <si>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</si>
  <si>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</si>
  <si>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</si>
  <si>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</si>
  <si>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</si>
  <si>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</si>
  <si>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</si>
  <si>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</si>
  <si>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</si>
  <si>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</si>
  <si>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</si>
  <si>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</si>
  <si>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</si>
  <si>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</si>
  <si>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</si>
  <si>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</si>
  <si>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</si>
  <si>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</si>
  <si>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</si>
  <si>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</si>
  <si>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</si>
  <si>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</si>
  <si>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</si>
  <si>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</si>
  <si>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</si>
  <si>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</si>
  <si>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</si>
  <si>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</si>
  <si>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</si>
  <si>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</si>
  <si>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</si>
  <si>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</si>
  <si>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</si>
  <si>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</si>
  <si>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</si>
  <si>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</si>
  <si>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</si>
  <si>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</si>
  <si>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</si>
  <si>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</si>
  <si>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</si>
  <si>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</si>
  <si>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</si>
  <si>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</si>
  <si>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</si>
  <si>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</si>
  <si>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</si>
  <si>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</si>
  <si>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</si>
  <si>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</si>
  <si>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</si>
  <si>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</si>
  <si>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</si>
  <si>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</si>
  <si>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</si>
  <si>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</si>
  <si>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</si>
  <si>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</si>
  <si>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</si>
  <si>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</si>
  <si>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</si>
  <si>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</si>
  <si>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</si>
  <si>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</si>
  <si>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</si>
  <si>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</si>
  <si>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</si>
  <si>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</si>
  <si>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</si>
  <si>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</si>
  <si>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</si>
  <si>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</si>
  <si>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</si>
  <si>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</si>
  <si>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</si>
  <si>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</si>
  <si>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</si>
  <si>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</si>
  <si>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</si>
  <si>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</si>
  <si>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</si>
  <si>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</si>
  <si>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</si>
  <si>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</si>
  <si>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</si>
  <si>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</si>
  <si>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</si>
  <si>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</si>
  <si>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</si>
  <si>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</si>
  <si>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</si>
  <si>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</si>
  <si>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</si>
  <si>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</si>
  <si>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</si>
  <si>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</si>
  <si>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</si>
  <si>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</si>
  <si>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</si>
  <si>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</si>
  <si>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</si>
  <si>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</si>
  <si>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</si>
  <si>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</si>
  <si>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</si>
  <si>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</si>
  <si>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</si>
  <si>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</si>
  <si>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</si>
  <si>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</si>
  <si>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</si>
  <si>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</si>
  <si>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</si>
  <si>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</si>
  <si>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</si>
  <si>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</si>
  <si>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</si>
  <si>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</si>
  <si>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</si>
  <si>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</si>
  <si>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</si>
  <si>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</si>
  <si>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</si>
  <si>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</si>
  <si>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</si>
  <si>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</si>
  <si>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</si>
  <si>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</si>
  <si>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</si>
  <si>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</si>
  <si>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</si>
  <si>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</si>
  <si>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</si>
  <si>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</si>
  <si>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</si>
  <si>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</si>
  <si>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</si>
  <si>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</si>
  <si>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</si>
  <si>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</si>
  <si>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</si>
  <si>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</si>
  <si>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</si>
  <si>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</si>
  <si>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</si>
  <si>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</si>
  <si>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</si>
  <si>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</si>
  <si>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</si>
  <si>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</si>
  <si>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</si>
  <si>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</si>
  <si>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</si>
  <si>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</si>
  <si>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</si>
  <si>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</si>
  <si>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</si>
  <si>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</si>
  <si>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</si>
  <si>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</si>
  <si>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</si>
  <si>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</si>
  <si>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</si>
  <si>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</si>
  <si>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</si>
  <si>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</si>
  <si>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</si>
  <si>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</si>
  <si>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</si>
  <si>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</si>
  <si>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</si>
  <si>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</si>
  <si>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</si>
  <si>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</si>
  <si>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</si>
  <si>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</si>
  <si>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</si>
  <si>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</si>
  <si>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</si>
  <si>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</si>
  <si>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</si>
  <si>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</si>
  <si>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</si>
  <si>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</si>
  <si>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</si>
  <si>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</si>
  <si>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</si>
  <si>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</si>
  <si>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</si>
  <si>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</si>
  <si>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</si>
  <si>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</si>
  <si>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</si>
  <si>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</si>
  <si>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</si>
  <si>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</si>
  <si>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</si>
  <si>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</si>
  <si>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</si>
  <si>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</si>
  <si>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</si>
  <si>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</si>
  <si>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</si>
  <si>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</si>
  <si>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</si>
  <si>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</si>
  <si>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</si>
  <si>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</si>
  <si>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</si>
  <si>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</si>
  <si>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</si>
  <si>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</si>
  <si>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</si>
  <si>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</si>
  <si>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</si>
  <si>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</si>
  <si>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</si>
  <si>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</si>
  <si>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</si>
  <si>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</si>
  <si>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</si>
  <si>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</si>
  <si>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</si>
  <si>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</si>
  <si>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</si>
  <si>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</si>
  <si>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</si>
  <si>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</si>
  <si>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</si>
  <si>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</si>
  <si>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</si>
  <si>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</si>
  <si>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</si>
  <si>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</si>
  <si>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</si>
  <si>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</si>
  <si>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</si>
  <si>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</si>
  <si>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</si>
  <si>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</si>
  <si>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</si>
  <si>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</si>
  <si>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</si>
  <si>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</si>
  <si>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</si>
  <si>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</si>
  <si>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</si>
  <si>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</si>
  <si>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</si>
  <si>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</si>
  <si>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</si>
  <si>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</si>
  <si>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</si>
  <si>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</si>
  <si>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</si>
  <si>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</si>
  <si>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</si>
  <si>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</si>
  <si>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</si>
  <si>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</si>
  <si>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</si>
  <si>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</si>
  <si>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</si>
  <si>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</si>
  <si>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</si>
  <si>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</si>
  <si>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</si>
  <si>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</si>
  <si>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</si>
  <si>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</si>
  <si>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</si>
  <si>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</si>
  <si>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</si>
  <si>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</si>
  <si>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</si>
  <si>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</si>
  <si>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</si>
  <si>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</si>
  <si>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</si>
  <si>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</si>
  <si>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</si>
  <si>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</si>
  <si>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</si>
  <si>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</si>
  <si>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</si>
  <si>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</si>
  <si>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</si>
  <si>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</si>
  <si>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</si>
  <si>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</si>
  <si>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</si>
  <si>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</si>
  <si>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</si>
  <si>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</si>
  <si>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</si>
  <si>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</si>
  <si>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</si>
  <si>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</si>
  <si>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</si>
  <si>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</si>
  <si>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</si>
  <si>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</si>
  <si>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</si>
  <si>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</si>
  <si>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</si>
  <si>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</si>
  <si>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</si>
  <si>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</si>
  <si>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</si>
  <si>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</si>
  <si>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</si>
  <si>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</si>
  <si>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</si>
  <si>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</si>
  <si>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</si>
  <si>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</si>
  <si>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</si>
  <si>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</si>
  <si>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</si>
  <si>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</si>
  <si>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</si>
  <si>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</si>
  <si>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</si>
  <si>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</si>
  <si>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</si>
  <si>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</si>
  <si>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</si>
  <si>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</si>
  <si>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</si>
  <si>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</si>
  <si>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</si>
  <si>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</si>
  <si>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</si>
  <si>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</si>
  <si>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</si>
  <si>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</si>
  <si>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</si>
  <si>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</si>
  <si>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</si>
  <si>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</si>
  <si>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</si>
  <si>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</si>
  <si>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</si>
  <si>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</si>
  <si>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</si>
  <si>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</si>
  <si>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</si>
  <si>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</si>
  <si>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</si>
  <si>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</si>
  <si>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</si>
  <si>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</si>
  <si>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</si>
  <si>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</si>
  <si>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</si>
  <si>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</si>
  <si>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</si>
  <si>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</si>
  <si>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</si>
  <si>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</si>
  <si>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</si>
  <si>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</si>
  <si>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</si>
  <si>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</si>
  <si>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</si>
  <si>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</si>
  <si>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</si>
  <si>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</si>
  <si>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</si>
  <si>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</si>
  <si>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</si>
  <si>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</si>
  <si>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</si>
  <si>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</si>
  <si>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</si>
  <si>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</si>
  <si>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</si>
  <si>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</si>
  <si>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</si>
  <si>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</si>
  <si>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</si>
  <si>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</si>
  <si>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</si>
  <si>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</si>
  <si>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</si>
  <si>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</si>
  <si>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</si>
  <si>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</si>
  <si>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</si>
  <si>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</si>
  <si>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</si>
  <si>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</si>
  <si>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</si>
  <si>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</si>
  <si>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</si>
  <si>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</si>
  <si>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</si>
  <si>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</si>
  <si>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</si>
  <si>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</si>
  <si>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</si>
  <si>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</si>
  <si>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</si>
  <si>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</si>
  <si>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</si>
  <si>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</si>
  <si>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</si>
  <si>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</si>
  <si>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</si>
  <si>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</si>
  <si>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</si>
  <si>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</si>
  <si>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</si>
  <si>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</si>
  <si>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</si>
  <si>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</si>
  <si>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</si>
  <si>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</si>
  <si>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</si>
  <si>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</si>
  <si>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</si>
  <si>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</si>
  <si>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</si>
  <si>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</si>
  <si>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</si>
  <si>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</si>
  <si>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</si>
  <si>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</si>
  <si>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</si>
  <si>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</si>
  <si>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</si>
  <si>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</si>
  <si>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</si>
  <si>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</si>
  <si>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</si>
  <si>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</si>
  <si>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</si>
  <si>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</si>
  <si>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</si>
  <si>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</si>
  <si>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</si>
  <si>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</si>
  <si>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</si>
  <si>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</si>
  <si>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</si>
  <si>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</si>
  <si>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</si>
  <si>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</si>
  <si>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</si>
  <si>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</si>
  <si>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</si>
  <si>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</si>
  <si>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</si>
  <si>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</si>
  <si>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</si>
  <si>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</si>
  <si>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</si>
  <si>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</si>
  <si>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</si>
  <si>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</si>
  <si>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</si>
  <si>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</si>
  <si>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</si>
  <si>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</si>
  <si>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</si>
  <si>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</si>
  <si>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</si>
  <si>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</si>
  <si>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</si>
  <si>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</si>
  <si>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</si>
  <si>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</si>
  <si>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</si>
  <si>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</si>
  <si>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</si>
  <si>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</si>
  <si>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</si>
  <si>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</si>
  <si>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</si>
  <si>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</si>
  <si>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</si>
  <si>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</si>
  <si>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</si>
  <si>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</si>
  <si>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</si>
  <si>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</si>
  <si>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</si>
  <si>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</si>
  <si>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</si>
  <si>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</si>
  <si>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</si>
  <si>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</si>
  <si>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</si>
  <si>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</si>
  <si>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</si>
  <si>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</si>
  <si>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</si>
  <si>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</si>
  <si>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</si>
  <si>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</si>
  <si>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</si>
  <si>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</si>
  <si>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</si>
  <si>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</si>
  <si>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</si>
  <si>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</si>
  <si>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</si>
  <si>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</si>
  <si>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</si>
  <si>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</si>
  <si>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</si>
  <si>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</si>
  <si>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</si>
  <si>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</si>
  <si>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</si>
  <si>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</si>
  <si>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</si>
  <si>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</si>
  <si>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</si>
  <si>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</si>
  <si>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</si>
  <si>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</si>
  <si>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</si>
  <si>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</si>
  <si>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</si>
  <si>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</si>
  <si>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</si>
  <si>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</si>
  <si>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</si>
  <si>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</si>
  <si>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</si>
  <si>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</si>
  <si>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</si>
  <si>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</si>
  <si>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</si>
  <si>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</si>
  <si>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</si>
  <si>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</si>
  <si>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</si>
  <si>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</si>
  <si>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</si>
  <si>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</si>
  <si>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</si>
  <si>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</si>
  <si>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</si>
  <si>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</si>
  <si>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</si>
  <si>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</si>
  <si>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</si>
  <si>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</si>
  <si>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</si>
  <si>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</si>
  <si>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</si>
  <si>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</si>
  <si>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</si>
  <si>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</si>
  <si>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</si>
  <si>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</si>
  <si>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</si>
  <si>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</si>
  <si>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</si>
  <si>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</si>
  <si>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</si>
  <si>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</si>
  <si>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</si>
  <si>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</si>
  <si>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</si>
  <si>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</si>
  <si>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</si>
  <si>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</si>
  <si>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</si>
  <si>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</si>
  <si>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</si>
  <si>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</si>
  <si>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</si>
  <si>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</si>
  <si>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</si>
  <si>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</si>
  <si>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</si>
  <si>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</si>
  <si>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</si>
  <si>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</si>
  <si>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</si>
  <si>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</si>
  <si>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</si>
  <si>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</si>
  <si>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</si>
  <si>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</si>
  <si>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</si>
  <si>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</si>
  <si>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</si>
  <si>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</si>
  <si>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</si>
  <si>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</si>
  <si>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</si>
  <si>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</si>
  <si>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</si>
  <si>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</si>
  <si>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</si>
  <si>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</si>
  <si>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</si>
  <si>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</si>
  <si>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</si>
  <si>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</si>
  <si>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</si>
  <si>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</si>
  <si>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</si>
  <si>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</si>
  <si>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</si>
  <si>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</si>
  <si>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</si>
  <si>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</si>
  <si>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</si>
  <si>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</si>
  <si>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</si>
  <si>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</si>
  <si>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</si>
  <si>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</si>
  <si>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</si>
  <si>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</si>
  <si>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</si>
  <si>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</si>
  <si>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</si>
  <si>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</si>
  <si>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</si>
  <si>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</si>
  <si>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</si>
  <si>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</si>
  <si>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</si>
  <si>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</si>
  <si>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</si>
  <si>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</si>
  <si>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</si>
  <si>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</si>
  <si>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</si>
  <si>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</si>
  <si>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</si>
  <si>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</si>
  <si>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</si>
  <si>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</si>
  <si>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</si>
  <si>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</si>
  <si>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</si>
  <si>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</si>
  <si>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</si>
  <si>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</si>
  <si>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</si>
  <si>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</si>
  <si>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</si>
  <si>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</si>
  <si>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</si>
  <si>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</si>
  <si>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</si>
  <si>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</si>
  <si>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</si>
  <si>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</si>
  <si>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</si>
  <si>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</si>
  <si>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</si>
  <si>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</si>
  <si>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</si>
  <si>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</si>
  <si>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</si>
  <si>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</si>
  <si>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</si>
  <si>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</si>
  <si>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</si>
  <si>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</si>
  <si>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</si>
  <si>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</si>
  <si>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</si>
  <si>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</si>
  <si>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</si>
  <si>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</si>
  <si>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</si>
  <si>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</si>
  <si>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</si>
  <si>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</si>
  <si>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</si>
  <si>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</si>
  <si>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</si>
  <si>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</si>
  <si>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</si>
  <si>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</si>
  <si>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</si>
  <si>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</si>
  <si>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</si>
  <si>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</si>
  <si>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</si>
  <si>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</si>
  <si>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</si>
  <si>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</si>
  <si>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</si>
  <si>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</si>
  <si>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</si>
  <si>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</si>
  <si>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</si>
  <si>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</si>
  <si>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</si>
  <si>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</si>
  <si>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</si>
  <si>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</si>
  <si>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</si>
  <si>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</si>
  <si>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</si>
  <si>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</si>
  <si>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</si>
  <si>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</si>
  <si>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</si>
  <si>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</si>
  <si>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</si>
  <si>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</si>
  <si>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</si>
  <si>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</si>
  <si>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</si>
  <si>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</si>
  <si>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</si>
  <si>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</si>
  <si>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</si>
  <si>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</si>
  <si>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</si>
  <si>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</si>
  <si>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</si>
  <si>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</si>
  <si>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</si>
  <si>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</si>
  <si>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</si>
  <si>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</si>
  <si>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</si>
  <si>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</si>
  <si>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</si>
  <si>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</si>
  <si>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</si>
  <si>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</si>
  <si>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</si>
  <si>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</si>
  <si>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</si>
  <si>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</si>
  <si>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</si>
  <si>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</si>
  <si>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</si>
  <si>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</si>
  <si>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</si>
  <si>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</si>
  <si>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</si>
  <si>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</si>
  <si>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</si>
  <si>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</si>
  <si>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</si>
  <si>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</si>
  <si>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</si>
  <si>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</si>
  <si>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</si>
  <si>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</si>
  <si>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</si>
  <si>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</si>
  <si>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</si>
  <si>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</si>
  <si>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</si>
  <si>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</si>
  <si>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</si>
  <si>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</si>
  <si>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</si>
  <si>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</si>
  <si>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</si>
  <si>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</si>
  <si>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</si>
  <si>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</si>
  <si>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</si>
  <si>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</si>
  <si>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</si>
  <si>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</si>
  <si>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</si>
  <si>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</si>
  <si>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</si>
  <si>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</si>
  <si>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</si>
  <si>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</si>
  <si>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</si>
  <si>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</si>
  <si>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</si>
  <si>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</si>
  <si>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</si>
  <si>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</si>
  <si>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</si>
  <si>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</si>
  <si>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</si>
  <si>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</si>
  <si>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</si>
  <si>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</si>
  <si>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</si>
  <si>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</si>
  <si>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</si>
  <si>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</si>
  <si>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</si>
  <si>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</si>
  <si>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</si>
  <si>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</si>
  <si>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</si>
  <si>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</si>
  <si>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</si>
  <si>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</si>
  <si>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</si>
  <si>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</si>
  <si>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</si>
  <si>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</si>
  <si>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</si>
  <si>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</si>
  <si>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</si>
  <si>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</si>
  <si>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</si>
  <si>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</si>
  <si>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</si>
  <si>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</si>
  <si>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</si>
  <si>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</si>
  <si>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</si>
  <si>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</si>
  <si>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</si>
  <si>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</si>
  <si>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</si>
  <si>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</si>
  <si>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</si>
  <si>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</si>
  <si>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</si>
  <si>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</si>
  <si>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</si>
  <si>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</si>
  <si>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</si>
  <si>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</si>
  <si>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</si>
  <si>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</si>
  <si>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</si>
  <si>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</si>
  <si>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</si>
  <si>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</si>
  <si>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</si>
  <si>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</si>
  <si>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</si>
  <si>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</si>
  <si>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</si>
  <si>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</si>
  <si>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</si>
  <si>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</si>
  <si>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</si>
  <si>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</si>
  <si>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</si>
  <si>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</si>
  <si>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</si>
  <si>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</si>
  <si>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</si>
  <si>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</si>
  <si>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</si>
  <si>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</si>
  <si>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</si>
  <si>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</si>
  <si>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</si>
  <si>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</si>
  <si>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</si>
  <si>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</si>
  <si>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</si>
  <si>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</si>
  <si>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</si>
  <si>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</si>
  <si>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</si>
  <si>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</si>
  <si>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</si>
  <si>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</si>
  <si>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</si>
  <si>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</si>
  <si>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</si>
  <si>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</si>
  <si>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</si>
  <si>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</si>
  <si>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</si>
  <si>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</si>
  <si>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</si>
  <si>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</si>
  <si>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</si>
  <si>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</si>
  <si>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</si>
  <si>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</si>
  <si>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</si>
  <si>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</si>
  <si>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</si>
  <si>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</si>
  <si>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</si>
  <si>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</si>
  <si>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</si>
  <si>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</si>
  <si>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</si>
  <si>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</si>
  <si>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</si>
  <si>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</si>
  <si>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</si>
  <si>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</si>
  <si>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</si>
  <si>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</si>
  <si>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</si>
  <si>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</si>
  <si>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</si>
  <si>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</si>
  <si>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</si>
  <si>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</si>
  <si>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</si>
  <si>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</si>
  <si>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</si>
  <si>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</si>
  <si>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</si>
  <si>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</si>
  <si>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</si>
  <si>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</si>
  <si>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</si>
  <si>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</si>
  <si>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</si>
  <si>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</si>
  <si>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</si>
  <si>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</si>
  <si>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</si>
  <si>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</si>
  <si>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</si>
  <si>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</si>
  <si>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</si>
  <si>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</si>
  <si>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</si>
  <si>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</si>
  <si>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</si>
  <si>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</si>
  <si>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</si>
  <si>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</si>
  <si>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</si>
  <si>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</si>
  <si>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</si>
  <si>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</si>
  <si>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</si>
  <si>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</si>
  <si>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</si>
  <si>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</si>
  <si>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</si>
  <si>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</si>
  <si>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</si>
  <si>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</si>
  <si>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</si>
  <si>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</si>
  <si>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</si>
  <si>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</si>
  <si>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</si>
  <si>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</si>
  <si>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</si>
  <si>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</si>
  <si>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</si>
  <si>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</si>
  <si>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</si>
  <si>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</si>
  <si>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</si>
  <si>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</si>
  <si>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</si>
  <si>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</si>
  <si>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</si>
  <si>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</si>
  <si>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</si>
  <si>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</si>
  <si>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</si>
  <si>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</si>
  <si>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</si>
  <si>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</si>
  <si>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</si>
  <si>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</si>
  <si>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</si>
  <si>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</si>
  <si>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</si>
  <si>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</si>
  <si>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</si>
  <si>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</si>
  <si>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</si>
  <si>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</si>
  <si>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</si>
  <si>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</si>
  <si>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</si>
  <si>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</si>
  <si>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</si>
  <si>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</si>
  <si>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</si>
  <si>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</si>
  <si>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</si>
  <si>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</si>
  <si>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</si>
  <si>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</si>
  <si>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</si>
  <si>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</si>
  <si>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</si>
  <si>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</si>
  <si>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</si>
  <si>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</si>
  <si>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</si>
  <si>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</si>
  <si>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</si>
  <si>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</si>
  <si>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</si>
  <si>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</si>
  <si>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</si>
  <si>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</si>
  <si>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</si>
  <si>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</si>
  <si>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</si>
  <si>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</si>
  <si>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</si>
  <si>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</si>
  <si>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</si>
  <si>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</si>
  <si>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</si>
  <si>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</si>
  <si>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</si>
  <si>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</si>
  <si>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</si>
  <si>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</si>
  <si>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</si>
  <si>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</si>
  <si>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</si>
  <si>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</si>
  <si>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</si>
  <si>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</si>
  <si>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</si>
  <si>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</si>
  <si>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</si>
  <si>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</si>
  <si>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</si>
  <si>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</si>
  <si>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</si>
  <si>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</si>
  <si>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</si>
  <si>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</si>
  <si>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</si>
  <si>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</si>
  <si>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</si>
  <si>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</si>
  <si>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</si>
  <si>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</si>
  <si>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</si>
  <si>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</si>
  <si>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</si>
  <si>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</si>
  <si>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</si>
  <si>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</si>
  <si>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</si>
  <si>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</si>
  <si>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</si>
  <si>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</si>
  <si>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</si>
  <si>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</si>
  <si>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</si>
  <si>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</si>
  <si>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</si>
  <si>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</si>
  <si>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</si>
  <si>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</si>
  <si>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</si>
  <si>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</si>
  <si>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</si>
  <si>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</si>
  <si>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</si>
  <si>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</si>
  <si>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</si>
  <si>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</si>
  <si>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</si>
  <si>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</si>
  <si>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</si>
  <si>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</si>
  <si>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</si>
  <si>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</si>
  <si>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</si>
  <si>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</si>
  <si>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</si>
  <si>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</si>
  <si>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</si>
  <si>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</si>
  <si>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</si>
  <si>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</si>
  <si>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</si>
  <si>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</si>
  <si>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</si>
  <si>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</si>
  <si>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</si>
  <si>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</si>
  <si>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</si>
  <si>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</si>
  <si>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</si>
  <si>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</si>
  <si>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</si>
  <si>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</si>
  <si>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</si>
  <si>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</si>
  <si>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</si>
  <si>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</si>
  <si>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</si>
  <si>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</si>
  <si>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</si>
  <si>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</si>
  <si>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</si>
  <si>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</si>
  <si>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</si>
  <si>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</si>
  <si>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</si>
  <si>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</si>
  <si>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</si>
  <si>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</si>
  <si>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</si>
  <si>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</si>
  <si>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</si>
  <si>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</si>
  <si>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</si>
  <si>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</si>
  <si>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</si>
  <si>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</si>
  <si>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</si>
  <si>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</si>
  <si>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</si>
  <si>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</si>
  <si>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</si>
  <si>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</si>
  <si>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</si>
  <si>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</si>
  <si>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</si>
  <si>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</si>
  <si>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</si>
  <si>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</si>
  <si>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</si>
  <si>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</si>
  <si>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</si>
  <si>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</si>
  <si>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</si>
  <si>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</si>
  <si>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</si>
  <si>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</si>
  <si>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</si>
  <si>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</si>
  <si>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</si>
  <si>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</si>
  <si>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</si>
  <si>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</si>
  <si>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</si>
  <si>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</si>
  <si>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</si>
  <si>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</si>
  <si>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</si>
  <si>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</si>
  <si>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</si>
  <si>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</si>
  <si>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</si>
  <si>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</si>
  <si>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</si>
  <si>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</si>
  <si>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</si>
  <si>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</si>
  <si>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</si>
  <si>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</si>
  <si>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</si>
  <si>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</si>
  <si>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</si>
  <si>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</si>
  <si>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</si>
  <si>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</si>
  <si>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</si>
  <si>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</si>
  <si>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</si>
  <si>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</si>
  <si>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</si>
  <si>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</si>
  <si>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</si>
  <si>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</si>
  <si>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</si>
  <si>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</si>
  <si>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</si>
  <si>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</si>
  <si>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</si>
  <si>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</si>
  <si>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</si>
  <si>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</si>
  <si>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</si>
  <si>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</si>
  <si>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</si>
  <si>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</si>
  <si>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</si>
  <si>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</si>
  <si>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</si>
  <si>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</si>
  <si>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</si>
  <si>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</si>
  <si>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</si>
  <si>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</si>
  <si>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</si>
  <si>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</si>
  <si>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</si>
  <si>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</si>
  <si>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</si>
  <si>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</si>
  <si>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</si>
  <si>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</si>
  <si>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</si>
  <si>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</si>
  <si>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</si>
  <si>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</si>
  <si>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</si>
  <si>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</si>
  <si>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</si>
  <si>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</si>
  <si>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</si>
  <si>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</si>
  <si>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</si>
  <si>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</si>
  <si>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</si>
  <si>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</si>
  <si>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</si>
  <si>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</si>
  <si>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</si>
  <si>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</si>
  <si>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</si>
  <si>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</si>
  <si>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</si>
  <si>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</si>
  <si>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</si>
  <si>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</si>
  <si>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</si>
  <si>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</si>
  <si>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</si>
  <si>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</si>
  <si>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</si>
  <si>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</si>
  <si>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</si>
  <si>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</si>
  <si>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</si>
  <si>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</si>
  <si>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</si>
  <si>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</si>
  <si>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</si>
  <si>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</si>
  <si>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</si>
  <si>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</si>
  <si>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</si>
  <si>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</si>
  <si>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</si>
  <si>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</si>
  <si>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</si>
  <si>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</si>
  <si>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</si>
  <si>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</si>
  <si>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</si>
  <si>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</si>
  <si>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</si>
  <si>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</si>
  <si>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</si>
  <si>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</si>
  <si>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</si>
  <si>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</si>
  <si>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</si>
  <si>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</si>
  <si>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</si>
  <si>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</si>
  <si>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</si>
  <si>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</si>
  <si>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</si>
  <si>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</si>
  <si>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</si>
  <si>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</si>
  <si>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</si>
  <si>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</si>
  <si>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</si>
  <si>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</si>
  <si>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</si>
  <si>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</si>
  <si>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</si>
  <si>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</si>
  <si>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</si>
  <si>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</si>
  <si>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</si>
  <si>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</si>
  <si>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</si>
  <si>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</si>
  <si>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</si>
  <si>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</si>
  <si>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</si>
  <si>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</si>
  <si>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</si>
  <si>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</si>
  <si>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</si>
  <si>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</si>
  <si>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</si>
  <si>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</si>
  <si>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</si>
  <si>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</si>
  <si>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</si>
  <si>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</si>
  <si>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</si>
  <si>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</si>
  <si>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</si>
  <si>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</si>
  <si>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</si>
  <si>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</si>
  <si>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</si>
  <si>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</si>
  <si>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</si>
  <si>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</si>
  <si>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</si>
  <si>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</si>
  <si>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</si>
  <si>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</si>
  <si>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</si>
  <si>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</si>
  <si>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</si>
  <si>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</si>
  <si>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</si>
  <si>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</si>
  <si>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</si>
  <si>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</si>
  <si>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</si>
  <si>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</si>
  <si>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</si>
  <si>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</si>
  <si>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</si>
  <si>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</si>
  <si>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</si>
  <si>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</si>
  <si>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</si>
  <si>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</si>
  <si>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</si>
  <si>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</si>
  <si>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</si>
  <si>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</si>
  <si>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</si>
  <si>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</si>
  <si>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</si>
  <si>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</si>
  <si>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</si>
  <si>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</si>
  <si>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</si>
  <si>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</si>
  <si>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</si>
  <si>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</si>
  <si>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</si>
  <si>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</si>
  <si>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</si>
  <si>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</si>
  <si>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</si>
  <si>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</si>
  <si>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</si>
  <si>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</si>
  <si>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</si>
  <si>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</si>
  <si>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</si>
  <si>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</si>
  <si>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</si>
  <si>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</si>
  <si>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</si>
  <si>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</si>
  <si>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</si>
  <si>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</si>
  <si>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</si>
  <si>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</si>
  <si>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</si>
  <si>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</si>
  <si>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</si>
  <si>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</si>
  <si>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</si>
  <si>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</si>
  <si>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</si>
  <si>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</si>
  <si>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</si>
  <si>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</si>
  <si>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</si>
  <si>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</si>
  <si>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</si>
  <si>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</si>
  <si>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</si>
  <si>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</si>
  <si>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</si>
  <si>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</si>
  <si>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</si>
  <si>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</si>
  <si>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</si>
  <si>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</si>
  <si>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</si>
  <si>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</si>
  <si>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</si>
  <si>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</si>
  <si>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</si>
  <si>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</si>
  <si>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</si>
  <si>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</si>
  <si>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</si>
  <si>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</si>
  <si>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</si>
  <si>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</si>
  <si>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</si>
  <si>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</si>
  <si>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</si>
  <si>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</si>
  <si>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</si>
  <si>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</si>
  <si>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</si>
  <si>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</si>
  <si>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</si>
  <si>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</si>
  <si>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</si>
  <si>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</si>
  <si>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</si>
  <si>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</si>
  <si>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</si>
  <si>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</si>
  <si>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</si>
  <si>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</si>
  <si>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</si>
  <si>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</si>
  <si>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</si>
  <si>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</si>
  <si>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</si>
  <si>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</si>
  <si>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</si>
  <si>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</si>
  <si>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</si>
  <si>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</si>
  <si>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</si>
  <si>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</si>
  <si>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</si>
  <si>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</si>
  <si>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</si>
  <si>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</si>
  <si>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</si>
  <si>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</si>
  <si>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</si>
  <si>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</si>
  <si>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</si>
  <si>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</si>
  <si>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</si>
  <si>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</si>
  <si>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</si>
  <si>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</si>
  <si>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</si>
  <si>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</si>
  <si>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</si>
  <si>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</si>
  <si>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</si>
  <si>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</si>
  <si>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</si>
  <si>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</si>
  <si>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</si>
  <si>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</si>
  <si>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</si>
  <si>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</si>
  <si>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</si>
  <si>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</si>
  <si>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</si>
  <si>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</si>
  <si>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</si>
  <si>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</si>
  <si>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</si>
  <si>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</si>
  <si>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</si>
  <si>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</si>
  <si>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</si>
  <si>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</si>
  <si>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</si>
  <si>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</si>
  <si>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</si>
  <si>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</si>
  <si>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</si>
  <si>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</si>
  <si>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</si>
  <si>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</si>
  <si>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</si>
  <si>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</si>
  <si>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</si>
  <si>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</si>
  <si>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</si>
  <si>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</si>
  <si>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</si>
  <si>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</si>
  <si>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</si>
  <si>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</si>
  <si>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</si>
  <si>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</si>
  <si>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</si>
  <si>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</si>
  <si>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</si>
  <si>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</si>
  <si>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</si>
  <si>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</si>
  <si>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</si>
  <si>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</si>
  <si>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</si>
  <si>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</si>
  <si>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</si>
  <si>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</si>
  <si>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</si>
  <si>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</si>
  <si>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</si>
  <si>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</si>
  <si>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</si>
  <si>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</si>
  <si>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</si>
  <si>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</si>
  <si>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</si>
  <si>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</si>
  <si>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</si>
  <si>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</si>
  <si>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</si>
  <si>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</si>
  <si>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</si>
  <si>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</si>
  <si>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</si>
  <si>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</si>
  <si>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</si>
  <si>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</si>
  <si>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</si>
  <si>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</si>
  <si>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</si>
  <si>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</si>
  <si>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</si>
  <si>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</si>
  <si>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</si>
  <si>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</si>
  <si>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</si>
  <si>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</si>
  <si>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</si>
  <si>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</si>
  <si>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</si>
  <si>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</si>
  <si>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</si>
  <si>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</si>
  <si>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</si>
  <si>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</si>
  <si>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</si>
  <si>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</si>
  <si>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</si>
  <si>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</si>
  <si>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</si>
  <si>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</si>
  <si>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</si>
  <si>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</si>
  <si>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</si>
  <si>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</si>
  <si>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</si>
  <si>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</si>
  <si>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</si>
  <si>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</si>
  <si>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</si>
  <si>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</si>
  <si>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</si>
  <si>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</si>
  <si>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</si>
  <si>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</si>
  <si>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</si>
  <si>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</si>
  <si>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</si>
  <si>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</si>
  <si>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</si>
  <si>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</si>
  <si>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</si>
  <si>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</si>
  <si>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</si>
  <si>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</si>
  <si>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</si>
  <si>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</si>
  <si>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</si>
  <si>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</si>
  <si>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</si>
  <si>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</si>
  <si>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</si>
  <si>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</si>
  <si>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</si>
  <si>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</si>
  <si>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</si>
  <si>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</si>
  <si>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</si>
  <si>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</si>
  <si>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</si>
  <si>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</si>
  <si>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</si>
  <si>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</si>
  <si>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</si>
  <si>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</si>
  <si>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</si>
  <si>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</si>
  <si>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</si>
  <si>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</si>
  <si>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</si>
  <si>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</si>
  <si>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</si>
  <si>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</si>
  <si>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</si>
  <si>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</si>
  <si>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</si>
  <si>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</si>
  <si>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</si>
  <si>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</si>
  <si>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</si>
  <si>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</si>
  <si>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</si>
  <si>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</si>
  <si>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</si>
  <si>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</si>
  <si>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</si>
  <si>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</si>
  <si>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</si>
  <si>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</si>
  <si>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</si>
  <si>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</si>
  <si>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</si>
  <si>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</si>
  <si>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</si>
  <si>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</si>
  <si>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</si>
  <si>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</si>
  <si>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</si>
  <si>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</si>
  <si>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</si>
  <si>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</si>
  <si>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</si>
  <si>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</si>
  <si>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</si>
  <si>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</si>
  <si>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</si>
  <si>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</si>
  <si>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</si>
  <si>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</si>
  <si>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</si>
  <si>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</si>
  <si>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</si>
  <si>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</si>
  <si>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</si>
  <si>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</si>
  <si>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</si>
  <si>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</si>
  <si>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</si>
  <si>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</si>
  <si>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</si>
  <si>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</si>
  <si>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</si>
  <si>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</si>
  <si>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</si>
  <si>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</si>
  <si>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</si>
  <si>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</si>
  <si>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</si>
  <si>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</si>
  <si>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</si>
  <si>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</si>
  <si>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</si>
  <si>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</si>
  <si>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</si>
  <si>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</si>
  <si>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</si>
  <si>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</si>
  <si>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</si>
  <si>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</si>
  <si>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</si>
  <si>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</si>
  <si>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</si>
  <si>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</si>
  <si>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</si>
  <si>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</si>
  <si>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</si>
  <si>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</si>
  <si>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</si>
  <si>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</si>
  <si>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</si>
  <si>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</si>
  <si>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</si>
  <si>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</si>
  <si>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</si>
  <si>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</si>
  <si>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</si>
  <si>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</si>
  <si>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</si>
  <si>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</si>
  <si>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</si>
  <si>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</si>
  <si>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</si>
  <si>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</si>
  <si>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</si>
  <si>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</si>
  <si>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</si>
  <si>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</si>
  <si>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</si>
  <si>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</si>
  <si>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</si>
  <si>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</si>
  <si>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</si>
  <si>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</si>
  <si>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</si>
  <si>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</si>
  <si>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</si>
  <si>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</si>
  <si>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</si>
  <si>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</si>
  <si>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</si>
  <si>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</si>
  <si>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</si>
  <si>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</si>
  <si>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</si>
  <si>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</si>
  <si>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</si>
  <si>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</si>
  <si>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</si>
  <si>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</si>
  <si>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</si>
  <si>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</si>
  <si>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</si>
  <si>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</si>
  <si>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</si>
  <si>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</si>
  <si>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</si>
  <si>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</si>
  <si>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</si>
  <si>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</si>
  <si>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</si>
  <si>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</si>
  <si>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</si>
  <si>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</si>
  <si>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</si>
  <si>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</si>
  <si>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</si>
  <si>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</si>
  <si>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</si>
  <si>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</si>
  <si>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</si>
  <si>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</si>
  <si>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</si>
  <si>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</si>
  <si>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</si>
  <si>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</si>
  <si>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</si>
  <si>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</si>
  <si>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</si>
  <si>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</si>
  <si>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</si>
  <si>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</si>
  <si>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</si>
  <si>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</si>
  <si>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</si>
  <si>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</si>
  <si>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</si>
  <si>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</si>
  <si>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</si>
  <si>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</si>
  <si>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</si>
  <si>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</si>
  <si>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</si>
  <si>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</si>
  <si>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</si>
  <si>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</si>
  <si>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</si>
  <si>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</si>
  <si>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</si>
  <si>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</si>
  <si>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</si>
  <si>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</si>
  <si>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</si>
  <si>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</si>
  <si>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</si>
  <si>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</si>
  <si>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</si>
  <si>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</si>
  <si>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</si>
  <si>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</si>
  <si>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</si>
  <si>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</si>
  <si>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</si>
  <si>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</si>
  <si>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</si>
  <si>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</si>
  <si>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</si>
  <si>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</si>
  <si>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</si>
  <si>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</si>
  <si>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</si>
  <si>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</si>
  <si>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</si>
  <si>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</si>
  <si>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</si>
  <si>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</si>
  <si>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</si>
  <si>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</si>
  <si>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</si>
  <si>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</si>
  <si>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</si>
  <si>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</si>
  <si>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</si>
  <si>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</si>
  <si>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</si>
  <si>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</si>
  <si>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</si>
  <si>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</si>
  <si>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</si>
  <si>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</si>
  <si>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</si>
  <si>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</si>
  <si>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</si>
  <si>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</si>
  <si>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</si>
  <si>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</si>
  <si>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</si>
  <si>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</si>
  <si>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</si>
  <si>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</si>
  <si>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</si>
  <si>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</si>
  <si>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</si>
  <si>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</si>
  <si>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</si>
  <si>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</si>
  <si>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</si>
  <si>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</si>
  <si>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</si>
  <si>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</si>
  <si>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</si>
  <si>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</si>
  <si>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</si>
  <si>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</si>
  <si>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</si>
  <si>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</si>
  <si>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</si>
  <si>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</si>
  <si>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</si>
  <si>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</si>
  <si>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</si>
  <si>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</si>
  <si>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</si>
  <si>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</si>
  <si>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</si>
  <si>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</si>
  <si>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</si>
  <si>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</si>
  <si>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</si>
  <si>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</si>
  <si>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</si>
  <si>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</si>
  <si>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</si>
  <si>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</si>
  <si>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首层</t>
    <phoneticPr fontId="24" type="noConversion"/>
  </si>
  <si>
    <t>中楼层</t>
    <phoneticPr fontId="24" type="noConversion"/>
  </si>
  <si>
    <t>110105029001GB00457F00020009</t>
    <phoneticPr fontId="6" type="noConversion"/>
  </si>
  <si>
    <t>户型</t>
    <phoneticPr fontId="134" type="noConversion"/>
  </si>
  <si>
    <t>平层</t>
    <phoneticPr fontId="134" type="noConversion"/>
  </si>
  <si>
    <t>四室</t>
    <phoneticPr fontId="24" type="noConversion"/>
  </si>
  <si>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</si>
  <si>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</si>
  <si>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</si>
  <si>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</si>
  <si>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</si>
  <si>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</si>
  <si>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板塔结合</t>
    <phoneticPr fontId="24" type="noConversion"/>
  </si>
  <si>
    <t>低楼层</t>
    <phoneticPr fontId="134" type="noConversion"/>
  </si>
  <si>
    <r>
      <t>5</t>
    </r>
    <r>
      <rPr>
        <sz val="11"/>
        <color theme="1"/>
        <rFont val="宋体"/>
        <family val="3"/>
        <charset val="134"/>
        <scheme val="minor"/>
      </rPr>
      <t>50万</t>
    </r>
    <phoneticPr fontId="134" type="noConversion"/>
  </si>
  <si>
    <r>
      <t>5</t>
    </r>
    <r>
      <rPr>
        <sz val="11"/>
        <color theme="1"/>
        <rFont val="宋体"/>
        <family val="3"/>
        <charset val="134"/>
        <scheme val="minor"/>
      </rPr>
      <t>00万</t>
    </r>
    <phoneticPr fontId="134" type="noConversion"/>
  </si>
  <si>
    <t>链家成交</t>
    <phoneticPr fontId="134" type="noConversion"/>
  </si>
  <si>
    <t>周边有98路、113路、140路、405路等多条公交线路，地铁1号线与10号线换乘站国贸站，地铁6号线与10号线换乘站呼家楼站，综合评价交通便捷度好</t>
    <phoneticPr fontId="40" type="noConversion"/>
  </si>
  <si>
    <t>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t>
    <phoneticPr fontId="40" type="noConversion"/>
  </si>
  <si>
    <t>自然环境：团结湖公园、日坛公园等自然景观；
人文环境：东岳庙、当代美术馆等人文场所；
综合评价环境状况较好。</t>
    <phoneticPr fontId="40" type="noConversion"/>
  </si>
  <si>
    <t>东三环中路39号院1号楼4层0504</t>
    <phoneticPr fontId="134" type="noConversion"/>
  </si>
  <si>
    <t>1室1厅1卫1厨</t>
    <phoneticPr fontId="134" type="noConversion"/>
  </si>
  <si>
    <t>普通装修</t>
    <phoneticPr fontId="134" type="noConversion"/>
  </si>
  <si>
    <t>网签550</t>
    <phoneticPr fontId="134" type="noConversion"/>
  </si>
  <si>
    <t>19/30</t>
    <phoneticPr fontId="24" type="noConversion"/>
  </si>
  <si>
    <t>利息：取LPR</t>
  </si>
  <si>
    <t>月租金</t>
    <phoneticPr fontId="134" type="noConversion"/>
  </si>
  <si>
    <t>单价</t>
    <phoneticPr fontId="134" type="noConversion"/>
  </si>
  <si>
    <t>时间</t>
    <phoneticPr fontId="134" type="noConversion"/>
  </si>
  <si>
    <t>景华南街1号楼19层2103号</t>
    <phoneticPr fontId="3" type="noConversion"/>
  </si>
  <si>
    <t>景华南街1号楼</t>
    <phoneticPr fontId="134" type="noConversion"/>
  </si>
  <si>
    <t>东</t>
  </si>
  <si>
    <t>旺座中心</t>
    <phoneticPr fontId="134" type="noConversion"/>
  </si>
  <si>
    <t>周边有财富中心、新城国际、金茂公寓、建外SOHO等住宅小区，居住社区成熟度较好。</t>
    <phoneticPr fontId="40" type="noConversion"/>
  </si>
  <si>
    <t>西</t>
  </si>
  <si>
    <t>低楼层</t>
    <phoneticPr fontId="24" type="noConversion"/>
  </si>
  <si>
    <t>西北</t>
  </si>
  <si>
    <t>4/11</t>
    <phoneticPr fontId="24" type="noConversion"/>
  </si>
  <si>
    <t>塔楼</t>
  </si>
  <si>
    <t>成新度</t>
    <phoneticPr fontId="24" type="noConversion"/>
  </si>
  <si>
    <t>建外SOHO</t>
    <phoneticPr fontId="134" type="noConversion"/>
  </si>
  <si>
    <t>周边有28路、57路、72路、98路等多条公交线路，地铁1号线与10号线换乘站国贸站，综合评价交通便捷度好</t>
    <phoneticPr fontId="24" type="noConversion"/>
  </si>
  <si>
    <t>周边有旺座中心、金茂公寓、梵悦108、合生国际家园等住宅小区，居住社区成熟度较好。</t>
    <phoneticPr fontId="24" type="noConversion"/>
  </si>
  <si>
    <t>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t>
    <phoneticPr fontId="24" type="noConversion"/>
  </si>
  <si>
    <t>自然环境：庆丰公园、CBD城市森林公园等自然景观；
人文环境：北京今日美术馆等人文场所；
综合评价环境状况较好。</t>
    <phoneticPr fontId="24" type="noConversion"/>
  </si>
  <si>
    <t>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</si>
</sst>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sz val="10"/>
      <color theme="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0" fontId="94" fillId="5" borderId="6" xfId="0" applyFont="1" applyFill="1" applyBorder="1" applyAlignment="1" applyProtection="1">
      <alignment horizontal="center" vertical="center" wrapText="1"/>
      <protection locked="0"/>
    </xf>
    <xf numFmtId="176" fontId="44" fillId="5" borderId="3" xfId="0" applyNumberFormat="1" applyFont="1" applyFill="1" applyBorder="1" applyAlignment="1" applyProtection="1">
      <alignment horizontal="center" vertical="center" wrapText="1"/>
      <protection locked="0"/>
    </xf>
    <xf numFmtId="0" fontId="51" fillId="5" borderId="23" xfId="0" applyFont="1" applyFill="1" applyBorder="1" applyAlignment="1" applyProtection="1">
      <alignment horizontal="center" vertical="center" wrapText="1"/>
      <protection locked="0"/>
    </xf>
    <xf numFmtId="0" fontId="51" fillId="5" borderId="6" xfId="0" applyFont="1" applyFill="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10" fontId="273" fillId="12" borderId="0" xfId="0" applyNumberFormat="1" applyFont="1" applyFill="1" applyProtection="1">
      <alignment vertical="center"/>
      <protection locked="0"/>
    </xf>
    <xf numFmtId="194" fontId="19" fillId="6" borderId="1" xfId="2" applyNumberFormat="1" applyFont="1" applyFill="1" applyBorder="1" applyAlignment="1">
      <alignment horizontal="center" vertical="center" wrapText="1"/>
    </xf>
    <xf numFmtId="0" fontId="19" fillId="6" borderId="1" xfId="2" applyFont="1" applyFill="1" applyBorder="1" applyAlignment="1">
      <alignment horizontal="center" vertical="center" wrapText="1"/>
    </xf>
    <xf numFmtId="14" fontId="19" fillId="6" borderId="1" xfId="2"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 fontId="0" fillId="0" borderId="0" xfId="0" applyNumberFormat="1" applyAlignment="1">
      <alignment horizontal="center" vertical="center"/>
    </xf>
    <xf numFmtId="9" fontId="44" fillId="5" borderId="37" xfId="17" applyFont="1" applyFill="1" applyBorder="1" applyAlignment="1" applyProtection="1">
      <alignment horizontal="center" vertical="center" wrapText="1"/>
      <protection locked="0"/>
    </xf>
    <xf numFmtId="0" fontId="44" fillId="6" borderId="24" xfId="17" applyNumberFormat="1" applyFont="1" applyFill="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trendlineLbl>
          </c:trendline>
          <c:cat>
            <c:numRef>
              <c:f>案例!$K$63:$K$76</c:f>
              <c:numCache>
                <c:formatCode>mmm\-yy</c:formatCode>
                <c:ptCount val="1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numCache>
            </c:numRef>
          </c:cat>
          <c:val>
            <c:numRef>
              <c:f>案例!$L$63:$L$76</c:f>
              <c:numCache>
                <c:formatCode>General</c:formatCode>
                <c:ptCount val="14"/>
                <c:pt idx="0">
                  <c:v>96.3</c:v>
                </c:pt>
                <c:pt idx="1">
                  <c:v>94.7</c:v>
                </c:pt>
                <c:pt idx="2">
                  <c:v>93.6</c:v>
                </c:pt>
                <c:pt idx="3">
                  <c:v>92</c:v>
                </c:pt>
                <c:pt idx="4">
                  <c:v>91.4</c:v>
                </c:pt>
                <c:pt idx="5">
                  <c:v>92.2</c:v>
                </c:pt>
                <c:pt idx="6">
                  <c:v>92.8</c:v>
                </c:pt>
                <c:pt idx="7">
                  <c:v>91.5</c:v>
                </c:pt>
                <c:pt idx="8">
                  <c:v>89.7</c:v>
                </c:pt>
                <c:pt idx="9">
                  <c:v>91.6</c:v>
                </c:pt>
                <c:pt idx="10">
                  <c:v>93.8</c:v>
                </c:pt>
                <c:pt idx="11">
                  <c:v>95.5</c:v>
                </c:pt>
                <c:pt idx="12">
                  <c:v>96.2</c:v>
                </c:pt>
                <c:pt idx="13">
                  <c:v>97.1</c:v>
                </c:pt>
              </c:numCache>
            </c:numRef>
          </c:val>
          <c:smooth val="0"/>
          <c:extLst>
            <c:ext xmlns:c16="http://schemas.microsoft.com/office/drawing/2014/chart" uri="{C3380CC4-5D6E-409C-BE32-E72D297353CC}">
              <c16:uniqueId val="{00000000-C335-4428-BA2F-A60944B2CF81}"/>
            </c:ext>
          </c:extLst>
        </c:ser>
        <c:dLbls>
          <c:showLegendKey val="0"/>
          <c:showVal val="0"/>
          <c:showCatName val="0"/>
          <c:showSerName val="0"/>
          <c:showPercent val="0"/>
          <c:showBubbleSize val="0"/>
        </c:dLbls>
        <c:marker val="1"/>
        <c:smooth val="0"/>
        <c:axId val="1303362816"/>
        <c:axId val="1303365696"/>
      </c:lineChart>
      <c:dateAx>
        <c:axId val="13033628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303365696"/>
        <c:crosses val="autoZero"/>
        <c:auto val="1"/>
        <c:lblOffset val="100"/>
        <c:baseTimeUnit val="months"/>
      </c:dateAx>
      <c:valAx>
        <c:axId val="1303365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303362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4.png"/><Relationship Id="rId16" Type="http://schemas.openxmlformats.org/officeDocument/2006/relationships/image" Target="../media/image17.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chart" Target="../charts/chart1.xml"/><Relationship Id="rId5" Type="http://schemas.openxmlformats.org/officeDocument/2006/relationships/image" Target="../media/image7.png"/><Relationship Id="rId15" Type="http://schemas.openxmlformats.org/officeDocument/2006/relationships/image" Target="../media/image16.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323850</xdr:colOff>
      <xdr:row>17</xdr:row>
      <xdr:rowOff>228600</xdr:rowOff>
    </xdr:from>
    <xdr:to>
      <xdr:col>23</xdr:col>
      <xdr:colOff>1047750</xdr:colOff>
      <xdr:row>27</xdr:row>
      <xdr:rowOff>276225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97325" y="450532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59810</xdr:colOff>
      <xdr:row>15</xdr:row>
      <xdr:rowOff>200025</xdr:rowOff>
    </xdr:from>
    <xdr:to>
      <xdr:col>36</xdr:col>
      <xdr:colOff>570320</xdr:colOff>
      <xdr:row>51</xdr:row>
      <xdr:rowOff>132118</xdr:rowOff>
    </xdr:to>
    <xdr:pic>
      <xdr:nvPicPr>
        <xdr:cNvPr id="4" name="图片 3">
          <a:extLst>
            <a:ext uri="{FF2B5EF4-FFF2-40B4-BE49-F238E27FC236}">
              <a16:creationId xmlns:a16="http://schemas.microsoft.com/office/drawing/2014/main" id="{AB27FFB7-2EF4-537F-D422-88FBC57F4966}"/>
            </a:ext>
          </a:extLst>
        </xdr:cNvPr>
        <xdr:cNvPicPr>
          <a:picLocks noChangeAspect="1"/>
        </xdr:cNvPicPr>
      </xdr:nvPicPr>
      <xdr:blipFill>
        <a:blip xmlns:r="http://schemas.openxmlformats.org/officeDocument/2006/relationships" r:embed="rId2"/>
        <a:stretch>
          <a:fillRect/>
        </a:stretch>
      </xdr:blipFill>
      <xdr:spPr>
        <a:xfrm>
          <a:off x="20814785" y="3848100"/>
          <a:ext cx="8854410" cy="9247543"/>
        </a:xfrm>
        <a:prstGeom prst="rect">
          <a:avLst/>
        </a:prstGeom>
      </xdr:spPr>
    </xdr:pic>
    <xdr:clientData/>
  </xdr:twoCellAnchor>
  <xdr:twoCellAnchor editAs="oneCell">
    <xdr:from>
      <xdr:col>58</xdr:col>
      <xdr:colOff>438149</xdr:colOff>
      <xdr:row>5</xdr:row>
      <xdr:rowOff>116845</xdr:rowOff>
    </xdr:from>
    <xdr:to>
      <xdr:col>62</xdr:col>
      <xdr:colOff>501491</xdr:colOff>
      <xdr:row>24</xdr:row>
      <xdr:rowOff>171449</xdr:rowOff>
    </xdr:to>
    <xdr:pic>
      <xdr:nvPicPr>
        <xdr:cNvPr id="9" name="图片 8">
          <a:extLst>
            <a:ext uri="{FF2B5EF4-FFF2-40B4-BE49-F238E27FC236}">
              <a16:creationId xmlns:a16="http://schemas.microsoft.com/office/drawing/2014/main" id="{C87A0344-2969-F892-3020-B486435D2373}"/>
            </a:ext>
          </a:extLst>
        </xdr:cNvPr>
        <xdr:cNvPicPr>
          <a:picLocks noChangeAspect="1"/>
        </xdr:cNvPicPr>
      </xdr:nvPicPr>
      <xdr:blipFill>
        <a:blip xmlns:r="http://schemas.openxmlformats.org/officeDocument/2006/relationships" r:embed="rId3"/>
        <a:stretch>
          <a:fillRect/>
        </a:stretch>
      </xdr:blipFill>
      <xdr:spPr>
        <a:xfrm>
          <a:off x="45053249" y="1383670"/>
          <a:ext cx="2806542" cy="5264779"/>
        </a:xfrm>
        <a:prstGeom prst="rect">
          <a:avLst/>
        </a:prstGeom>
      </xdr:spPr>
    </xdr:pic>
    <xdr:clientData/>
  </xdr:twoCellAnchor>
  <xdr:twoCellAnchor editAs="oneCell">
    <xdr:from>
      <xdr:col>8</xdr:col>
      <xdr:colOff>0</xdr:colOff>
      <xdr:row>5</xdr:row>
      <xdr:rowOff>38100</xdr:rowOff>
    </xdr:from>
    <xdr:to>
      <xdr:col>22</xdr:col>
      <xdr:colOff>402767</xdr:colOff>
      <xdr:row>7</xdr:row>
      <xdr:rowOff>43315</xdr:rowOff>
    </xdr:to>
    <xdr:pic>
      <xdr:nvPicPr>
        <xdr:cNvPr id="10" name="图片 9">
          <a:extLst>
            <a:ext uri="{FF2B5EF4-FFF2-40B4-BE49-F238E27FC236}">
              <a16:creationId xmlns:a16="http://schemas.microsoft.com/office/drawing/2014/main" id="{FE582FCA-F9D0-B120-F435-E4E383A1BFAE}"/>
            </a:ext>
          </a:extLst>
        </xdr:cNvPr>
        <xdr:cNvPicPr>
          <a:picLocks noChangeAspect="1"/>
        </xdr:cNvPicPr>
      </xdr:nvPicPr>
      <xdr:blipFill>
        <a:blip xmlns:r="http://schemas.openxmlformats.org/officeDocument/2006/relationships" r:embed="rId4"/>
        <a:stretch>
          <a:fillRect/>
        </a:stretch>
      </xdr:blipFill>
      <xdr:spPr>
        <a:xfrm>
          <a:off x="8324850" y="1304925"/>
          <a:ext cx="11032667" cy="729115"/>
        </a:xfrm>
        <a:prstGeom prst="rect">
          <a:avLst/>
        </a:prstGeom>
      </xdr:spPr>
    </xdr:pic>
    <xdr:clientData/>
  </xdr:twoCellAnchor>
  <xdr:twoCellAnchor editAs="oneCell">
    <xdr:from>
      <xdr:col>22</xdr:col>
      <xdr:colOff>400050</xdr:colOff>
      <xdr:row>5</xdr:row>
      <xdr:rowOff>47626</xdr:rowOff>
    </xdr:from>
    <xdr:to>
      <xdr:col>25</xdr:col>
      <xdr:colOff>133350</xdr:colOff>
      <xdr:row>7</xdr:row>
      <xdr:rowOff>27258</xdr:rowOff>
    </xdr:to>
    <xdr:pic>
      <xdr:nvPicPr>
        <xdr:cNvPr id="11" name="图片 10">
          <a:extLst>
            <a:ext uri="{FF2B5EF4-FFF2-40B4-BE49-F238E27FC236}">
              <a16:creationId xmlns:a16="http://schemas.microsoft.com/office/drawing/2014/main" id="{DB803645-7CFE-6DCB-9365-7F0C09FD0176}"/>
            </a:ext>
          </a:extLst>
        </xdr:cNvPr>
        <xdr:cNvPicPr>
          <a:picLocks noChangeAspect="1"/>
        </xdr:cNvPicPr>
      </xdr:nvPicPr>
      <xdr:blipFill>
        <a:blip xmlns:r="http://schemas.openxmlformats.org/officeDocument/2006/relationships" r:embed="rId5"/>
        <a:stretch>
          <a:fillRect/>
        </a:stretch>
      </xdr:blipFill>
      <xdr:spPr>
        <a:xfrm>
          <a:off x="19354800" y="1314451"/>
          <a:ext cx="2219325" cy="703532"/>
        </a:xfrm>
        <a:prstGeom prst="rect">
          <a:avLst/>
        </a:prstGeom>
      </xdr:spPr>
    </xdr:pic>
    <xdr:clientData/>
  </xdr:twoCellAnchor>
  <xdr:twoCellAnchor editAs="oneCell">
    <xdr:from>
      <xdr:col>8</xdr:col>
      <xdr:colOff>19050</xdr:colOff>
      <xdr:row>10</xdr:row>
      <xdr:rowOff>133350</xdr:rowOff>
    </xdr:from>
    <xdr:to>
      <xdr:col>22</xdr:col>
      <xdr:colOff>91198</xdr:colOff>
      <xdr:row>14</xdr:row>
      <xdr:rowOff>141999</xdr:rowOff>
    </xdr:to>
    <xdr:pic>
      <xdr:nvPicPr>
        <xdr:cNvPr id="12" name="图片 11">
          <a:extLst>
            <a:ext uri="{FF2B5EF4-FFF2-40B4-BE49-F238E27FC236}">
              <a16:creationId xmlns:a16="http://schemas.microsoft.com/office/drawing/2014/main" id="{4E5778AD-8FC6-A8BA-D811-601FAE159FAF}"/>
            </a:ext>
          </a:extLst>
        </xdr:cNvPr>
        <xdr:cNvPicPr>
          <a:picLocks noChangeAspect="1"/>
        </xdr:cNvPicPr>
      </xdr:nvPicPr>
      <xdr:blipFill>
        <a:blip xmlns:r="http://schemas.openxmlformats.org/officeDocument/2006/relationships" r:embed="rId6"/>
        <a:stretch>
          <a:fillRect/>
        </a:stretch>
      </xdr:blipFill>
      <xdr:spPr>
        <a:xfrm>
          <a:off x="8343900" y="2638425"/>
          <a:ext cx="10702048" cy="837324"/>
        </a:xfrm>
        <a:prstGeom prst="rect">
          <a:avLst/>
        </a:prstGeom>
      </xdr:spPr>
    </xdr:pic>
    <xdr:clientData/>
  </xdr:twoCellAnchor>
  <xdr:twoCellAnchor editAs="oneCell">
    <xdr:from>
      <xdr:col>22</xdr:col>
      <xdr:colOff>76200</xdr:colOff>
      <xdr:row>10</xdr:row>
      <xdr:rowOff>104775</xdr:rowOff>
    </xdr:from>
    <xdr:to>
      <xdr:col>24</xdr:col>
      <xdr:colOff>552450</xdr:colOff>
      <xdr:row>14</xdr:row>
      <xdr:rowOff>126507</xdr:rowOff>
    </xdr:to>
    <xdr:pic>
      <xdr:nvPicPr>
        <xdr:cNvPr id="13" name="图片 12">
          <a:extLst>
            <a:ext uri="{FF2B5EF4-FFF2-40B4-BE49-F238E27FC236}">
              <a16:creationId xmlns:a16="http://schemas.microsoft.com/office/drawing/2014/main" id="{8EEEE832-2DBC-58E4-AD24-A4B6DC79A8FD}"/>
            </a:ext>
          </a:extLst>
        </xdr:cNvPr>
        <xdr:cNvPicPr>
          <a:picLocks noChangeAspect="1"/>
        </xdr:cNvPicPr>
      </xdr:nvPicPr>
      <xdr:blipFill>
        <a:blip xmlns:r="http://schemas.openxmlformats.org/officeDocument/2006/relationships" r:embed="rId7"/>
        <a:stretch>
          <a:fillRect/>
        </a:stretch>
      </xdr:blipFill>
      <xdr:spPr>
        <a:xfrm>
          <a:off x="19030950" y="2609850"/>
          <a:ext cx="2276475" cy="850407"/>
        </a:xfrm>
        <a:prstGeom prst="rect">
          <a:avLst/>
        </a:prstGeom>
      </xdr:spPr>
    </xdr:pic>
    <xdr:clientData/>
  </xdr:twoCellAnchor>
  <xdr:twoCellAnchor editAs="oneCell">
    <xdr:from>
      <xdr:col>5</xdr:col>
      <xdr:colOff>72969</xdr:colOff>
      <xdr:row>29</xdr:row>
      <xdr:rowOff>57150</xdr:rowOff>
    </xdr:from>
    <xdr:to>
      <xdr:col>8</xdr:col>
      <xdr:colOff>85725</xdr:colOff>
      <xdr:row>54</xdr:row>
      <xdr:rowOff>47874</xdr:rowOff>
    </xdr:to>
    <xdr:pic>
      <xdr:nvPicPr>
        <xdr:cNvPr id="2" name="图片 1">
          <a:extLst>
            <a:ext uri="{FF2B5EF4-FFF2-40B4-BE49-F238E27FC236}">
              <a16:creationId xmlns:a16="http://schemas.microsoft.com/office/drawing/2014/main" id="{22FCF742-5E15-7172-FDAB-B3695D70881F}"/>
            </a:ext>
          </a:extLst>
        </xdr:cNvPr>
        <xdr:cNvPicPr>
          <a:picLocks noChangeAspect="1"/>
        </xdr:cNvPicPr>
      </xdr:nvPicPr>
      <xdr:blipFill>
        <a:blip xmlns:r="http://schemas.openxmlformats.org/officeDocument/2006/relationships" r:embed="rId8"/>
        <a:stretch>
          <a:fillRect/>
        </a:stretch>
      </xdr:blipFill>
      <xdr:spPr>
        <a:xfrm>
          <a:off x="6340419" y="8105775"/>
          <a:ext cx="2498781" cy="5419974"/>
        </a:xfrm>
        <a:prstGeom prst="rect">
          <a:avLst/>
        </a:prstGeom>
      </xdr:spPr>
    </xdr:pic>
    <xdr:clientData/>
  </xdr:twoCellAnchor>
  <xdr:twoCellAnchor editAs="oneCell">
    <xdr:from>
      <xdr:col>8</xdr:col>
      <xdr:colOff>235517</xdr:colOff>
      <xdr:row>28</xdr:row>
      <xdr:rowOff>266700</xdr:rowOff>
    </xdr:from>
    <xdr:to>
      <xdr:col>11</xdr:col>
      <xdr:colOff>732897</xdr:colOff>
      <xdr:row>55</xdr:row>
      <xdr:rowOff>113208</xdr:rowOff>
    </xdr:to>
    <xdr:pic>
      <xdr:nvPicPr>
        <xdr:cNvPr id="6" name="图片 5">
          <a:extLst>
            <a:ext uri="{FF2B5EF4-FFF2-40B4-BE49-F238E27FC236}">
              <a16:creationId xmlns:a16="http://schemas.microsoft.com/office/drawing/2014/main" id="{FD721BC3-C74B-B9EA-926B-EB2970D89219}"/>
            </a:ext>
          </a:extLst>
        </xdr:cNvPr>
        <xdr:cNvPicPr>
          <a:picLocks noChangeAspect="1"/>
        </xdr:cNvPicPr>
      </xdr:nvPicPr>
      <xdr:blipFill>
        <a:blip xmlns:r="http://schemas.openxmlformats.org/officeDocument/2006/relationships" r:embed="rId9"/>
        <a:stretch>
          <a:fillRect/>
        </a:stretch>
      </xdr:blipFill>
      <xdr:spPr>
        <a:xfrm>
          <a:off x="8988992" y="8001000"/>
          <a:ext cx="2783380" cy="5761533"/>
        </a:xfrm>
        <a:prstGeom prst="rect">
          <a:avLst/>
        </a:prstGeom>
      </xdr:spPr>
    </xdr:pic>
    <xdr:clientData/>
  </xdr:twoCellAnchor>
  <xdr:twoCellAnchor editAs="oneCell">
    <xdr:from>
      <xdr:col>8</xdr:col>
      <xdr:colOff>666750</xdr:colOff>
      <xdr:row>15</xdr:row>
      <xdr:rowOff>104775</xdr:rowOff>
    </xdr:from>
    <xdr:to>
      <xdr:col>18</xdr:col>
      <xdr:colOff>123825</xdr:colOff>
      <xdr:row>27</xdr:row>
      <xdr:rowOff>258649</xdr:rowOff>
    </xdr:to>
    <xdr:pic>
      <xdr:nvPicPr>
        <xdr:cNvPr id="14" name="图片 13">
          <a:extLst>
            <a:ext uri="{FF2B5EF4-FFF2-40B4-BE49-F238E27FC236}">
              <a16:creationId xmlns:a16="http://schemas.microsoft.com/office/drawing/2014/main" id="{637C2162-AE06-9521-0DA8-C91120CA3D43}"/>
            </a:ext>
          </a:extLst>
        </xdr:cNvPr>
        <xdr:cNvPicPr>
          <a:picLocks noChangeAspect="1"/>
        </xdr:cNvPicPr>
      </xdr:nvPicPr>
      <xdr:blipFill>
        <a:blip xmlns:r="http://schemas.openxmlformats.org/officeDocument/2006/relationships" r:embed="rId10"/>
        <a:stretch>
          <a:fillRect/>
        </a:stretch>
      </xdr:blipFill>
      <xdr:spPr>
        <a:xfrm>
          <a:off x="9420225" y="3752850"/>
          <a:ext cx="7077075" cy="3925774"/>
        </a:xfrm>
        <a:prstGeom prst="rect">
          <a:avLst/>
        </a:prstGeom>
      </xdr:spPr>
    </xdr:pic>
    <xdr:clientData/>
  </xdr:twoCellAnchor>
  <xdr:twoCellAnchor>
    <xdr:from>
      <xdr:col>13</xdr:col>
      <xdr:colOff>233362</xdr:colOff>
      <xdr:row>61</xdr:row>
      <xdr:rowOff>152400</xdr:rowOff>
    </xdr:from>
    <xdr:to>
      <xdr:col>19</xdr:col>
      <xdr:colOff>80962</xdr:colOff>
      <xdr:row>77</xdr:row>
      <xdr:rowOff>152400</xdr:rowOff>
    </xdr:to>
    <xdr:graphicFrame macro="">
      <xdr:nvGraphicFramePr>
        <xdr:cNvPr id="17" name="图表 16">
          <a:extLst>
            <a:ext uri="{FF2B5EF4-FFF2-40B4-BE49-F238E27FC236}">
              <a16:creationId xmlns:a16="http://schemas.microsoft.com/office/drawing/2014/main" id="{F8A95BC8-6738-3ADC-2FED-11251FE4FD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104776</xdr:colOff>
      <xdr:row>4</xdr:row>
      <xdr:rowOff>104775</xdr:rowOff>
    </xdr:from>
    <xdr:to>
      <xdr:col>6</xdr:col>
      <xdr:colOff>247651</xdr:colOff>
      <xdr:row>29</xdr:row>
      <xdr:rowOff>108189</xdr:rowOff>
    </xdr:to>
    <xdr:pic>
      <xdr:nvPicPr>
        <xdr:cNvPr id="19" name="图片 18">
          <a:extLst>
            <a:ext uri="{FF2B5EF4-FFF2-40B4-BE49-F238E27FC236}">
              <a16:creationId xmlns:a16="http://schemas.microsoft.com/office/drawing/2014/main" id="{2519F7DE-7604-9D65-41E9-8D03F00B783E}"/>
            </a:ext>
          </a:extLst>
        </xdr:cNvPr>
        <xdr:cNvPicPr>
          <a:picLocks noChangeAspect="1"/>
        </xdr:cNvPicPr>
      </xdr:nvPicPr>
      <xdr:blipFill>
        <a:blip xmlns:r="http://schemas.openxmlformats.org/officeDocument/2006/relationships" r:embed="rId12"/>
        <a:stretch>
          <a:fillRect/>
        </a:stretch>
      </xdr:blipFill>
      <xdr:spPr>
        <a:xfrm>
          <a:off x="104776" y="1200150"/>
          <a:ext cx="7448550" cy="6956664"/>
        </a:xfrm>
        <a:prstGeom prst="rect">
          <a:avLst/>
        </a:prstGeom>
      </xdr:spPr>
    </xdr:pic>
    <xdr:clientData/>
  </xdr:twoCellAnchor>
  <xdr:twoCellAnchor editAs="oneCell">
    <xdr:from>
      <xdr:col>46</xdr:col>
      <xdr:colOff>381000</xdr:colOff>
      <xdr:row>5</xdr:row>
      <xdr:rowOff>118110</xdr:rowOff>
    </xdr:from>
    <xdr:to>
      <xdr:col>50</xdr:col>
      <xdr:colOff>447675</xdr:colOff>
      <xdr:row>24</xdr:row>
      <xdr:rowOff>199866</xdr:rowOff>
    </xdr:to>
    <xdr:pic>
      <xdr:nvPicPr>
        <xdr:cNvPr id="20" name="图片 19">
          <a:extLst>
            <a:ext uri="{FF2B5EF4-FFF2-40B4-BE49-F238E27FC236}">
              <a16:creationId xmlns:a16="http://schemas.microsoft.com/office/drawing/2014/main" id="{1D2AC4A3-6DC5-65FD-D8C1-340437CD085B}"/>
            </a:ext>
          </a:extLst>
        </xdr:cNvPr>
        <xdr:cNvPicPr>
          <a:picLocks noChangeAspect="1"/>
        </xdr:cNvPicPr>
      </xdr:nvPicPr>
      <xdr:blipFill>
        <a:blip xmlns:r="http://schemas.openxmlformats.org/officeDocument/2006/relationships" r:embed="rId13"/>
        <a:stretch>
          <a:fillRect/>
        </a:stretch>
      </xdr:blipFill>
      <xdr:spPr>
        <a:xfrm>
          <a:off x="36766500" y="1384935"/>
          <a:ext cx="2809875" cy="5291931"/>
        </a:xfrm>
        <a:prstGeom prst="rect">
          <a:avLst/>
        </a:prstGeom>
      </xdr:spPr>
    </xdr:pic>
    <xdr:clientData/>
  </xdr:twoCellAnchor>
  <xdr:twoCellAnchor editAs="oneCell">
    <xdr:from>
      <xdr:col>50</xdr:col>
      <xdr:colOff>466724</xdr:colOff>
      <xdr:row>5</xdr:row>
      <xdr:rowOff>134760</xdr:rowOff>
    </xdr:from>
    <xdr:to>
      <xdr:col>54</xdr:col>
      <xdr:colOff>542425</xdr:colOff>
      <xdr:row>24</xdr:row>
      <xdr:rowOff>199092</xdr:rowOff>
    </xdr:to>
    <xdr:pic>
      <xdr:nvPicPr>
        <xdr:cNvPr id="21" name="图片 20">
          <a:extLst>
            <a:ext uri="{FF2B5EF4-FFF2-40B4-BE49-F238E27FC236}">
              <a16:creationId xmlns:a16="http://schemas.microsoft.com/office/drawing/2014/main" id="{077FC35C-287E-54C2-FDB0-B8D9FBF61C00}"/>
            </a:ext>
          </a:extLst>
        </xdr:cNvPr>
        <xdr:cNvPicPr>
          <a:picLocks noChangeAspect="1"/>
        </xdr:cNvPicPr>
      </xdr:nvPicPr>
      <xdr:blipFill>
        <a:blip xmlns:r="http://schemas.openxmlformats.org/officeDocument/2006/relationships" r:embed="rId14"/>
        <a:stretch>
          <a:fillRect/>
        </a:stretch>
      </xdr:blipFill>
      <xdr:spPr>
        <a:xfrm>
          <a:off x="39595424" y="1401585"/>
          <a:ext cx="2818901" cy="5274507"/>
        </a:xfrm>
        <a:prstGeom prst="rect">
          <a:avLst/>
        </a:prstGeom>
      </xdr:spPr>
    </xdr:pic>
    <xdr:clientData/>
  </xdr:twoCellAnchor>
  <xdr:twoCellAnchor editAs="oneCell">
    <xdr:from>
      <xdr:col>54</xdr:col>
      <xdr:colOff>552450</xdr:colOff>
      <xdr:row>5</xdr:row>
      <xdr:rowOff>136279</xdr:rowOff>
    </xdr:from>
    <xdr:to>
      <xdr:col>58</xdr:col>
      <xdr:colOff>476250</xdr:colOff>
      <xdr:row>24</xdr:row>
      <xdr:rowOff>178716</xdr:rowOff>
    </xdr:to>
    <xdr:pic>
      <xdr:nvPicPr>
        <xdr:cNvPr id="22" name="图片 21">
          <a:extLst>
            <a:ext uri="{FF2B5EF4-FFF2-40B4-BE49-F238E27FC236}">
              <a16:creationId xmlns:a16="http://schemas.microsoft.com/office/drawing/2014/main" id="{532771C1-FD2D-C372-FD81-BD8952FD230D}"/>
            </a:ext>
          </a:extLst>
        </xdr:cNvPr>
        <xdr:cNvPicPr>
          <a:picLocks noChangeAspect="1"/>
        </xdr:cNvPicPr>
      </xdr:nvPicPr>
      <xdr:blipFill>
        <a:blip xmlns:r="http://schemas.openxmlformats.org/officeDocument/2006/relationships" r:embed="rId15"/>
        <a:stretch>
          <a:fillRect/>
        </a:stretch>
      </xdr:blipFill>
      <xdr:spPr>
        <a:xfrm>
          <a:off x="42424350" y="1403104"/>
          <a:ext cx="2667000" cy="5252612"/>
        </a:xfrm>
        <a:prstGeom prst="rect">
          <a:avLst/>
        </a:prstGeom>
      </xdr:spPr>
    </xdr:pic>
    <xdr:clientData/>
  </xdr:twoCellAnchor>
  <xdr:twoCellAnchor editAs="oneCell">
    <xdr:from>
      <xdr:col>42</xdr:col>
      <xdr:colOff>57151</xdr:colOff>
      <xdr:row>5</xdr:row>
      <xdr:rowOff>114300</xdr:rowOff>
    </xdr:from>
    <xdr:to>
      <xdr:col>46</xdr:col>
      <xdr:colOff>191021</xdr:colOff>
      <xdr:row>24</xdr:row>
      <xdr:rowOff>133350</xdr:rowOff>
    </xdr:to>
    <xdr:pic>
      <xdr:nvPicPr>
        <xdr:cNvPr id="26" name="图片 25">
          <a:extLst>
            <a:ext uri="{FF2B5EF4-FFF2-40B4-BE49-F238E27FC236}">
              <a16:creationId xmlns:a16="http://schemas.microsoft.com/office/drawing/2014/main" id="{C6D5E495-A3D0-39BB-A742-D4CF3AB5CE64}"/>
            </a:ext>
          </a:extLst>
        </xdr:cNvPr>
        <xdr:cNvPicPr>
          <a:picLocks noChangeAspect="1"/>
        </xdr:cNvPicPr>
      </xdr:nvPicPr>
      <xdr:blipFill>
        <a:blip xmlns:r="http://schemas.openxmlformats.org/officeDocument/2006/relationships" r:embed="rId16"/>
        <a:stretch>
          <a:fillRect/>
        </a:stretch>
      </xdr:blipFill>
      <xdr:spPr>
        <a:xfrm>
          <a:off x="33699451" y="1381125"/>
          <a:ext cx="2877070" cy="5229225"/>
        </a:xfrm>
        <a:prstGeom prst="rect">
          <a:avLst/>
        </a:prstGeom>
      </xdr:spPr>
    </xdr:pic>
    <xdr:clientData/>
  </xdr:twoCellAnchor>
  <xdr:twoCellAnchor editAs="oneCell">
    <xdr:from>
      <xdr:col>37</xdr:col>
      <xdr:colOff>638811</xdr:colOff>
      <xdr:row>5</xdr:row>
      <xdr:rowOff>114300</xdr:rowOff>
    </xdr:from>
    <xdr:to>
      <xdr:col>42</xdr:col>
      <xdr:colOff>75698</xdr:colOff>
      <xdr:row>24</xdr:row>
      <xdr:rowOff>133350</xdr:rowOff>
    </xdr:to>
    <xdr:pic>
      <xdr:nvPicPr>
        <xdr:cNvPr id="27" name="图片 26">
          <a:extLst>
            <a:ext uri="{FF2B5EF4-FFF2-40B4-BE49-F238E27FC236}">
              <a16:creationId xmlns:a16="http://schemas.microsoft.com/office/drawing/2014/main" id="{70883554-E18F-7A5A-1364-70FD92FDF02A}"/>
            </a:ext>
          </a:extLst>
        </xdr:cNvPr>
        <xdr:cNvPicPr>
          <a:picLocks noChangeAspect="1"/>
        </xdr:cNvPicPr>
      </xdr:nvPicPr>
      <xdr:blipFill>
        <a:blip xmlns:r="http://schemas.openxmlformats.org/officeDocument/2006/relationships" r:embed="rId17"/>
        <a:stretch>
          <a:fillRect/>
        </a:stretch>
      </xdr:blipFill>
      <xdr:spPr>
        <a:xfrm>
          <a:off x="30852111" y="1381125"/>
          <a:ext cx="2865887" cy="5229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估价对象为北京市房地产，为所有。根据《国有土地使用证》[]，估价对象（分摊）出让国有建设用地使用权面积为0平方米，建筑面积为109.66平方米。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估价对象为北京市房地产,属开发建设的，该项目尚在开发建设中。根据《国有土地使用证》[]，估价对象（分摊）出让国有建设用地使用权面积为0平方米，规划建筑面积为109.66平方米。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2025年3月11日（评估专业人员实地查勘之日）</v>
      </c>
    </row>
    <row r="13" spans="1:2">
      <c r="A13" s="1117" t="s">
        <v>529</v>
      </c>
      <c r="B13" s="1118" t="str">
        <f>'预评函-1'!A18</f>
        <v>本次估价的“房地产价值”是指在正常市场情况下，在价值时点2025年3月11日，估价对象规划用途为，土地取得方式为出让，出让国有建设用地使用权剩余土地使用年限为46，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109.66</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7"/>
      <c r="B54" s="1445" t="s">
        <v>385</v>
      </c>
      <c r="C54" s="1443" t="s">
        <v>583</v>
      </c>
    </row>
    <row r="55" spans="1:4">
      <c r="A55" s="3237"/>
      <c r="B55" s="1445" t="s">
        <v>386</v>
      </c>
      <c r="C55" s="1443" t="s">
        <v>584</v>
      </c>
    </row>
    <row r="56" spans="1:4">
      <c r="A56" s="3237"/>
      <c r="B56" s="1445" t="s">
        <v>387</v>
      </c>
      <c r="C56" s="1443" t="s">
        <v>588</v>
      </c>
    </row>
    <row r="57" spans="1:4">
      <c r="A57" s="323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8" t="s">
        <v>2578</v>
      </c>
      <c r="J2" s="3238"/>
      <c r="K2" s="3238"/>
      <c r="L2" s="3238"/>
      <c r="M2" s="3238"/>
      <c r="N2" s="3238"/>
      <c r="O2" s="3238"/>
      <c r="P2" s="3238"/>
      <c r="Q2" s="3238"/>
      <c r="R2" s="3238"/>
    </row>
    <row r="3" spans="1:18">
      <c r="A3" s="2756" t="s">
        <v>2499</v>
      </c>
      <c r="B3" s="2757">
        <f>项目基本情况!D3</f>
        <v>45727</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1.77</v>
      </c>
      <c r="D5" s="2761">
        <f>IF(ISERROR(ROUND(POWER(1+E5,A5-C5)*(POWER(1+E5,C5)-1)/(POWER(1+E5,A5)-1),3)),0,ROUND(POWER(1+E5,A5-C5)*(POWER(1+E5,C5)-1)/(POWER(1+E5,A5)-1),4))</f>
        <v>8.4699999999999998E-2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11.78</v>
      </c>
      <c r="D6" s="2761">
        <f>IF(ISERROR(ROUND(POWER(1+E6,A6-C6)*(POWER(1+E6,C6)-1)/(POWER(1+E6,A6)-1),3)),0,ROUND(POWER(1+E6,A6-C6)*(POWER(1+E6,C6)-1)/(POWER(1+E6,A6)-1),4))</f>
        <v>0.43059999999999998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31.79</v>
      </c>
      <c r="D7" s="2761">
        <f>IF(ISERROR(ROUND(POWER(1+E7,A7-C7)*(POWER(1+E7,C7)-1)/(POWER(1+E7,A7)-1),3)),0,ROUND(POWER(1+E7,A7-C7)*(POWER(1+E7,C7)-1)/(POWER(1+E7,A7)-1),4))</f>
        <v>0.76149999999999995</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N14" sqref="N1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9" t="str">
        <f>IF(B10="北京市","北京市",C10)&amp;F10&amp;IF(结果表!G1="在建","出让国有建设用地使用权及在建建筑物",IF(结果表!G1="土地","出让国有建设用地使用权",))&amp;B9&amp;"预评估"</f>
        <v>北京市预评估</v>
      </c>
      <c r="C1" s="3240"/>
      <c r="D1" s="3240"/>
      <c r="E1" s="3240"/>
      <c r="F1" s="3240"/>
      <c r="G1" s="3240"/>
      <c r="H1" s="3240"/>
      <c r="I1" s="3241"/>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45727</v>
      </c>
      <c r="C3" s="2181" t="s">
        <v>2168</v>
      </c>
      <c r="D3" s="2180">
        <f>B3</f>
        <v>45727</v>
      </c>
      <c r="E3" s="3147"/>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43" t="s">
        <v>3461</v>
      </c>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42" t="s">
        <v>2174</v>
      </c>
      <c r="E8" s="2197"/>
      <c r="F8" s="2198"/>
      <c r="G8" s="2436"/>
      <c r="H8" s="2436"/>
      <c r="I8" s="2436"/>
      <c r="J8" s="2240"/>
      <c r="K8" s="2394"/>
      <c r="L8" s="2393"/>
      <c r="M8" s="2393"/>
      <c r="N8" s="2240"/>
      <c r="O8" s="1668"/>
      <c r="P8" s="2240"/>
      <c r="Q8" s="2240"/>
      <c r="R8" s="2240"/>
    </row>
    <row r="9" spans="1:30" ht="13.5" thickBot="1">
      <c r="A9" s="2199" t="s">
        <v>2175</v>
      </c>
      <c r="B9" s="2200"/>
      <c r="C9" s="2201"/>
      <c r="D9" s="3243"/>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t="s">
        <v>3504</v>
      </c>
      <c r="M12" s="2240"/>
      <c r="N12" s="1668"/>
      <c r="O12" s="2240"/>
      <c r="P12" s="2240"/>
      <c r="Q12" s="2240"/>
      <c r="AD12" s="1616"/>
    </row>
    <row r="13" spans="1:30">
      <c r="A13" s="3115" t="s">
        <v>3332</v>
      </c>
      <c r="B13" s="2213" t="s">
        <v>2187</v>
      </c>
      <c r="C13" s="802">
        <v>62518</v>
      </c>
      <c r="D13" s="802"/>
      <c r="E13" s="802"/>
      <c r="F13" s="802"/>
      <c r="G13" s="802"/>
      <c r="H13" s="802"/>
      <c r="I13" s="802"/>
      <c r="J13" s="2796"/>
      <c r="K13" s="2393"/>
      <c r="L13" s="2393"/>
      <c r="M13" s="2240"/>
      <c r="N13" s="1668"/>
      <c r="O13" s="2240"/>
      <c r="P13" s="2240"/>
      <c r="Q13" s="2240"/>
      <c r="AD13" s="1616"/>
    </row>
    <row r="14" spans="1:30">
      <c r="A14" s="1017"/>
      <c r="B14" s="2213" t="s">
        <v>2188</v>
      </c>
      <c r="C14" s="3186">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46</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9"/>
      <c r="C16" s="3250"/>
      <c r="D16" s="3251"/>
      <c r="E16" s="2217" t="s">
        <v>2191</v>
      </c>
      <c r="F16" s="3252">
        <v>46</v>
      </c>
      <c r="G16" s="3253"/>
      <c r="H16" s="3253"/>
      <c r="I16" s="3254"/>
      <c r="J16" s="2240">
        <f>70-(2025-2003)-2</f>
        <v>46</v>
      </c>
      <c r="K16" s="2397"/>
      <c r="L16" s="1668"/>
      <c r="M16" s="1668"/>
      <c r="N16" s="2240"/>
      <c r="O16" s="1668"/>
      <c r="P16" s="2240"/>
      <c r="Q16" s="2240"/>
      <c r="R16" s="2240"/>
    </row>
    <row r="17" spans="1:28">
      <c r="A17" s="304" t="s">
        <v>2192</v>
      </c>
      <c r="B17" s="293" t="s">
        <v>2193</v>
      </c>
      <c r="C17" s="8">
        <f>'数据-汇总表'!E3</f>
        <v>109.66</v>
      </c>
      <c r="D17" s="1254" t="s">
        <v>2194</v>
      </c>
      <c r="E17" s="3255" t="s">
        <v>2195</v>
      </c>
      <c r="F17" s="3256"/>
      <c r="G17" s="3256"/>
      <c r="H17" s="3256"/>
      <c r="I17" s="3257"/>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8" t="s">
        <v>2199</v>
      </c>
      <c r="F18" s="3259"/>
      <c r="G18" s="3259"/>
      <c r="H18" s="3259"/>
      <c r="I18" s="3260"/>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5" t="s">
        <v>2203</v>
      </c>
      <c r="C20" s="3246"/>
      <c r="D20" s="3247" t="s">
        <v>2204</v>
      </c>
      <c r="E20" s="3248"/>
      <c r="F20" s="2424" t="s">
        <v>1056</v>
      </c>
      <c r="G20" s="2436"/>
      <c r="H20" s="2436"/>
      <c r="I20" s="2436"/>
      <c r="J20" s="2240"/>
      <c r="K20" s="3244"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62"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62"/>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62"/>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63"/>
      <c r="B30" s="293" t="s">
        <v>2215</v>
      </c>
      <c r="C30" s="3264"/>
      <c r="D30" s="3265"/>
      <c r="E30" s="2436"/>
      <c r="F30" s="2436"/>
      <c r="G30" s="2436"/>
      <c r="H30" s="2436"/>
      <c r="I30" s="2436"/>
      <c r="J30" s="2240"/>
      <c r="K30" s="2396"/>
      <c r="L30" s="2393"/>
      <c r="M30" s="2393"/>
      <c r="N30" s="2240"/>
      <c r="O30" s="1668"/>
      <c r="P30" s="2240"/>
      <c r="Q30" s="2240"/>
      <c r="R30" s="2240"/>
      <c r="S30" s="2240"/>
      <c r="T30" s="2240"/>
      <c r="U30" s="2240"/>
      <c r="V30" s="2240"/>
    </row>
    <row r="31" spans="1:28">
      <c r="A31" s="3266"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7"/>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7"/>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61" t="s">
        <v>2225</v>
      </c>
      <c r="T34" s="314" t="str">
        <f>NUMBERSTRING(7-K34,1)&amp;"通"</f>
        <v>七通</v>
      </c>
      <c r="U34" s="2240"/>
      <c r="V34" s="2240"/>
    </row>
    <row r="35" spans="1:30">
      <c r="A35" s="2231"/>
      <c r="B35" s="3261" t="s">
        <v>2226</v>
      </c>
      <c r="C35" s="3261"/>
      <c r="D35" s="3261"/>
      <c r="E35" s="3261"/>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1"/>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109.66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109.66</v>
      </c>
      <c r="H5" s="13">
        <f t="shared" ref="H5:AT5" si="0">SUM(H13:H656)</f>
        <v>109.66</v>
      </c>
      <c r="I5" s="13">
        <f t="shared" si="0"/>
        <v>109.66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109.66</v>
      </c>
      <c r="BA5" s="15">
        <f t="shared" si="1"/>
        <v>109.66</v>
      </c>
      <c r="BB5" s="15">
        <f t="shared" si="1"/>
        <v>109.66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3457</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109.66</v>
      </c>
      <c r="H13" s="17">
        <f>SUMIF(I$12:AB$12,"总值",I13:AB13)</f>
        <v>109.66</v>
      </c>
      <c r="I13" s="1512">
        <v>109.66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109.66</v>
      </c>
      <c r="BA13" s="13">
        <f>SUM(BB13:BK13)</f>
        <v>109.66</v>
      </c>
      <c r="BB13" s="13">
        <f>IF($D13="是",I13-J13,0)</f>
        <v>109.66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7" t="s">
        <v>1131</v>
      </c>
      <c r="B2" s="3277"/>
      <c r="C2" s="3277"/>
      <c r="D2" s="747" t="s">
        <v>1107</v>
      </c>
      <c r="E2" s="1521" t="s">
        <v>1108</v>
      </c>
      <c r="F2" s="2433"/>
      <c r="G2" s="2426"/>
      <c r="H2" s="2427"/>
      <c r="I2" s="2141" t="s">
        <v>1132</v>
      </c>
      <c r="J2" s="2433"/>
      <c r="K2" s="2433"/>
      <c r="L2" s="2433"/>
      <c r="M2" s="2433"/>
      <c r="N2" s="2434"/>
      <c r="O2" s="2433"/>
      <c r="P2" s="2433"/>
    </row>
    <row r="3" spans="1:16" ht="15.75" thickBot="1">
      <c r="A3" s="3278" t="s">
        <v>1105</v>
      </c>
      <c r="B3" s="3278"/>
      <c r="C3" s="3278"/>
      <c r="D3" s="41">
        <f>'数据-基础表'!AY6</f>
        <v>0</v>
      </c>
      <c r="E3" s="41">
        <f>'数据-基础表'!AZ5</f>
        <v>109.66</v>
      </c>
      <c r="F3" s="2433"/>
      <c r="G3" s="42"/>
      <c r="H3" s="43" t="s">
        <v>1106</v>
      </c>
      <c r="I3" s="801" t="e">
        <f>ROUND('数据-基础表'!B3/'数据-基础表'!A3,2)</f>
        <v>#DIV/0!</v>
      </c>
      <c r="J3" s="2433"/>
      <c r="K3" s="2433"/>
      <c r="L3" s="2433"/>
      <c r="M3" s="2433"/>
      <c r="N3" s="2434"/>
      <c r="O3" s="2433"/>
      <c r="P3" s="2433"/>
    </row>
    <row r="4" spans="1:16" ht="15">
      <c r="A4" s="3279"/>
      <c r="B4" s="3280"/>
      <c r="C4" s="3281"/>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82" t="s">
        <v>1110</v>
      </c>
      <c r="C5" s="3282"/>
      <c r="D5" s="43">
        <f>ROUND($D$3*E5/$E$3,2)</f>
        <v>0</v>
      </c>
      <c r="E5" s="44">
        <f>SUMIF('数据-基础表'!$11:$11,"住宅",'数据-基础表'!$5:$5)</f>
        <v>109.66</v>
      </c>
      <c r="F5" s="2433"/>
      <c r="G5" s="42"/>
      <c r="H5" s="43" t="s">
        <v>1106</v>
      </c>
      <c r="I5" s="801" t="e">
        <f>ROUND(E31/D31,2)</f>
        <v>#DIV/0!</v>
      </c>
      <c r="J5" s="2433"/>
      <c r="K5" s="2433"/>
      <c r="L5" s="2433"/>
      <c r="M5" s="2433"/>
      <c r="N5" s="2433"/>
      <c r="O5" s="2433"/>
      <c r="P5" s="2433"/>
    </row>
    <row r="6" spans="1:16" ht="15" thickBot="1">
      <c r="A6" s="1525"/>
      <c r="B6" s="3282" t="s">
        <v>1111</v>
      </c>
      <c r="C6" s="3282"/>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74"/>
      <c r="B7" s="3275"/>
      <c r="C7" s="3276"/>
      <c r="D7" s="1522" t="s">
        <v>1107</v>
      </c>
      <c r="E7" s="1526" t="s">
        <v>1114</v>
      </c>
      <c r="F7" s="2433"/>
      <c r="G7" s="2430" t="s">
        <v>1115</v>
      </c>
      <c r="H7" s="95"/>
      <c r="I7" s="2431"/>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109.66</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109.66</v>
      </c>
      <c r="F16" s="2433"/>
      <c r="G16" s="2433"/>
      <c r="H16" s="1529" t="s">
        <v>1135</v>
      </c>
      <c r="I16" s="1530"/>
      <c r="J16" s="1070"/>
      <c r="K16" s="3271" t="s">
        <v>1135</v>
      </c>
      <c r="L16" s="3272"/>
      <c r="M16" s="3272"/>
      <c r="N16" s="3272"/>
      <c r="O16" s="3272"/>
      <c r="P16" s="3273"/>
    </row>
    <row r="17" spans="1:19" ht="15">
      <c r="A17" s="1531" t="s">
        <v>1136</v>
      </c>
      <c r="B17" s="1532" t="s">
        <v>1137</v>
      </c>
      <c r="C17" s="1533" t="s">
        <v>1138</v>
      </c>
      <c r="D17" s="1534" t="s">
        <v>1126</v>
      </c>
      <c r="E17" s="1535" t="s">
        <v>1127</v>
      </c>
      <c r="F17" s="1536"/>
      <c r="G17" s="1537"/>
      <c r="H17" s="1538" t="s">
        <v>1139</v>
      </c>
      <c r="I17" s="1539" t="s">
        <v>1124</v>
      </c>
      <c r="J17" s="1070"/>
      <c r="K17" s="3268" t="s">
        <v>1140</v>
      </c>
      <c r="L17" s="3269"/>
      <c r="M17" s="3270"/>
      <c r="N17" s="3268" t="s">
        <v>1141</v>
      </c>
      <c r="O17" s="3269"/>
      <c r="P17" s="3270"/>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109.66</v>
      </c>
      <c r="F19" s="2552">
        <f>'数据-基础表'!I13</f>
        <v>109.66</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109.66</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109.66</v>
      </c>
      <c r="F27" s="1071">
        <f>IF(SUM(F19:F26)=E8,SUM(F19:F26),"地上面积有误")</f>
        <v>109.66</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109.66</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109.66</v>
      </c>
      <c r="F31" s="643">
        <f>F27+F30</f>
        <v>109.66</v>
      </c>
      <c r="G31" s="644">
        <f>G27+G30</f>
        <v>0</v>
      </c>
      <c r="H31" s="2433"/>
      <c r="I31" s="2433"/>
      <c r="J31" s="2433"/>
      <c r="K31" s="2433"/>
      <c r="L31" s="2433"/>
      <c r="M31" s="2433"/>
      <c r="N31" s="2433"/>
      <c r="O31" s="2433"/>
      <c r="P31" s="2433"/>
    </row>
    <row r="32" spans="1:19">
      <c r="A32" s="1524"/>
      <c r="B32" s="1524" t="s">
        <v>1159</v>
      </c>
      <c r="C32" s="1524"/>
      <c r="D32" s="1524"/>
      <c r="E32" s="989">
        <f>SUMIF(C19:C26,"*住宅*",E19:E26)</f>
        <v>109.66</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45727</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62518</v>
      </c>
      <c r="F6" s="61">
        <f>SUMIF(项目基本情况!C$12:I$12,C6,项目基本情况!C$15:I$15)</f>
        <v>46</v>
      </c>
      <c r="G6" s="62">
        <f t="shared" ref="G6:G13" si="0">IF(ISERROR(ROUND(POWER(1+H6,D6-F6)*(POWER(1+H6,F6)-1)/(POWER(1+H6,D6)-1),3)),0,ROUND(POWER(1+H6,D6-F6)*(POWER(1+H6,F6)-1)/(POWER(1+H6,D6)-1),3))</f>
        <v>0.85099999999999998</v>
      </c>
      <c r="H6" s="690">
        <v>0.03</v>
      </c>
      <c r="I6" s="690">
        <v>0.04</v>
      </c>
      <c r="J6" s="63">
        <v>0.05</v>
      </c>
      <c r="K6" s="969">
        <f>SUMIF('数据-汇总表'!C$19:C$33,A6,'数据-汇总表'!E$19:E$33)</f>
        <v>109.66</v>
      </c>
      <c r="L6" s="3178">
        <v>4000</v>
      </c>
      <c r="M6" s="64">
        <f t="shared" ref="M6:M14" si="1">ROUND(K6*L6/10000,0)</f>
        <v>44</v>
      </c>
      <c r="N6" s="3179">
        <f>ROUND(M21*0.3+M22*0.7,2)</f>
        <v>0.89</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0">
        <v>12500</v>
      </c>
      <c r="V6" s="67">
        <v>2.5000000000000001E-2</v>
      </c>
      <c r="W6" s="67">
        <v>0.05</v>
      </c>
      <c r="X6" s="978"/>
      <c r="Y6" s="68">
        <f>N6</f>
        <v>0.89</v>
      </c>
      <c r="Z6" s="69"/>
      <c r="AA6" s="63"/>
      <c r="AB6" s="63"/>
      <c r="AC6" s="978"/>
      <c r="AD6" s="70"/>
      <c r="AE6" s="979">
        <f ca="1">IF(AN6="",0,SUMIF(INDIRECT("'"&amp;AN6&amp;"'"&amp;"!E:E"),$AE$5,INDIRECT("'"&amp;AN6&amp;"'"&amp;"!F:F")))</f>
        <v>46</v>
      </c>
      <c r="AF6" s="74"/>
      <c r="AG6" s="129">
        <f>IF(AF6="",0,AE6-AF6)</f>
        <v>0</v>
      </c>
      <c r="AH6" s="71">
        <v>1</v>
      </c>
      <c r="AI6" s="73">
        <v>12</v>
      </c>
      <c r="AJ6" s="74"/>
      <c r="AK6" s="75">
        <v>0.01</v>
      </c>
      <c r="AL6" s="76">
        <v>1E-3</v>
      </c>
      <c r="AM6" s="77">
        <v>0.01</v>
      </c>
      <c r="AN6" s="1587" t="s">
        <v>3393</v>
      </c>
      <c r="AO6" s="50">
        <f ca="1">SUMIF(INDIRECT("'"&amp;AN6&amp;"'"&amp;"!A:A"),"总价",INDIRECT("'"&amp;AN6&amp;"'"&amp;"!B:B"))</f>
        <v>424.77089999999998</v>
      </c>
      <c r="AP6" s="1588">
        <f>IF(C6="住宅",K6*L6,0)</f>
        <v>438640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0.85099999999999998</v>
      </c>
      <c r="H16" s="84">
        <f>ROUND(SUMPRODUCT(H6:H13,K6:K13)/SUMPRODUCT((H6:H13&gt;0)*(K6:K13)),3)</f>
        <v>0.03</v>
      </c>
      <c r="I16" s="85"/>
      <c r="J16" s="85"/>
      <c r="K16" s="86">
        <f>SUM(K6:K15)</f>
        <v>109.66</v>
      </c>
      <c r="L16" s="87">
        <f>ROUND(M16*10000/SUM(K6:K14),0)</f>
        <v>4012</v>
      </c>
      <c r="M16" s="87">
        <f>SUM(M6:M14)</f>
        <v>44</v>
      </c>
      <c r="N16" s="88">
        <f>ROUND(SUMPRODUCT(M6:M14,N6:N14)/M16,3)</f>
        <v>0.89</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8">
        <v>2010</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75">
        <v>2</v>
      </c>
      <c r="C20" s="2556" t="s">
        <v>2298</v>
      </c>
      <c r="D20" s="2446"/>
      <c r="E20" s="2433"/>
      <c r="F20" s="2433"/>
      <c r="G20" s="2433"/>
      <c r="H20" s="2433"/>
      <c r="I20" s="2433"/>
      <c r="J20" s="2433"/>
      <c r="K20" s="2444"/>
      <c r="L20" s="2444"/>
      <c r="M20" s="3148">
        <f>2025-M19</f>
        <v>15</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75">
        <f>B20</f>
        <v>2</v>
      </c>
      <c r="C21" s="2433"/>
      <c r="D21" s="2446"/>
      <c r="E21" s="2433"/>
      <c r="F21" s="2433"/>
      <c r="G21" s="2433"/>
      <c r="H21" s="2433"/>
      <c r="I21" s="2433"/>
      <c r="J21" s="2433"/>
      <c r="K21" s="2444"/>
      <c r="L21" s="2444"/>
      <c r="M21" s="3149">
        <f>1-(M20)/60</f>
        <v>0.75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0">
        <v>0.95</v>
      </c>
      <c r="N22" s="3193">
        <f>ROUND(M21*0.3+M22*0.7,3)</f>
        <v>0.89</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17546</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7" t="s">
        <v>3484</v>
      </c>
      <c r="B40" s="1014">
        <f ca="1">IF(A40="利息：取LPR",存贷款利率!G1,存贷款利率!G1+C40)</f>
        <v>3.1E-2</v>
      </c>
      <c r="C40" s="3176">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83" t="s">
        <v>2281</v>
      </c>
      <c r="B1" s="3284"/>
      <c r="C1" s="3284"/>
      <c r="D1" s="3284"/>
      <c r="E1" s="3284"/>
      <c r="F1" s="3284"/>
      <c r="G1" s="3284"/>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3" t="s">
        <v>3492</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60">
      <c r="A6" s="2243"/>
      <c r="B6" s="314" t="s">
        <v>2259</v>
      </c>
      <c r="C6" s="3154" t="s">
        <v>3476</v>
      </c>
      <c r="D6" s="2260"/>
      <c r="E6" s="2264"/>
      <c r="F6" s="314" t="s">
        <v>2260</v>
      </c>
      <c r="G6" s="2265" t="s">
        <v>2261</v>
      </c>
      <c r="H6" s="750"/>
      <c r="I6" s="750"/>
      <c r="J6" s="750"/>
      <c r="K6" s="750"/>
      <c r="L6" s="750"/>
      <c r="M6" s="750"/>
      <c r="N6" s="750"/>
      <c r="O6" s="750"/>
      <c r="P6" s="750"/>
      <c r="Q6" s="750"/>
    </row>
    <row r="7" spans="1:29" ht="156.75" thickBot="1">
      <c r="A7" s="2243"/>
      <c r="B7" s="314" t="s">
        <v>2257</v>
      </c>
      <c r="C7" s="3154" t="s">
        <v>3477</v>
      </c>
      <c r="D7" s="2240"/>
      <c r="E7" s="2266"/>
      <c r="F7" s="2267" t="s">
        <v>2262</v>
      </c>
      <c r="G7" s="2268" t="s">
        <v>2263</v>
      </c>
      <c r="H7" s="750"/>
      <c r="I7" s="750"/>
      <c r="J7" s="750"/>
      <c r="K7" s="750"/>
      <c r="L7" s="750"/>
      <c r="M7" s="750"/>
      <c r="N7" s="750"/>
      <c r="O7" s="750"/>
      <c r="P7" s="750"/>
      <c r="Q7" s="750"/>
    </row>
    <row r="8" spans="1:29">
      <c r="A8" s="2243"/>
      <c r="B8" s="314" t="s">
        <v>2260</v>
      </c>
      <c r="C8" s="3154" t="s">
        <v>3446</v>
      </c>
      <c r="D8" s="2240"/>
      <c r="E8" s="2240"/>
      <c r="F8" s="120"/>
      <c r="G8" s="120"/>
      <c r="H8" s="750"/>
      <c r="I8" s="750"/>
      <c r="J8" s="750"/>
      <c r="K8" s="750"/>
      <c r="L8" s="750"/>
      <c r="M8" s="750"/>
      <c r="N8" s="750"/>
      <c r="O8" s="750"/>
      <c r="P8" s="750"/>
      <c r="Q8" s="750"/>
    </row>
    <row r="9" spans="1:29" ht="60">
      <c r="A9" s="2243"/>
      <c r="B9" s="314" t="s">
        <v>2264</v>
      </c>
      <c r="C9" s="3157" t="s">
        <v>3478</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周边有财富中心、新城国际、金茂公寓、建外SOHO等住宅小区，居住社区成熟度较好。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63.75">
      <c r="A18" s="2247"/>
      <c r="B18" s="2287" t="s">
        <v>2259</v>
      </c>
      <c r="C18" s="2288" t="str">
        <f>C6</f>
        <v>周边有98路、113路、140路、405路等多条公交线路，地铁1号线与10号线换乘站国贸站，地铁6号线与10号线换乘站呼家楼站，综合评价交通便捷度好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自然环境：团结湖公园、日坛公园等自然景观；
人文环境：东岳庙、当代美术馆等人文场所；
综合评价环境状况较好。</v>
      </c>
      <c r="D20" s="2240"/>
      <c r="E20" s="2248"/>
      <c r="F20" s="314" t="s">
        <v>2260</v>
      </c>
      <c r="G20" s="2288" t="str">
        <f>G6</f>
        <v>估价对象所在区域基础设施水平</v>
      </c>
    </row>
    <row r="21" spans="1:17" ht="165.75">
      <c r="A21" s="2247"/>
      <c r="B21" s="314" t="s">
        <v>2257</v>
      </c>
      <c r="C21" s="2288" t="str">
        <f>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109.66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45727</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523.1001</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109.66</v>
      </c>
      <c r="C14" s="2300"/>
      <c r="D14" s="2300">
        <f ca="1">ROUND(E14*B14/10000,4)</f>
        <v>523.1001</v>
      </c>
      <c r="E14" s="2300">
        <f ca="1">结果表!G20</f>
        <v>47702</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Q13" sqref="Q13"/>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52" t="str">
        <f>项目基本情况!S2</f>
        <v>北京市房地产</v>
      </c>
      <c r="B2" s="3353"/>
      <c r="C2" s="3353"/>
      <c r="D2" s="3353"/>
      <c r="E2" s="3353"/>
      <c r="F2" s="3353"/>
      <c r="G2" s="3353"/>
      <c r="H2" s="3353"/>
      <c r="I2" s="3354"/>
    </row>
    <row r="3" spans="1:12" ht="12.75">
      <c r="A3" s="3356" t="s">
        <v>1264</v>
      </c>
      <c r="B3" s="3357"/>
      <c r="C3" s="3357"/>
      <c r="D3" s="3357"/>
      <c r="E3" s="3357"/>
      <c r="F3" s="3357"/>
      <c r="G3" s="3357"/>
      <c r="H3" s="3357"/>
      <c r="I3" s="3357"/>
    </row>
    <row r="4" spans="1:12" ht="14.25">
      <c r="A4" s="1622" t="s">
        <v>1265</v>
      </c>
      <c r="B4" s="1623" t="s">
        <v>1266</v>
      </c>
      <c r="C4" s="1624" t="s">
        <v>3393</v>
      </c>
      <c r="D4" s="1624" t="s">
        <v>3398</v>
      </c>
      <c r="E4" s="3361" t="s">
        <v>1267</v>
      </c>
      <c r="F4" s="3362"/>
      <c r="G4" s="3362"/>
      <c r="H4" s="3362"/>
      <c r="I4" s="3363"/>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300" t="s">
        <v>1268</v>
      </c>
      <c r="B5" s="3355">
        <v>25</v>
      </c>
      <c r="C5" s="3358"/>
      <c r="D5" s="3346"/>
      <c r="E5" s="122" t="s">
        <v>1269</v>
      </c>
      <c r="F5" s="1625"/>
      <c r="G5" s="1625"/>
      <c r="H5" s="1625"/>
      <c r="I5" s="1279"/>
    </row>
    <row r="6" spans="1:12" ht="12.75">
      <c r="A6" s="3300"/>
      <c r="B6" s="3355"/>
      <c r="C6" s="3360"/>
      <c r="D6" s="3346"/>
      <c r="E6" s="122" t="s">
        <v>1270</v>
      </c>
      <c r="F6" s="1625"/>
      <c r="G6" s="1625"/>
      <c r="H6" s="1625"/>
      <c r="I6" s="1279"/>
    </row>
    <row r="7" spans="1:12" ht="12.75">
      <c r="A7" s="3300"/>
      <c r="B7" s="3355"/>
      <c r="C7" s="3359"/>
      <c r="D7" s="3346"/>
      <c r="E7" s="122" t="s">
        <v>1271</v>
      </c>
      <c r="F7" s="1625"/>
      <c r="G7" s="1625"/>
      <c r="H7" s="1625"/>
      <c r="I7" s="1279"/>
    </row>
    <row r="8" spans="1:12" ht="12.75">
      <c r="A8" s="3300" t="s">
        <v>1272</v>
      </c>
      <c r="B8" s="3355">
        <v>15</v>
      </c>
      <c r="C8" s="3358"/>
      <c r="D8" s="3346"/>
      <c r="E8" s="122" t="s">
        <v>1273</v>
      </c>
      <c r="F8" s="1625"/>
      <c r="G8" s="1625"/>
      <c r="H8" s="1625"/>
      <c r="I8" s="1279"/>
    </row>
    <row r="9" spans="1:12" ht="12.75">
      <c r="A9" s="3300"/>
      <c r="B9" s="3355"/>
      <c r="C9" s="3359"/>
      <c r="D9" s="3346"/>
      <c r="E9" s="122" t="s">
        <v>1274</v>
      </c>
      <c r="F9" s="1625"/>
      <c r="G9" s="1625"/>
      <c r="H9" s="1625"/>
      <c r="I9" s="1279"/>
    </row>
    <row r="10" spans="1:12" ht="12.75">
      <c r="A10" s="3300" t="s">
        <v>1275</v>
      </c>
      <c r="B10" s="3355">
        <v>15</v>
      </c>
      <c r="C10" s="3358"/>
      <c r="D10" s="3346"/>
      <c r="E10" s="122" t="s">
        <v>1276</v>
      </c>
      <c r="F10" s="1625"/>
      <c r="G10" s="1625"/>
      <c r="H10" s="1625"/>
      <c r="I10" s="1279"/>
    </row>
    <row r="11" spans="1:12" ht="12.75">
      <c r="A11" s="3300"/>
      <c r="B11" s="3355"/>
      <c r="C11" s="3359"/>
      <c r="D11" s="3346"/>
      <c r="E11" s="122" t="s">
        <v>1277</v>
      </c>
      <c r="F11" s="1625"/>
      <c r="G11" s="1625"/>
      <c r="H11" s="1625"/>
      <c r="I11" s="1279"/>
    </row>
    <row r="12" spans="1:12" ht="12.75">
      <c r="A12" s="3300" t="s">
        <v>1278</v>
      </c>
      <c r="B12" s="3355">
        <v>15</v>
      </c>
      <c r="C12" s="3358"/>
      <c r="D12" s="3346"/>
      <c r="E12" s="122" t="s">
        <v>1279</v>
      </c>
      <c r="F12" s="1625"/>
      <c r="G12" s="1625"/>
      <c r="H12" s="1625"/>
      <c r="I12" s="1279"/>
    </row>
    <row r="13" spans="1:12" ht="12.75">
      <c r="A13" s="3300"/>
      <c r="B13" s="3355"/>
      <c r="C13" s="3359"/>
      <c r="D13" s="3346"/>
      <c r="E13" s="122" t="s">
        <v>1280</v>
      </c>
      <c r="F13" s="1625"/>
      <c r="G13" s="1625"/>
      <c r="H13" s="1625"/>
      <c r="I13" s="1279"/>
    </row>
    <row r="14" spans="1:12" ht="12.75">
      <c r="A14" s="3300" t="s">
        <v>1281</v>
      </c>
      <c r="B14" s="3355">
        <v>30</v>
      </c>
      <c r="C14" s="3358">
        <v>2</v>
      </c>
      <c r="D14" s="3346">
        <f>10-C14</f>
        <v>8</v>
      </c>
      <c r="E14" s="122" t="s">
        <v>1282</v>
      </c>
      <c r="F14" s="1625"/>
      <c r="G14" s="1625"/>
      <c r="H14" s="1625"/>
      <c r="I14" s="1279"/>
    </row>
    <row r="15" spans="1:12" ht="12.75">
      <c r="A15" s="3300"/>
      <c r="B15" s="3355"/>
      <c r="C15" s="3360"/>
      <c r="D15" s="3346"/>
      <c r="E15" s="122" t="s">
        <v>1283</v>
      </c>
      <c r="F15" s="1625"/>
      <c r="G15" s="1625"/>
      <c r="H15" s="1625"/>
      <c r="I15" s="1279"/>
    </row>
    <row r="16" spans="1:12" ht="12.75">
      <c r="A16" s="3300"/>
      <c r="B16" s="3355"/>
      <c r="C16" s="3359"/>
      <c r="D16" s="3346"/>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77" t="s">
        <v>2128</v>
      </c>
      <c r="F18" s="3378"/>
      <c r="G18" s="3378"/>
      <c r="H18" s="3378"/>
      <c r="I18" s="3378"/>
      <c r="K18" s="293" t="s">
        <v>1289</v>
      </c>
      <c r="L18" s="293">
        <f>IF(C1="",'数据-汇总表'!E3,SUMIF(项目类型,C1,'数据-汇总表'!E17:E26)+SUMIF(项目类型,C1,'数据-汇总表'!I17:I26))</f>
        <v>109.66</v>
      </c>
      <c r="M18" s="293">
        <f>IF(C1="",'数据-汇总表'!E3,SUMIF(项目类型,C1,'数据-汇总表'!E17:E26))</f>
        <v>109.66</v>
      </c>
    </row>
    <row r="19" spans="1:36" ht="15">
      <c r="A19" s="1628" t="s">
        <v>1290</v>
      </c>
      <c r="B19" s="1629" t="s">
        <v>1291</v>
      </c>
      <c r="C19" s="125">
        <f ca="1">SUMIF(INDIRECT("'"&amp;C4&amp;"'"&amp;"!A:A"),结果表!B19,INDIRECT("'"&amp;C4&amp;"'"&amp;"!B:B"))</f>
        <v>424.77089999999998</v>
      </c>
      <c r="D19" s="126">
        <f ca="1">SUMIF(INDIRECT("'"&amp;D4&amp;"'"&amp;"!A:A"),结果表!B19,INDIRECT("'"&amp;D4&amp;"'"&amp;"!B:B"))</f>
        <v>547.68589999999995</v>
      </c>
      <c r="E19" s="1628" t="s">
        <v>1292</v>
      </c>
      <c r="F19" s="1629" t="s">
        <v>1291</v>
      </c>
      <c r="G19" s="3161">
        <f ca="1">ROUND((G20*'数据-基础表'!I13)/10000,4)</f>
        <v>523.1001</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38735</v>
      </c>
      <c r="D20" s="129">
        <f ca="1">SUMIF(INDIRECT("'"&amp;D4&amp;"'"&amp;"!A:A"),结果表!B20,INDIRECT("'"&amp;D4&amp;"'"&amp;"!B:B"))</f>
        <v>49944</v>
      </c>
      <c r="E20" s="1631"/>
      <c r="F20" s="43" t="s">
        <v>1295</v>
      </c>
      <c r="G20" s="130">
        <f ca="1">ROUND(C20*$C$18+D20*$D$18,0)</f>
        <v>47702</v>
      </c>
      <c r="H20" s="759" t="s">
        <v>1296</v>
      </c>
      <c r="I20" s="120">
        <f ca="1">G19/L20</f>
        <v>0.99638114285714285</v>
      </c>
      <c r="J20" s="683">
        <v>500</v>
      </c>
      <c r="K20" s="683">
        <v>550</v>
      </c>
      <c r="L20" s="683">
        <f>525</f>
        <v>525</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0.28936775094527412</v>
      </c>
      <c r="E22" s="120"/>
      <c r="F22" s="120"/>
      <c r="G22" s="120"/>
      <c r="H22" s="120"/>
      <c r="I22" s="120"/>
    </row>
    <row r="23" spans="1:36" ht="13.5" thickBot="1">
      <c r="A23" s="645"/>
      <c r="B23" s="645"/>
      <c r="C23" s="645"/>
      <c r="D23" s="645"/>
      <c r="E23" s="120"/>
      <c r="F23" s="120"/>
      <c r="G23" s="120"/>
      <c r="H23" s="120"/>
      <c r="I23" s="120"/>
      <c r="J23" s="683">
        <v>450</v>
      </c>
      <c r="K23" s="683">
        <v>550</v>
      </c>
    </row>
    <row r="24" spans="1:36" ht="14.25">
      <c r="A24" s="3370" t="s">
        <v>1299</v>
      </c>
      <c r="B24" s="1629" t="s">
        <v>1291</v>
      </c>
      <c r="C24" s="127">
        <f>IF(B30=0,0,D30)</f>
        <v>0</v>
      </c>
      <c r="D24" s="1635"/>
      <c r="E24" s="120"/>
      <c r="F24" s="120"/>
      <c r="G24" s="120">
        <f ca="1">系统读取表!D14</f>
        <v>523.1001</v>
      </c>
      <c r="H24" s="120"/>
      <c r="I24" s="120"/>
      <c r="J24" s="683">
        <f>ROUND(J23*10000/'数据-基础表'!$I$13,0)</f>
        <v>41036</v>
      </c>
      <c r="K24" s="683">
        <f>ROUND(K23*10000/'数据-基础表'!$I$13,0)</f>
        <v>50155</v>
      </c>
    </row>
    <row r="25" spans="1:36" ht="14.25">
      <c r="A25" s="3371"/>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3" t="s">
        <v>3441</v>
      </c>
      <c r="B27" s="133">
        <f>'数据-基础表'!I13</f>
        <v>109.66</v>
      </c>
      <c r="C27" s="133"/>
      <c r="D27" s="3185"/>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47702</v>
      </c>
      <c r="D30" s="3164">
        <f ca="1">ROUND((G19*10000-D27)/10000,4)</f>
        <v>523.1001</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47702</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7" t="s">
        <v>1312</v>
      </c>
      <c r="B36" s="1650" t="s">
        <v>1313</v>
      </c>
      <c r="C36" s="136"/>
      <c r="D36" s="1651"/>
      <c r="E36" s="1565"/>
      <c r="F36" s="1652"/>
      <c r="G36" s="120"/>
      <c r="H36" s="120"/>
      <c r="I36" s="120"/>
    </row>
    <row r="37" spans="1:15" ht="15.75" thickBot="1">
      <c r="A37" s="3348"/>
      <c r="B37" s="1553" t="s">
        <v>1314</v>
      </c>
      <c r="C37" s="138"/>
      <c r="D37" s="1070"/>
      <c r="E37" s="1070"/>
      <c r="F37" s="1652"/>
      <c r="G37" s="120"/>
      <c r="H37" s="120"/>
      <c r="I37" s="120"/>
    </row>
    <row r="38" spans="1:15" ht="15.75" thickBot="1">
      <c r="A38" s="3349"/>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7" t="s">
        <v>1326</v>
      </c>
      <c r="B45" s="3368"/>
      <c r="C45" s="3369"/>
      <c r="D45" s="146" t="e">
        <f ca="1">ROUND(H101*F45,0)</f>
        <v>#REF!</v>
      </c>
      <c r="E45" s="147" t="s">
        <v>1327</v>
      </c>
      <c r="F45" s="148">
        <v>1</v>
      </c>
      <c r="G45" s="149" t="s">
        <v>1328</v>
      </c>
      <c r="H45" s="120"/>
      <c r="I45" s="120"/>
      <c r="J45" s="3287" t="s">
        <v>1329</v>
      </c>
      <c r="K45" s="3287"/>
      <c r="L45" s="3287"/>
      <c r="M45" s="3287"/>
      <c r="N45" s="3287"/>
      <c r="O45" s="3287"/>
    </row>
    <row r="46" spans="1:15" ht="14.25" customHeight="1">
      <c r="A46" s="3364" t="s">
        <v>1330</v>
      </c>
      <c r="B46" s="3365"/>
      <c r="C46" s="3365"/>
      <c r="D46" s="3365"/>
      <c r="E46" s="3365"/>
      <c r="F46" s="3365"/>
      <c r="G46" s="3366"/>
      <c r="H46" s="1666"/>
      <c r="I46" s="150"/>
      <c r="J46" s="2304">
        <v>1</v>
      </c>
      <c r="K46" s="3288" t="s">
        <v>1331</v>
      </c>
      <c r="L46" s="3288"/>
      <c r="M46" s="3289"/>
      <c r="N46" s="3289"/>
      <c r="O46" s="3289"/>
    </row>
    <row r="47" spans="1:15" ht="12" customHeight="1">
      <c r="A47" s="151" t="s">
        <v>1332</v>
      </c>
      <c r="B47" s="152"/>
      <c r="C47" s="153"/>
      <c r="D47" s="1023" t="s">
        <v>1333</v>
      </c>
      <c r="E47" s="293" t="s">
        <v>1334</v>
      </c>
      <c r="F47" s="154" t="s">
        <v>1335</v>
      </c>
      <c r="G47" s="2327" t="s">
        <v>1336</v>
      </c>
      <c r="H47" s="2328"/>
      <c r="I47" s="150"/>
      <c r="J47" s="2304">
        <v>2</v>
      </c>
      <c r="K47" s="3288" t="s">
        <v>1337</v>
      </c>
      <c r="L47" s="3288"/>
      <c r="M47" s="3290">
        <f>'数据-取费表'!B2</f>
        <v>45727</v>
      </c>
      <c r="N47" s="3290"/>
      <c r="O47" s="3290"/>
    </row>
    <row r="48" spans="1:15" ht="25.5">
      <c r="A48" s="3350" t="s">
        <v>1338</v>
      </c>
      <c r="B48" s="3351"/>
      <c r="C48" s="3351"/>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288" t="s">
        <v>1340</v>
      </c>
      <c r="L48" s="3288"/>
      <c r="M48" s="3291" t="e">
        <f ca="1">H101</f>
        <v>#REF!</v>
      </c>
      <c r="N48" s="3291"/>
      <c r="O48" s="3291"/>
    </row>
    <row r="49" spans="1:35" ht="25.5" customHeight="1">
      <c r="A49" s="2147" t="s">
        <v>1341</v>
      </c>
      <c r="B49" s="3336" t="s">
        <v>1342</v>
      </c>
      <c r="C49" s="3336"/>
      <c r="D49" s="1476">
        <v>0</v>
      </c>
      <c r="E49" s="315" t="s">
        <v>1343</v>
      </c>
      <c r="F49" s="2228" t="s">
        <v>28</v>
      </c>
      <c r="G49" s="3319"/>
      <c r="H49" s="2129" t="s">
        <v>2131</v>
      </c>
      <c r="I49" s="2130"/>
      <c r="J49" s="2304">
        <v>4</v>
      </c>
      <c r="K49" s="3288" t="str">
        <f>IF(项目基本情况!E8="房地产抵押价值","房地产抵押价值","抵押担保权已注销时的房地产抵押价值")</f>
        <v>抵押担保权已注销时的房地产抵押价值</v>
      </c>
      <c r="L49" s="3288"/>
      <c r="M49" s="3291" t="str">
        <f>IF(项目基本情况!E8="房地产抵押价值",H107,H109)</f>
        <v>——</v>
      </c>
      <c r="N49" s="3291"/>
      <c r="O49" s="3291"/>
    </row>
    <row r="50" spans="1:35" ht="25.5" customHeight="1">
      <c r="A50" s="2332"/>
      <c r="B50" s="3336" t="s">
        <v>1344</v>
      </c>
      <c r="C50" s="3336"/>
      <c r="D50" s="2184"/>
      <c r="E50" s="322"/>
      <c r="F50" s="2228"/>
      <c r="G50" s="3320"/>
      <c r="H50" s="2131" t="s">
        <v>2132</v>
      </c>
      <c r="I50" s="2130"/>
      <c r="J50" s="3287" t="s">
        <v>1345</v>
      </c>
      <c r="K50" s="3287"/>
      <c r="L50" s="3287"/>
      <c r="M50" s="3287"/>
      <c r="N50" s="3287"/>
      <c r="O50" s="3287"/>
    </row>
    <row r="51" spans="1:35" ht="20.45" customHeight="1">
      <c r="A51" s="2333"/>
      <c r="B51" s="3336" t="s">
        <v>1346</v>
      </c>
      <c r="C51" s="3336"/>
      <c r="D51" s="1023"/>
      <c r="E51" s="318"/>
      <c r="F51" s="2228"/>
      <c r="G51" s="3321"/>
      <c r="H51" s="2131" t="s">
        <v>2133</v>
      </c>
      <c r="I51" s="2130"/>
      <c r="J51" s="2305" t="s">
        <v>1347</v>
      </c>
      <c r="K51" s="3288" t="s">
        <v>1348</v>
      </c>
      <c r="L51" s="3288"/>
      <c r="M51" s="2305" t="s">
        <v>1349</v>
      </c>
      <c r="N51" s="2305" t="s">
        <v>1350</v>
      </c>
      <c r="O51" s="2305" t="s">
        <v>1351</v>
      </c>
    </row>
    <row r="52" spans="1:35" ht="24" customHeight="1">
      <c r="A52" s="2148" t="s">
        <v>1352</v>
      </c>
      <c r="B52" s="3336" t="s">
        <v>1353</v>
      </c>
      <c r="C52" s="3336"/>
      <c r="D52" s="1023" t="e">
        <f ca="1">ROUND(D45*'数据-取费表'!B41/(1+'数据-取费表'!C42),0)</f>
        <v>#REF!</v>
      </c>
      <c r="E52" s="1254" t="s">
        <v>1354</v>
      </c>
      <c r="F52" s="2334">
        <f>'数据-取费表'!B41</f>
        <v>5.6000000000000001E-2</v>
      </c>
      <c r="G52" s="2335"/>
      <c r="H52" s="2325"/>
      <c r="I52" s="1667"/>
      <c r="J52" s="2304">
        <v>1</v>
      </c>
      <c r="K52" s="3313" t="s">
        <v>1355</v>
      </c>
      <c r="L52" s="3313"/>
      <c r="M52" s="2306" t="b">
        <f>D48</f>
        <v>0</v>
      </c>
      <c r="N52" s="2304" t="str">
        <f>E48</f>
        <v>销售额×税（费）率</v>
      </c>
      <c r="O52" s="2307">
        <f>F48</f>
        <v>5.6000000000000001E-2</v>
      </c>
    </row>
    <row r="53" spans="1:35" ht="12" customHeight="1">
      <c r="A53" s="2148" t="s">
        <v>1356</v>
      </c>
      <c r="B53" s="3337" t="s">
        <v>2286</v>
      </c>
      <c r="C53" s="3338"/>
      <c r="D53" s="1023" t="e">
        <f ca="1">ROUND(D45*'数据-取费表'!B41/(1+'数据-取费表'!C42),0)</f>
        <v>#REF!</v>
      </c>
      <c r="E53" s="1254" t="s">
        <v>1354</v>
      </c>
      <c r="F53" s="2334">
        <f>'数据-取费表'!B41</f>
        <v>5.6000000000000001E-2</v>
      </c>
      <c r="G53" s="2335"/>
      <c r="H53" s="2325"/>
      <c r="I53" s="1667"/>
      <c r="J53" s="2304">
        <v>2</v>
      </c>
      <c r="K53" s="3313" t="s">
        <v>1357</v>
      </c>
      <c r="L53" s="3313"/>
      <c r="M53" s="2306" t="e">
        <f t="shared" ref="M53:O54" ca="1" si="0">D55</f>
        <v>#REF!</v>
      </c>
      <c r="N53" s="2304" t="str">
        <f t="shared" si="0"/>
        <v>销售额×税（费）率</v>
      </c>
      <c r="O53" s="2307" t="str">
        <f t="shared" si="0"/>
        <v>免征</v>
      </c>
    </row>
    <row r="54" spans="1:35" ht="12" customHeight="1">
      <c r="A54" s="2148" t="s">
        <v>1358</v>
      </c>
      <c r="B54" s="3337" t="s">
        <v>2287</v>
      </c>
      <c r="C54" s="3338"/>
      <c r="D54" s="1023" t="e">
        <f ca="1">C68</f>
        <v>#REF!</v>
      </c>
      <c r="E54" s="318" t="s">
        <v>1359</v>
      </c>
      <c r="F54" s="2334">
        <f>'数据-取费表'!B41</f>
        <v>5.6000000000000001E-2</v>
      </c>
      <c r="G54" s="2335"/>
      <c r="H54" s="2336"/>
      <c r="I54" s="1667"/>
      <c r="J54" s="2304">
        <v>3</v>
      </c>
      <c r="K54" s="3313" t="s">
        <v>1360</v>
      </c>
      <c r="L54" s="3313"/>
      <c r="M54" s="2306" t="e">
        <f t="shared" ca="1" si="0"/>
        <v>#REF!</v>
      </c>
      <c r="N54" s="2304" t="str">
        <f t="shared" si="0"/>
        <v>增值额×税（费）率</v>
      </c>
      <c r="O54" s="2308" t="str">
        <f t="shared" si="0"/>
        <v>免征</v>
      </c>
    </row>
    <row r="55" spans="1:35" ht="24" customHeight="1">
      <c r="A55" s="3373" t="s">
        <v>1361</v>
      </c>
      <c r="B55" s="3351"/>
      <c r="C55" s="3351"/>
      <c r="D55" s="12" t="e">
        <f ca="1">IF(H55="个人住宅",0,ROUND(D45*I55,0))</f>
        <v>#REF!</v>
      </c>
      <c r="E55" s="1254" t="s">
        <v>1362</v>
      </c>
      <c r="F55" s="2334" t="str">
        <f>IF(H55="正常",I55,"免征")</f>
        <v>免征</v>
      </c>
      <c r="G55" s="2335"/>
      <c r="H55" s="2331"/>
      <c r="I55" s="156">
        <f>'数据-取费表'!B49</f>
        <v>5.0000000000000001E-4</v>
      </c>
      <c r="J55" s="2304">
        <f>IF(H59="非个人房产","",4)</f>
        <v>4</v>
      </c>
      <c r="K55" s="3313" t="str">
        <f>IF(H59="非个人房产","——","个人所得税")</f>
        <v>个人所得税</v>
      </c>
      <c r="L55" s="3313"/>
      <c r="M55" s="2309" t="e">
        <f ca="1">D59</f>
        <v>#REF!</v>
      </c>
      <c r="N55" s="1878" t="str">
        <f>E59</f>
        <v>差额计税</v>
      </c>
      <c r="O55" s="2310">
        <f>F59</f>
        <v>0.01</v>
      </c>
    </row>
    <row r="56" spans="1:35" ht="24.75">
      <c r="A56" s="3373" t="s">
        <v>1363</v>
      </c>
      <c r="B56" s="3351"/>
      <c r="C56" s="3351"/>
      <c r="D56" s="12" t="e">
        <f ca="1">IF(H56="个人住宅",D57,D58)</f>
        <v>#REF!</v>
      </c>
      <c r="E56" s="1254" t="s">
        <v>1364</v>
      </c>
      <c r="F56" s="2334" t="str">
        <f>IF(H56="正常",F58,"免征")</f>
        <v>免征</v>
      </c>
      <c r="G56" s="2337" t="s">
        <v>1365</v>
      </c>
      <c r="H56" s="2338"/>
      <c r="I56" s="1668"/>
      <c r="J56" s="2304" t="str">
        <f>IF(项目基本情况!K6="上海银行",IF(J55="",4,J55+1),"")</f>
        <v/>
      </c>
      <c r="K56" s="3294" t="str">
        <f>IF(项目基本情况!K6="上海银行","其他处置费用","")</f>
        <v/>
      </c>
      <c r="L56" s="3295"/>
      <c r="M56" s="2306" t="str">
        <f>IF(项目基本情况!K6="上海银行",M69,"")</f>
        <v/>
      </c>
      <c r="N56" s="3294" t="str">
        <f>IF(项目基本情况!K6="上海银行","包含处置中涉及的律师、诉讼、拍卖、评估等费用","")</f>
        <v/>
      </c>
      <c r="O56" s="3297"/>
    </row>
    <row r="57" spans="1:35" ht="12.75">
      <c r="A57" s="2148" t="s">
        <v>1341</v>
      </c>
      <c r="B57" s="3337" t="s">
        <v>1366</v>
      </c>
      <c r="C57" s="3338"/>
      <c r="D57" s="1476">
        <v>0</v>
      </c>
      <c r="E57" s="315" t="s">
        <v>1343</v>
      </c>
      <c r="F57" s="293"/>
      <c r="G57" s="2335"/>
      <c r="H57" s="2339"/>
      <c r="I57" s="1668"/>
      <c r="J57" s="3313">
        <f>IF(AND(J55="",J56=""),4,IF(项目基本情况!K6="上海银行",结果表!J56+1,结果表!J55+1))</f>
        <v>5</v>
      </c>
      <c r="K57" s="3313" t="s">
        <v>1367</v>
      </c>
      <c r="L57" s="2311" t="s">
        <v>1368</v>
      </c>
      <c r="M57" s="2312"/>
      <c r="N57" s="2313">
        <f ca="1">SUMIF(M52:M56,"&lt;9e307")</f>
        <v>0</v>
      </c>
      <c r="O57" s="2314"/>
      <c r="P57" s="2459" t="e">
        <f ca="1">N57/M49</f>
        <v>#VALUE!</v>
      </c>
    </row>
    <row r="58" spans="1:35" ht="24.75">
      <c r="A58" s="2148" t="s">
        <v>1352</v>
      </c>
      <c r="B58" s="3337" t="s">
        <v>1369</v>
      </c>
      <c r="C58" s="3336"/>
      <c r="D58" s="12" t="e">
        <f ca="1">IF(H58="转让取得",C81,C97)</f>
        <v>#REF!</v>
      </c>
      <c r="E58" s="1254" t="s">
        <v>1364</v>
      </c>
      <c r="F58" s="293" t="s">
        <v>28</v>
      </c>
      <c r="G58" s="2335"/>
      <c r="H58" s="2338"/>
      <c r="I58" s="1668"/>
      <c r="J58" s="3313"/>
      <c r="K58" s="3313"/>
      <c r="L58" s="2311" t="s">
        <v>1370</v>
      </c>
      <c r="M58" s="2315"/>
      <c r="N58" s="2316" t="str">
        <f ca="1">NUMBERSTRING(INT(N57*10000),2)&amp;"元整"</f>
        <v>零元整</v>
      </c>
      <c r="O58" s="2317"/>
    </row>
    <row r="59" spans="1:35" ht="24.75" thickBot="1">
      <c r="A59" s="3317" t="s">
        <v>1371</v>
      </c>
      <c r="B59" s="3318"/>
      <c r="C59" s="3318"/>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15">
        <f>J57+1</f>
        <v>6</v>
      </c>
      <c r="K59" s="3313" t="s">
        <v>1372</v>
      </c>
      <c r="L59" s="2304" t="s">
        <v>1368</v>
      </c>
      <c r="M59" s="2318"/>
      <c r="N59" s="2319" t="e">
        <f ca="1">M49-N57</f>
        <v>#VALUE!</v>
      </c>
      <c r="O59" s="2320"/>
    </row>
    <row r="60" spans="1:35" ht="12" customHeight="1">
      <c r="A60" s="1669"/>
      <c r="B60" s="645"/>
      <c r="C60" s="645"/>
      <c r="D60" s="645"/>
      <c r="E60" s="1464"/>
      <c r="F60" s="1668"/>
      <c r="G60" s="1668"/>
      <c r="H60" s="150"/>
      <c r="I60" s="120"/>
      <c r="J60" s="3316"/>
      <c r="K60" s="3313"/>
      <c r="L60" s="2311" t="s">
        <v>1370</v>
      </c>
      <c r="M60" s="2315"/>
      <c r="N60" s="2316" t="e">
        <f ca="1">NUMBERSTRING(INT(N59*10000),2)&amp;"元整"</f>
        <v>#VALUE!</v>
      </c>
      <c r="O60" s="2317"/>
    </row>
    <row r="61" spans="1:35" ht="13.5" thickBot="1">
      <c r="A61" s="3372" t="s">
        <v>1373</v>
      </c>
      <c r="B61" s="3372"/>
      <c r="C61" s="3372"/>
      <c r="D61" s="3372"/>
      <c r="E61" s="3372"/>
      <c r="F61" s="1668"/>
      <c r="G61" s="1668"/>
      <c r="H61" s="150"/>
      <c r="I61" s="120"/>
      <c r="J61" s="2304">
        <f>J59+1</f>
        <v>7</v>
      </c>
      <c r="K61" s="3313" t="s">
        <v>1374</v>
      </c>
      <c r="L61" s="3313"/>
      <c r="M61" s="2321"/>
      <c r="N61" s="2322" t="e">
        <f ca="1">ROUND(N59*10000/'数据-汇总表'!E3,0)</f>
        <v>#VALUE!</v>
      </c>
      <c r="O61" s="2323"/>
    </row>
    <row r="62" spans="1:35" ht="12.75">
      <c r="A62" s="3332" t="s">
        <v>1375</v>
      </c>
      <c r="B62" s="3333"/>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96"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96"/>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96"/>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96"/>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96"/>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296"/>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96"/>
      <c r="K69" s="1243" t="s">
        <v>1393</v>
      </c>
      <c r="L69" s="1243"/>
      <c r="M69" s="293" t="e">
        <f>ROUND(SUM(M63:M68),0)</f>
        <v>#VALUE!</v>
      </c>
      <c r="N69" s="2326" t="e">
        <f>M69/M49</f>
        <v>#VALUE!</v>
      </c>
      <c r="Z69" s="1621"/>
      <c r="AI69" s="1559"/>
    </row>
    <row r="70" spans="1:35" s="641" customFormat="1" ht="15" thickBot="1">
      <c r="A70" s="3340" t="s">
        <v>1394</v>
      </c>
      <c r="B70" s="3341"/>
      <c r="C70" s="3341"/>
      <c r="D70" s="3341"/>
      <c r="E70" s="3341"/>
      <c r="F70" s="3341"/>
      <c r="G70" s="3341"/>
      <c r="H70" s="3341"/>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32" t="s">
        <v>1375</v>
      </c>
      <c r="B71" s="3333"/>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7" t="s">
        <v>1402</v>
      </c>
      <c r="F76" s="3336"/>
      <c r="G76" s="3336"/>
      <c r="H76" s="333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329" t="s">
        <v>1406</v>
      </c>
      <c r="F78" s="3330"/>
      <c r="G78" s="3330"/>
      <c r="H78" s="333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40" t="s">
        <v>1410</v>
      </c>
      <c r="B83" s="3341"/>
      <c r="C83" s="3341"/>
      <c r="D83" s="3341"/>
      <c r="E83" s="3341"/>
      <c r="F83" s="3341"/>
      <c r="G83" s="3341"/>
      <c r="H83" s="334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32" t="s">
        <v>1375</v>
      </c>
      <c r="B84" s="3333"/>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98" t="s">
        <v>2126</v>
      </c>
      <c r="H90" s="3299"/>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9" t="s">
        <v>1419</v>
      </c>
      <c r="F91" s="3330"/>
      <c r="G91" s="333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9" t="s">
        <v>1422</v>
      </c>
      <c r="F92" s="3330"/>
      <c r="G92" s="3330"/>
      <c r="H92" s="3331"/>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329" t="s">
        <v>1406</v>
      </c>
      <c r="F93" s="3330"/>
      <c r="G93" s="3330"/>
      <c r="H93" s="333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74" t="s">
        <v>1426</v>
      </c>
      <c r="F94" s="3375"/>
      <c r="G94" s="3375"/>
      <c r="H94" s="337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9" t="s">
        <v>1428</v>
      </c>
      <c r="B100" s="3280"/>
      <c r="C100" s="3280"/>
      <c r="D100" s="3314"/>
      <c r="E100" s="3280" t="s">
        <v>1429</v>
      </c>
      <c r="F100" s="3280"/>
      <c r="G100" s="3280"/>
      <c r="H100" s="3314"/>
      <c r="I100" s="120"/>
    </row>
    <row r="101" spans="1:35" ht="18.75" customHeight="1">
      <c r="A101" s="3322" t="s">
        <v>1430</v>
      </c>
      <c r="B101" s="3323"/>
      <c r="C101" s="2365" t="str">
        <f>C4</f>
        <v>收益法 (元)</v>
      </c>
      <c r="D101" s="2366" t="str">
        <f>D4</f>
        <v>比较法-住宅</v>
      </c>
      <c r="E101" s="3292" t="s">
        <v>1431</v>
      </c>
      <c r="F101" s="3293"/>
      <c r="G101" s="1685" t="s">
        <v>1432</v>
      </c>
      <c r="H101" s="2375" t="e">
        <f ca="1">H118</f>
        <v>#REF!</v>
      </c>
      <c r="I101" s="120"/>
    </row>
    <row r="102" spans="1:35" ht="18.75" customHeight="1">
      <c r="A102" s="3324" t="s">
        <v>1433</v>
      </c>
      <c r="B102" s="2364" t="s">
        <v>1432</v>
      </c>
      <c r="C102" s="2365">
        <f ca="1">IF(D32="楼面单价",ROUND(C19,0),C19)</f>
        <v>424.77089999999998</v>
      </c>
      <c r="D102" s="2366">
        <f ca="1">IF(D32="楼面单价",ROUND(D19,0),D19)</f>
        <v>547.68589999999995</v>
      </c>
      <c r="E102" s="3292"/>
      <c r="F102" s="3293"/>
      <c r="G102" s="1685" t="s">
        <v>1434</v>
      </c>
      <c r="H102" s="2335" t="e">
        <f ca="1">I118</f>
        <v>#REF!</v>
      </c>
      <c r="I102" s="120"/>
    </row>
    <row r="103" spans="1:35" ht="42.75" customHeight="1">
      <c r="A103" s="3324"/>
      <c r="B103" s="2364" t="s">
        <v>1434</v>
      </c>
      <c r="C103" s="2367">
        <f ca="1">C20</f>
        <v>38735</v>
      </c>
      <c r="D103" s="2368">
        <f ca="1">D20</f>
        <v>49944</v>
      </c>
      <c r="E103" s="3285" t="s">
        <v>1435</v>
      </c>
      <c r="F103" s="3286"/>
      <c r="G103" s="1686" t="s">
        <v>1436</v>
      </c>
      <c r="H103" s="2375">
        <f>IF(D36="正常操作",H104+H105+H106,H105+H106)</f>
        <v>0</v>
      </c>
      <c r="I103" s="120"/>
    </row>
    <row r="104" spans="1:35" ht="18.75" customHeight="1">
      <c r="A104" s="3324"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34"/>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5" t="str">
        <f>IF(项目基本情况!E8="已注销","——","3.房地产抵押价值")</f>
        <v>3.房地产抵押价值</v>
      </c>
      <c r="F107" s="3293"/>
      <c r="G107" s="1685" t="s">
        <v>1432</v>
      </c>
      <c r="H107" s="2375" t="e">
        <f ca="1">IF(E107="——","——",H101-H103)</f>
        <v>#REF!</v>
      </c>
      <c r="I107" s="120"/>
    </row>
    <row r="108" spans="1:35" ht="18.75" customHeight="1">
      <c r="A108" s="120"/>
      <c r="B108" s="120"/>
      <c r="C108" s="120"/>
      <c r="D108" s="120"/>
      <c r="E108" s="3325"/>
      <c r="F108" s="3293"/>
      <c r="G108" s="1685" t="s">
        <v>1434</v>
      </c>
      <c r="H108" s="2335">
        <f ca="1">IF(H107=H101,H102,ROUND(H107*10000/'数据-汇总表'!E3,0))</f>
        <v>0</v>
      </c>
      <c r="I108" s="120"/>
    </row>
    <row r="109" spans="1:35" ht="18.75" customHeight="1">
      <c r="A109" s="120"/>
      <c r="B109" s="120"/>
      <c r="C109" s="120"/>
      <c r="D109" s="120"/>
      <c r="E109" s="3325" t="str">
        <f>IF(项目基本情况!E8="已注销及未注销","4.抵押担保权已注销时的房地产抵押价值",IF(项目基本情况!E8="已注销","3.抵押担保权已注销时的房地产抵押价值","——"))</f>
        <v>——</v>
      </c>
      <c r="F109" s="3293"/>
      <c r="G109" s="1685" t="s">
        <v>1432</v>
      </c>
      <c r="H109" s="2378" t="str">
        <f>IF(E109="——","——",H101-H105-H106)</f>
        <v>——</v>
      </c>
      <c r="I109" s="120"/>
    </row>
    <row r="110" spans="1:35" ht="18.75" customHeight="1">
      <c r="A110" s="120"/>
      <c r="B110" s="120"/>
      <c r="C110" s="120"/>
      <c r="D110" s="120"/>
      <c r="E110" s="3325"/>
      <c r="F110" s="3293"/>
      <c r="G110" s="1685" t="s">
        <v>1434</v>
      </c>
      <c r="H110" s="2335" t="str">
        <f>IF(H109="——","——",ROUND(H109*10000/'数据-汇总表'!E3,0))</f>
        <v>——</v>
      </c>
      <c r="I110" s="120"/>
    </row>
    <row r="111" spans="1:35" ht="18.75" customHeight="1">
      <c r="A111" s="120"/>
      <c r="B111" s="120"/>
      <c r="C111" s="120"/>
      <c r="D111" s="120"/>
      <c r="E111" s="3326" t="str">
        <f>IF(项目基本情况!E9="抵押净值",IF(OR(项目基本情况!E8="已注销",项目基本情况!E8="房地产抵押价值"),"4.抵押净值","5.抵押净值"),"——")</f>
        <v>——</v>
      </c>
      <c r="F111" s="3312"/>
      <c r="G111" s="1685" t="s">
        <v>1432</v>
      </c>
      <c r="H111" s="2375" t="str">
        <f>IF(E111="——","——",N59)</f>
        <v>——</v>
      </c>
      <c r="I111" s="120"/>
    </row>
    <row r="112" spans="1:35" ht="18.75" customHeight="1" thickBot="1">
      <c r="A112" s="120"/>
      <c r="B112" s="120"/>
      <c r="C112" s="120"/>
      <c r="D112" s="120"/>
      <c r="E112" s="3327"/>
      <c r="F112" s="3328"/>
      <c r="G112" s="1688" t="s">
        <v>1434</v>
      </c>
      <c r="H112" s="2379" t="str">
        <f>IF(E111="——","——",N61)</f>
        <v>——</v>
      </c>
      <c r="I112" s="120"/>
    </row>
    <row r="113" spans="1:27" ht="18.75" customHeight="1">
      <c r="A113" s="120"/>
      <c r="B113" s="120"/>
      <c r="C113" s="120"/>
      <c r="D113" s="120"/>
      <c r="E113" s="3335" t="s">
        <v>1440</v>
      </c>
      <c r="F113" s="3335"/>
      <c r="G113" s="3335"/>
      <c r="H113" s="3335"/>
      <c r="I113" s="120"/>
    </row>
    <row r="114" spans="1:27" ht="3.75" customHeight="1">
      <c r="A114" s="645"/>
      <c r="B114" s="645"/>
      <c r="C114" s="645"/>
      <c r="D114" s="645"/>
      <c r="E114" s="1669"/>
      <c r="F114" s="1669"/>
      <c r="G114" s="1669"/>
      <c r="H114" s="1669"/>
      <c r="I114" s="645"/>
    </row>
    <row r="115" spans="1:27" ht="18.75" customHeight="1">
      <c r="A115" s="3343" t="s">
        <v>1442</v>
      </c>
      <c r="B115" s="3344"/>
      <c r="C115" s="3344"/>
      <c r="D115" s="3344"/>
      <c r="E115" s="3344"/>
      <c r="F115" s="3344"/>
      <c r="G115" s="3344"/>
      <c r="H115" s="3344"/>
      <c r="I115" s="3345"/>
    </row>
    <row r="116" spans="1:27" ht="27" customHeight="1">
      <c r="A116" s="3300" t="s">
        <v>1443</v>
      </c>
      <c r="B116" s="3304" t="s">
        <v>1444</v>
      </c>
      <c r="C116" s="3304" t="s">
        <v>1445</v>
      </c>
      <c r="D116" s="3310" t="s">
        <v>1446</v>
      </c>
      <c r="E116" s="3311"/>
      <c r="F116" s="3342" t="s">
        <v>1447</v>
      </c>
      <c r="G116" s="3342"/>
      <c r="H116" s="3300" t="s">
        <v>1448</v>
      </c>
      <c r="I116" s="3300"/>
    </row>
    <row r="117" spans="1:27" ht="18.75" customHeight="1">
      <c r="A117" s="3300"/>
      <c r="B117" s="3305"/>
      <c r="C117" s="3305"/>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109.66</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300" t="s">
        <v>1452</v>
      </c>
      <c r="B119" s="3300"/>
      <c r="C119" s="3300"/>
      <c r="D119" s="3306" t="e">
        <f ca="1">NUMBERSTRING(INT(D118*10000),2)&amp;"元整"</f>
        <v>#REF!</v>
      </c>
      <c r="E119" s="3307"/>
      <c r="F119" s="3306" t="e">
        <f ca="1">NUMBERSTRING(INT(F118*10000),2)&amp;"元整"</f>
        <v>#REF!</v>
      </c>
      <c r="G119" s="3307"/>
      <c r="H119" s="3306" t="e">
        <f ca="1">NUMBERSTRING(INT(H118*10000),2)&amp;"元整"</f>
        <v>#REF!</v>
      </c>
      <c r="I119" s="3307"/>
    </row>
    <row r="120" spans="1:27" ht="18.75" customHeight="1">
      <c r="A120" s="3301" t="str">
        <f>IF(项目基本情况!B9="房地产市场价值","",MID(E103,3,LEN(E103)-2))</f>
        <v>估价师知悉的法定优先受偿款</v>
      </c>
      <c r="B120" s="3302"/>
      <c r="C120" s="3303"/>
      <c r="D120" s="3301">
        <f>H103</f>
        <v>0</v>
      </c>
      <c r="E120" s="3302"/>
      <c r="F120" s="3302"/>
      <c r="G120" s="3302"/>
      <c r="H120" s="3302"/>
      <c r="I120" s="330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6" t="s">
        <v>1452</v>
      </c>
      <c r="B121" s="3308"/>
      <c r="C121" s="3307"/>
      <c r="D121" s="3306" t="str">
        <f>IF(D120=0,"零元整",NUMBERSTRING(INT(D120*10000),2)&amp;"元整")</f>
        <v>零元整</v>
      </c>
      <c r="E121" s="3308"/>
      <c r="F121" s="3308"/>
      <c r="G121" s="3308"/>
      <c r="H121" s="3308"/>
      <c r="I121" s="3307"/>
      <c r="AA121" s="683"/>
    </row>
    <row r="122" spans="1:27" ht="18.75" customHeight="1">
      <c r="A122" s="3312" t="str">
        <f>IF(项目基本情况!B9="房地产市场价值","",MID(E107,3,LEN(E107)-2))</f>
        <v>房地产抵押价值</v>
      </c>
      <c r="B122" s="3312"/>
      <c r="C122" s="3312"/>
      <c r="D122" s="3301" t="e">
        <f ca="1">H107</f>
        <v>#REF!</v>
      </c>
      <c r="E122" s="3302"/>
      <c r="F122" s="3302"/>
      <c r="G122" s="3302"/>
      <c r="H122" s="3302"/>
      <c r="I122" s="3303"/>
      <c r="AA122" s="683"/>
    </row>
    <row r="123" spans="1:27" ht="18.75" customHeight="1">
      <c r="A123" s="3300" t="s">
        <v>1452</v>
      </c>
      <c r="B123" s="3300"/>
      <c r="C123" s="3300"/>
      <c r="D123" s="3306" t="e">
        <f ca="1">NUMBERSTRING(INT(D122*10000),2)&amp;"元整"</f>
        <v>#REF!</v>
      </c>
      <c r="E123" s="3308"/>
      <c r="F123" s="3308"/>
      <c r="G123" s="3308"/>
      <c r="H123" s="3308"/>
      <c r="I123" s="3307"/>
      <c r="AA123" s="683"/>
    </row>
    <row r="124" spans="1:27" ht="18.75" customHeight="1">
      <c r="A124" s="3312" t="str">
        <f>IF(项目基本情况!B9="房地产市场价值","",MID(E109,3,LEN(E109)-2))</f>
        <v/>
      </c>
      <c r="B124" s="3312"/>
      <c r="C124" s="3312"/>
      <c r="D124" s="3301" t="str">
        <f>H109</f>
        <v>——</v>
      </c>
      <c r="E124" s="3302"/>
      <c r="F124" s="3302"/>
      <c r="G124" s="3302"/>
      <c r="H124" s="3302"/>
      <c r="I124" s="3303"/>
      <c r="AA124" s="683"/>
    </row>
    <row r="125" spans="1:27" ht="18.75" customHeight="1">
      <c r="A125" s="3300" t="s">
        <v>1452</v>
      </c>
      <c r="B125" s="3300"/>
      <c r="C125" s="3300"/>
      <c r="D125" s="3306" t="e">
        <f>NUMBERSTRING(INT(D124*10000),2)&amp;"元整"</f>
        <v>#VALUE!</v>
      </c>
      <c r="E125" s="3308"/>
      <c r="F125" s="3308"/>
      <c r="G125" s="3308"/>
      <c r="H125" s="3308"/>
      <c r="I125" s="3307"/>
      <c r="AA125" s="683"/>
    </row>
    <row r="126" spans="1:27" ht="18.75" customHeight="1">
      <c r="A126" s="3312" t="str">
        <f>IF(项目基本情况!B9="房地产市场价值","",MID(E111,3,LEN(E111)-2))</f>
        <v/>
      </c>
      <c r="B126" s="3312"/>
      <c r="C126" s="3312"/>
      <c r="D126" s="3301" t="str">
        <f>H111</f>
        <v>——</v>
      </c>
      <c r="E126" s="3302"/>
      <c r="F126" s="3302"/>
      <c r="G126" s="3302"/>
      <c r="H126" s="3302"/>
      <c r="I126" s="3303"/>
      <c r="AA126" s="683"/>
    </row>
    <row r="127" spans="1:27" ht="18.75" customHeight="1">
      <c r="A127" s="3300" t="s">
        <v>1452</v>
      </c>
      <c r="B127" s="3300"/>
      <c r="C127" s="3300"/>
      <c r="D127" s="3306" t="e">
        <f>NUMBERSTRING(INT(D126*10000),2)&amp;"元整"</f>
        <v>#VALUE!</v>
      </c>
      <c r="E127" s="3308"/>
      <c r="F127" s="3308"/>
      <c r="G127" s="3308"/>
      <c r="H127" s="3308"/>
      <c r="I127" s="3307"/>
      <c r="AA127" s="683"/>
    </row>
    <row r="128" spans="1:27" ht="21.75" customHeight="1">
      <c r="A128" s="3309" t="s">
        <v>1453</v>
      </c>
      <c r="B128" s="3309"/>
      <c r="C128" s="3309"/>
      <c r="D128" s="3309"/>
      <c r="E128" s="3309"/>
      <c r="F128" s="3309"/>
      <c r="G128" s="3309"/>
      <c r="H128" s="3309"/>
      <c r="I128" s="3309"/>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23567</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2149097</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17546</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17546</v>
      </c>
      <c r="D8" s="213"/>
      <c r="E8" s="211"/>
      <c r="F8" s="212"/>
      <c r="G8" s="1712"/>
    </row>
    <row r="9" spans="1:9" s="205" customFormat="1" ht="13.5" customHeight="1">
      <c r="A9" s="732" t="s">
        <v>355</v>
      </c>
      <c r="B9" s="215" t="s">
        <v>1478</v>
      </c>
      <c r="C9" s="216">
        <f ca="1">ROUND(D9*E9/10000,0)</f>
        <v>2</v>
      </c>
      <c r="D9" s="794">
        <f ca="1">IF(B1="",'数据-汇总表'!E5,IF(INDIRECT("'数据-取费表'!c"&amp;$G$1)="住宅",INDIRECT("'数据-取费表'!k"&amp;$G$1),0))</f>
        <v>109.66</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109.66</v>
      </c>
      <c r="E19" s="202">
        <f>'数据-取费表'!B31</f>
        <v>200</v>
      </c>
      <c r="F19" s="222"/>
      <c r="G19" s="1712"/>
    </row>
    <row r="20" spans="1:7" s="205" customFormat="1" ht="13.5" customHeight="1">
      <c r="A20" s="246" t="s">
        <v>1493</v>
      </c>
      <c r="B20" s="201" t="s">
        <v>1494</v>
      </c>
      <c r="C20" s="223">
        <f ca="1">ROUND((C5+C19)*F20,0)</f>
        <v>351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1116</v>
      </c>
      <c r="D22" s="226">
        <f ca="1">C26</f>
        <v>5.9999999999999995E-4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1105</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11</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2685</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2685</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23508</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50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44</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2</v>
      </c>
      <c r="D37" s="208">
        <f ca="1">D19</f>
        <v>109.66</v>
      </c>
      <c r="E37" s="240">
        <f>'数据-取费表'!B35</f>
        <v>200</v>
      </c>
      <c r="F37" s="250"/>
      <c r="G37" s="252" t="s">
        <v>1532</v>
      </c>
    </row>
    <row r="38" spans="1:7" ht="13.5" customHeight="1">
      <c r="A38" s="733" t="s">
        <v>354</v>
      </c>
      <c r="B38" s="206" t="s">
        <v>1533</v>
      </c>
      <c r="C38" s="211">
        <f ca="1">ROUND(C34*F38,0)</f>
        <v>1</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v>
      </c>
      <c r="D42" s="229"/>
      <c r="E42" s="229"/>
      <c r="F42" s="230"/>
      <c r="G42" s="3379" t="s">
        <v>1544</v>
      </c>
    </row>
    <row r="43" spans="1:7" ht="13.5" customHeight="1">
      <c r="A43" s="733" t="s">
        <v>347</v>
      </c>
      <c r="B43" s="206" t="s">
        <v>1545</v>
      </c>
      <c r="C43" s="229">
        <f ca="1">ROUND(IF('数据-取费表'!B22&lt;=1,C39*F22*'数据-取费表'!B21/2,C39*(POWER((1+F22),'数据-取费表'!B21/2)-1)),0)</f>
        <v>0</v>
      </c>
      <c r="D43" s="229"/>
      <c r="E43" s="229"/>
      <c r="F43" s="230"/>
      <c r="G43" s="3380"/>
    </row>
    <row r="44" spans="1:7" ht="13.5" customHeight="1">
      <c r="A44" s="733" t="s">
        <v>348</v>
      </c>
      <c r="B44" s="206" t="s">
        <v>1546</v>
      </c>
      <c r="C44" s="229">
        <f ca="1">ROUND(IF('数据-取费表'!B22&lt;=1,C40*F22*'数据-取费表'!B21/2,C40*(POWER((1+F22),'数据-取费表'!B21/2)-1)),4)</f>
        <v>5.9999999999999995E-4</v>
      </c>
      <c r="D44" s="229"/>
      <c r="E44" s="229"/>
      <c r="F44" s="230"/>
      <c r="G44" s="3381"/>
    </row>
    <row r="45" spans="1:7" s="205" customFormat="1" ht="13.5" customHeight="1">
      <c r="A45" s="246" t="s">
        <v>1547</v>
      </c>
      <c r="B45" s="235" t="s">
        <v>1513</v>
      </c>
      <c r="C45" s="236">
        <f ca="1">C46</f>
        <v>8</v>
      </c>
      <c r="D45" s="226">
        <f ca="1">C47</f>
        <v>3.0000000000000001E-3</v>
      </c>
      <c r="E45" s="227" t="s">
        <v>1539</v>
      </c>
      <c r="F45" s="237">
        <f ca="1">F27</f>
        <v>0.15</v>
      </c>
      <c r="G45" s="238" t="s">
        <v>1548</v>
      </c>
    </row>
    <row r="46" spans="1:7" s="205" customFormat="1" ht="13.5" customHeight="1">
      <c r="A46" s="733" t="s">
        <v>346</v>
      </c>
      <c r="B46" s="239" t="s">
        <v>1549</v>
      </c>
      <c r="C46" s="240">
        <f ca="1">ROUND((C33+C39)*F27,0)</f>
        <v>8</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66</v>
      </c>
      <c r="D49" s="223"/>
      <c r="E49" s="223"/>
      <c r="F49" s="255"/>
      <c r="G49" s="225" t="s">
        <v>1554</v>
      </c>
    </row>
    <row r="50" spans="1:7" s="249" customFormat="1" ht="24">
      <c r="A50" s="246" t="s">
        <v>1555</v>
      </c>
      <c r="B50" s="201" t="s">
        <v>1556</v>
      </c>
      <c r="C50" s="223"/>
      <c r="D50" s="223"/>
      <c r="E50" s="223"/>
      <c r="F50" s="255">
        <f>IF('数据-取费表'!B24=0,'数据-取费表'!N16,1)</f>
        <v>0.89</v>
      </c>
      <c r="G50" s="238" t="s">
        <v>1557</v>
      </c>
    </row>
    <row r="51" spans="1:7" ht="16.5" customHeight="1">
      <c r="A51" s="246" t="s">
        <v>1558</v>
      </c>
      <c r="B51" s="201" t="s">
        <v>1559</v>
      </c>
      <c r="C51" s="223">
        <f ca="1">ROUND(C49*F50,0)</f>
        <v>59</v>
      </c>
      <c r="D51" s="223"/>
      <c r="E51" s="223"/>
      <c r="F51" s="255"/>
      <c r="G51" s="225" t="s">
        <v>1560</v>
      </c>
    </row>
    <row r="52" spans="1:7" s="199" customFormat="1" ht="16.5" thickBot="1">
      <c r="A52" s="256" t="s">
        <v>1561</v>
      </c>
      <c r="B52" s="257"/>
      <c r="C52" s="258">
        <f ca="1">C31+C51</f>
        <v>23567</v>
      </c>
      <c r="D52" s="257"/>
      <c r="E52" s="257"/>
      <c r="F52" s="257"/>
      <c r="G52" s="259"/>
    </row>
    <row r="55" spans="1:7" ht="15">
      <c r="B55" s="261" t="s">
        <v>1562</v>
      </c>
      <c r="C55" s="262"/>
    </row>
    <row r="56" spans="1:7">
      <c r="B56" s="264" t="s">
        <v>802</v>
      </c>
      <c r="C56" s="266">
        <f ca="1">1-C57</f>
        <v>0.997</v>
      </c>
    </row>
    <row r="57" spans="1:7">
      <c r="B57" s="264" t="s">
        <v>803</v>
      </c>
      <c r="C57" s="265">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7" t="str">
        <f>项目基本情况!B1</f>
        <v>北京市预评估</v>
      </c>
      <c r="C37" s="3197"/>
      <c r="D37" s="3197"/>
      <c r="E37" s="3197"/>
      <c r="F37" s="3197"/>
      <c r="G37" s="3197"/>
      <c r="H37" s="3197"/>
      <c r="I37" s="3197"/>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19999</v>
      </c>
      <c r="C2" s="267" t="s">
        <v>1595</v>
      </c>
      <c r="D2" s="267"/>
      <c r="E2" s="2562"/>
      <c r="F2" s="2562"/>
      <c r="G2" s="2562"/>
      <c r="H2" s="2562"/>
      <c r="I2" s="2562"/>
      <c r="J2" s="2562"/>
      <c r="K2" s="2562"/>
    </row>
    <row r="3" spans="1:33" ht="18" customHeight="1" thickBot="1">
      <c r="A3" s="194" t="s">
        <v>1464</v>
      </c>
      <c r="B3" s="195">
        <f ca="1">ROUND(B2*10000/IF(C1="",'数据-汇总表'!E3,INDIRECT("'数据-取费表'!K"&amp;$K$1)),0)</f>
        <v>1823728</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109.66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109.66</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-17544</v>
      </c>
      <c r="D18" s="795"/>
      <c r="E18" s="21"/>
      <c r="F18" s="755"/>
      <c r="G18" s="1718"/>
      <c r="H18" s="1104"/>
      <c r="I18" s="1719" t="s">
        <v>1625</v>
      </c>
      <c r="J18" s="758"/>
      <c r="K18" s="759"/>
    </row>
    <row r="19" spans="1:33" s="754" customFormat="1" ht="13.5" customHeight="1">
      <c r="A19" s="751" t="s">
        <v>360</v>
      </c>
      <c r="B19" s="752" t="s">
        <v>1626</v>
      </c>
      <c r="C19" s="21">
        <f ca="1">ROUND(D19*E19/10000,0)</f>
        <v>2</v>
      </c>
      <c r="D19" s="795">
        <f ca="1">IF(C1="",'数据-汇总表'!E5,IF(INDIRECT("'数据-取费表'!c"&amp;$K$1)="住宅",INDIRECT("'数据-取费表'!k"&amp;$K$1),0))</f>
        <v>109.66</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-17544</v>
      </c>
      <c r="D21" s="766"/>
      <c r="E21" s="272"/>
      <c r="F21" s="272"/>
      <c r="G21" s="122" t="s">
        <v>1629</v>
      </c>
      <c r="H21" s="758"/>
      <c r="I21" s="758"/>
      <c r="J21" s="758"/>
      <c r="K21" s="759"/>
    </row>
    <row r="22" spans="1:33" s="754" customFormat="1" ht="13.5" customHeight="1">
      <c r="A22" s="743" t="s">
        <v>1601</v>
      </c>
      <c r="B22" s="764" t="s">
        <v>1630</v>
      </c>
      <c r="C22" s="765">
        <f ca="1">ROUND(C21*F22,0)</f>
        <v>-351</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-2684</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-2684</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19999</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84" t="s">
        <v>694</v>
      </c>
      <c r="C6" s="1010">
        <f ca="1">ROUND(F6*F8*F7*(1-F9)/10000,0)</f>
        <v>0</v>
      </c>
      <c r="D6" s="146" t="s">
        <v>2106</v>
      </c>
      <c r="E6" s="293" t="s">
        <v>696</v>
      </c>
      <c r="F6" s="294">
        <f ca="1">INDIRECT("'数据-取费表'!u"&amp;$G$1)</f>
        <v>0</v>
      </c>
      <c r="G6" s="1290"/>
      <c r="H6" s="1005" t="s">
        <v>398</v>
      </c>
      <c r="I6" s="3384" t="s">
        <v>694</v>
      </c>
      <c r="J6" s="292">
        <f ca="1">ROUND(M6*M8*M7*(1-M9)/10000,0)</f>
        <v>0</v>
      </c>
      <c r="K6" s="146" t="s">
        <v>2105</v>
      </c>
      <c r="L6" s="293" t="s">
        <v>696</v>
      </c>
      <c r="M6" s="294">
        <f ca="1">INDIRECT("'数据-取费表'!z"&amp;$G$1)</f>
        <v>0</v>
      </c>
    </row>
    <row r="7" spans="1:37" ht="18" customHeight="1">
      <c r="A7" s="1009"/>
      <c r="B7" s="3385"/>
      <c r="C7" s="1011"/>
      <c r="D7" s="298"/>
      <c r="E7" s="1012" t="s">
        <v>697</v>
      </c>
      <c r="F7" s="294">
        <f ca="1">IF(INDIRECT("'数据-取费表'!ah"&amp;$G$1)="",INDIRECT("'数据-取费表'!k"&amp;$G$1),INDIRECT("'数据-取费表'!ah"&amp;$G$1))</f>
        <v>0</v>
      </c>
      <c r="G7" s="1290"/>
      <c r="H7" s="295"/>
      <c r="I7" s="3385"/>
      <c r="J7" s="297"/>
      <c r="K7" s="298"/>
      <c r="L7" s="293" t="s">
        <v>697</v>
      </c>
      <c r="M7" s="294">
        <f ca="1">F7</f>
        <v>0</v>
      </c>
    </row>
    <row r="8" spans="1:37" ht="18" customHeight="1">
      <c r="A8" s="295"/>
      <c r="B8" s="3385"/>
      <c r="C8" s="297"/>
      <c r="D8" s="298"/>
      <c r="E8" s="293" t="s">
        <v>698</v>
      </c>
      <c r="F8" s="294">
        <f ca="1">INDIRECT("'数据-取费表'!ai"&amp;$G$1)</f>
        <v>0</v>
      </c>
      <c r="G8" s="1290"/>
      <c r="H8" s="295"/>
      <c r="I8" s="3385"/>
      <c r="J8" s="297"/>
      <c r="K8" s="298"/>
      <c r="L8" s="293" t="s">
        <v>698</v>
      </c>
      <c r="M8" s="294">
        <f ca="1">INDIRECT("'数据-取费表'!ai"&amp;$G$1)</f>
        <v>0</v>
      </c>
    </row>
    <row r="9" spans="1:37" ht="18" customHeight="1">
      <c r="A9" s="295"/>
      <c r="B9" s="3386"/>
      <c r="C9" s="297"/>
      <c r="D9" s="298"/>
      <c r="E9" s="293" t="s">
        <v>699</v>
      </c>
      <c r="F9" s="303">
        <f ca="1">INDIRECT("'数据-取费表'!w"&amp;$G$1)</f>
        <v>0</v>
      </c>
      <c r="G9" s="1290"/>
      <c r="H9" s="295"/>
      <c r="I9" s="338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82" t="s">
        <v>837</v>
      </c>
      <c r="L53" s="3383"/>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topLeftCell="A21" zoomScale="90" zoomScaleNormal="60" zoomScaleSheetLayoutView="90" workbookViewId="0">
      <selection activeCell="G51" sqref="G51"/>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3399</v>
      </c>
      <c r="F1" s="1733" t="s">
        <v>3392</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547.68589999999995</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49944</v>
      </c>
      <c r="C3" s="343" t="s">
        <v>1665</v>
      </c>
      <c r="D3" s="342">
        <f>IF(D1="",'数据-汇总表'!E3,SUMIF('数据-汇总表'!$C19:$C33,D1,'数据-汇总表'!$E19:$E33))</f>
        <v>109.66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06" t="s">
        <v>1667</v>
      </c>
      <c r="D4" s="3407"/>
      <c r="E4" s="3408" t="s">
        <v>1668</v>
      </c>
      <c r="F4" s="3409"/>
      <c r="G4" s="3406" t="s">
        <v>1669</v>
      </c>
      <c r="H4" s="3407"/>
      <c r="I4" s="3406" t="s">
        <v>1670</v>
      </c>
      <c r="J4" s="3407"/>
      <c r="K4" s="1742" t="s">
        <v>1671</v>
      </c>
      <c r="L4" s="2481"/>
      <c r="M4" s="2482"/>
      <c r="N4" s="2482"/>
      <c r="O4" s="2482"/>
      <c r="P4" s="3410" t="s">
        <v>1672</v>
      </c>
      <c r="Q4" s="3411"/>
      <c r="R4" s="3392" t="s">
        <v>1668</v>
      </c>
      <c r="S4" s="3393"/>
      <c r="T4" s="3392" t="s">
        <v>1669</v>
      </c>
      <c r="U4" s="3393"/>
      <c r="V4" s="3418" t="s">
        <v>1670</v>
      </c>
      <c r="W4" s="3418"/>
      <c r="X4" s="1263"/>
      <c r="Y4" s="3392" t="s">
        <v>1672</v>
      </c>
      <c r="Z4" s="3393"/>
      <c r="AA4" s="3387" t="s">
        <v>1668</v>
      </c>
      <c r="AB4" s="3387" t="s">
        <v>1669</v>
      </c>
      <c r="AC4" s="3387" t="s">
        <v>1670</v>
      </c>
    </row>
    <row r="5" spans="1:29" ht="15">
      <c r="A5" s="347"/>
      <c r="B5" s="348"/>
      <c r="C5" s="3398" t="s">
        <v>3488</v>
      </c>
      <c r="D5" s="3399"/>
      <c r="E5" s="3396" t="str">
        <f>案例!C2</f>
        <v>建外SOHO</v>
      </c>
      <c r="F5" s="3397"/>
      <c r="G5" s="3402" t="str">
        <f>案例!C3</f>
        <v>旺座中心</v>
      </c>
      <c r="H5" s="3399"/>
      <c r="I5" s="3402" t="str">
        <f>案例!C4</f>
        <v>旺座中心</v>
      </c>
      <c r="J5" s="3399"/>
      <c r="K5" s="1743"/>
      <c r="L5" s="2481"/>
      <c r="M5" s="2482"/>
      <c r="N5" s="2482"/>
      <c r="O5" s="2482"/>
      <c r="P5" s="3412"/>
      <c r="Q5" s="3413"/>
      <c r="R5" s="3394"/>
      <c r="S5" s="3395"/>
      <c r="T5" s="3394"/>
      <c r="U5" s="3395"/>
      <c r="V5" s="3418"/>
      <c r="W5" s="3418"/>
      <c r="X5" s="1263"/>
      <c r="Y5" s="3394"/>
      <c r="Z5" s="3395"/>
      <c r="AA5" s="3388"/>
      <c r="AB5" s="3388"/>
      <c r="AC5" s="3388"/>
    </row>
    <row r="6" spans="1:29" ht="15.75" thickBot="1">
      <c r="A6" s="349"/>
      <c r="B6" s="350"/>
      <c r="C6" s="3400" t="s">
        <v>1677</v>
      </c>
      <c r="D6" s="3401"/>
      <c r="E6" s="3403" t="s">
        <v>1677</v>
      </c>
      <c r="F6" s="3404"/>
      <c r="G6" s="3400" t="s">
        <v>1677</v>
      </c>
      <c r="H6" s="3401"/>
      <c r="I6" s="3400" t="s">
        <v>1677</v>
      </c>
      <c r="J6" s="3401"/>
      <c r="K6" s="1743" t="s">
        <v>1678</v>
      </c>
      <c r="L6" s="2481"/>
      <c r="M6" s="2482"/>
      <c r="N6" s="2482"/>
      <c r="O6" s="2482"/>
      <c r="P6" s="3414"/>
      <c r="Q6" s="3415"/>
      <c r="R6" s="3394"/>
      <c r="S6" s="3395"/>
      <c r="T6" s="3416"/>
      <c r="U6" s="3417"/>
      <c r="V6" s="3418"/>
      <c r="W6" s="3418"/>
      <c r="X6" s="1263"/>
      <c r="Y6" s="3416"/>
      <c r="Z6" s="3417"/>
      <c r="AA6" s="3389"/>
      <c r="AB6" s="3389"/>
      <c r="AC6" s="3389"/>
    </row>
    <row r="7" spans="1:29" s="101" customFormat="1" ht="15.75" thickBot="1">
      <c r="A7" s="351" t="s">
        <v>1679</v>
      </c>
      <c r="B7" s="352"/>
      <c r="C7" s="353">
        <f>'数据-取费表'!B2</f>
        <v>45727</v>
      </c>
      <c r="D7" s="354">
        <v>100</v>
      </c>
      <c r="E7" s="355">
        <f>案例!L2</f>
        <v>45717</v>
      </c>
      <c r="F7" s="356">
        <f>SUMIF(58:58,YEAR(E7)&amp;"-"&amp;MONTH(E7),59:59)</f>
        <v>100</v>
      </c>
      <c r="G7" s="355">
        <f>案例!L3</f>
        <v>45597</v>
      </c>
      <c r="H7" s="354">
        <f>SUMIF(58:58,YEAR(G7)&amp;"-"&amp;MONTH(G7),59:59)</f>
        <v>97.5</v>
      </c>
      <c r="I7" s="355">
        <f>案例!L4</f>
        <v>45505</v>
      </c>
      <c r="J7" s="354">
        <f>SUMIF(58:58,YEAR(I7)&amp;"-"&amp;MONTH(I7),59:59)</f>
        <v>95</v>
      </c>
      <c r="K7" s="3171"/>
      <c r="L7" s="2483"/>
      <c r="M7" s="2434"/>
      <c r="N7" s="2434"/>
      <c r="O7" s="2434"/>
      <c r="P7" s="3390" t="s">
        <v>1680</v>
      </c>
      <c r="Q7" s="3419"/>
      <c r="R7" s="663" t="s">
        <v>20</v>
      </c>
      <c r="S7" s="664">
        <f t="shared" ref="S7:S15" si="0">F7</f>
        <v>100</v>
      </c>
      <c r="T7" s="663" t="s">
        <v>20</v>
      </c>
      <c r="U7" s="664">
        <f t="shared" ref="U7:U15" si="1">H7</f>
        <v>97.5</v>
      </c>
      <c r="V7" s="663" t="s">
        <v>20</v>
      </c>
      <c r="W7" s="664">
        <f t="shared" ref="W7:W15" si="2">J7</f>
        <v>95</v>
      </c>
      <c r="X7" s="665"/>
      <c r="Y7" s="3390" t="s">
        <v>1680</v>
      </c>
      <c r="Z7" s="3391"/>
      <c r="AA7" s="50">
        <f>D7/F7</f>
        <v>1</v>
      </c>
      <c r="AB7" s="50">
        <f>D7/H7</f>
        <v>1.0256410256410255</v>
      </c>
      <c r="AC7" s="50">
        <f>D7/J7</f>
        <v>1.0526315789473684</v>
      </c>
    </row>
    <row r="8" spans="1:29" s="101" customFormat="1" ht="15.75" thickBot="1">
      <c r="A8" s="351" t="s">
        <v>1681</v>
      </c>
      <c r="B8" s="352"/>
      <c r="C8" s="357" t="s">
        <v>3417</v>
      </c>
      <c r="D8" s="354">
        <v>100</v>
      </c>
      <c r="E8" s="357" t="s">
        <v>3417</v>
      </c>
      <c r="F8" s="356">
        <f>SUMIF(61:61,E8,62:62)-SUMIF(61:61,C8,62:62)+100</f>
        <v>100</v>
      </c>
      <c r="G8" s="357" t="s">
        <v>3417</v>
      </c>
      <c r="H8" s="354">
        <f>SUMIF(61:61,G8,62:62)-SUMIF(61:61,C8,62:62)+100</f>
        <v>100</v>
      </c>
      <c r="I8" s="357" t="s">
        <v>3417</v>
      </c>
      <c r="J8" s="354">
        <f>SUMIF(61:61,I8,62:62)-SUMIF(61:61,C8,62:62)+100</f>
        <v>100</v>
      </c>
      <c r="K8" s="1744"/>
      <c r="L8" s="2483"/>
      <c r="M8" s="2434"/>
      <c r="N8" s="2434"/>
      <c r="O8" s="2434"/>
      <c r="P8" s="3390" t="s">
        <v>1683</v>
      </c>
      <c r="Q8" s="3391"/>
      <c r="R8" s="663" t="s">
        <v>20</v>
      </c>
      <c r="S8" s="664">
        <f t="shared" si="0"/>
        <v>100</v>
      </c>
      <c r="T8" s="663" t="s">
        <v>20</v>
      </c>
      <c r="U8" s="664">
        <f t="shared" si="1"/>
        <v>100</v>
      </c>
      <c r="V8" s="663" t="s">
        <v>20</v>
      </c>
      <c r="W8" s="664">
        <f t="shared" si="2"/>
        <v>100</v>
      </c>
      <c r="X8" s="665"/>
      <c r="Y8" s="3390" t="s">
        <v>1683</v>
      </c>
      <c r="Z8" s="3391"/>
      <c r="AA8" s="50">
        <f t="shared" ref="AA8:AA19" si="3">D8/F8</f>
        <v>1</v>
      </c>
      <c r="AB8" s="50">
        <f t="shared" ref="AB8:AB19" si="4">D8/H8</f>
        <v>1</v>
      </c>
      <c r="AC8" s="50">
        <f t="shared" ref="AC8:AC19" si="5">D8/J8</f>
        <v>1</v>
      </c>
    </row>
    <row r="9" spans="1:29" s="101" customFormat="1">
      <c r="A9" s="358" t="s">
        <v>1684</v>
      </c>
      <c r="B9" s="60" t="s">
        <v>1685</v>
      </c>
      <c r="C9" s="3152" t="s">
        <v>3421</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05"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15.75" thickBot="1">
      <c r="A10" s="362"/>
      <c r="B10" s="3170" t="s">
        <v>3449</v>
      </c>
      <c r="C10" s="3174" t="s">
        <v>3451</v>
      </c>
      <c r="D10" s="118">
        <v>100</v>
      </c>
      <c r="E10" s="3172" t="s">
        <v>3450</v>
      </c>
      <c r="F10" s="363">
        <f>SUMIF(65:65,E10,66:66)-SUMIF(65:65,C10,66:66)+100</f>
        <v>100</v>
      </c>
      <c r="G10" s="3172" t="s">
        <v>3450</v>
      </c>
      <c r="H10" s="118">
        <f>SUMIF(65:65,G10,66:66)-SUMIF(65:65,C10,66:66)+100</f>
        <v>100</v>
      </c>
      <c r="I10" s="3172" t="s">
        <v>3450</v>
      </c>
      <c r="J10" s="118">
        <f>SUMIF(65:65,I10,66:66)-SUMIF(65:65,C10,66:66)+100</f>
        <v>100</v>
      </c>
      <c r="K10" s="1744"/>
      <c r="L10" s="2484"/>
      <c r="M10" s="2485"/>
      <c r="N10" s="2485"/>
      <c r="O10" s="2485"/>
      <c r="P10" s="3405"/>
      <c r="Q10" s="529" t="str">
        <f t="shared" si="6"/>
        <v>房屋性质</v>
      </c>
      <c r="R10" s="663" t="s">
        <v>14</v>
      </c>
      <c r="S10" s="664">
        <f t="shared" si="0"/>
        <v>100</v>
      </c>
      <c r="T10" s="663" t="s">
        <v>14</v>
      </c>
      <c r="U10" s="664">
        <f t="shared" si="1"/>
        <v>100</v>
      </c>
      <c r="V10" s="663" t="s">
        <v>14</v>
      </c>
      <c r="W10" s="664">
        <f t="shared" si="2"/>
        <v>100</v>
      </c>
      <c r="X10" s="665"/>
      <c r="Y10" s="3355"/>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05"/>
      <c r="Q11" s="529" t="str">
        <f t="shared" si="6"/>
        <v>容积率</v>
      </c>
      <c r="R11" s="663" t="s">
        <v>18</v>
      </c>
      <c r="S11" s="664">
        <f t="shared" si="0"/>
        <v>100</v>
      </c>
      <c r="T11" s="663" t="s">
        <v>18</v>
      </c>
      <c r="U11" s="664">
        <f t="shared" si="1"/>
        <v>100</v>
      </c>
      <c r="V11" s="663" t="s">
        <v>18</v>
      </c>
      <c r="W11" s="664">
        <f t="shared" si="2"/>
        <v>100</v>
      </c>
      <c r="X11" s="665"/>
      <c r="Y11" s="3355"/>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05"/>
      <c r="Q12" s="529">
        <f t="shared" si="6"/>
        <v>111</v>
      </c>
      <c r="R12" s="663" t="s">
        <v>18</v>
      </c>
      <c r="S12" s="664">
        <f t="shared" si="0"/>
        <v>100</v>
      </c>
      <c r="T12" s="663" t="s">
        <v>18</v>
      </c>
      <c r="U12" s="664">
        <f t="shared" si="1"/>
        <v>100</v>
      </c>
      <c r="V12" s="663" t="s">
        <v>18</v>
      </c>
      <c r="W12" s="664">
        <f t="shared" si="2"/>
        <v>100</v>
      </c>
      <c r="X12" s="665"/>
      <c r="Y12" s="3355"/>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05"/>
      <c r="Q13" s="529">
        <f t="shared" si="6"/>
        <v>111</v>
      </c>
      <c r="R13" s="663" t="s">
        <v>18</v>
      </c>
      <c r="S13" s="664">
        <f t="shared" si="0"/>
        <v>100</v>
      </c>
      <c r="T13" s="663" t="s">
        <v>18</v>
      </c>
      <c r="U13" s="664">
        <f t="shared" si="1"/>
        <v>100</v>
      </c>
      <c r="V13" s="663" t="s">
        <v>18</v>
      </c>
      <c r="W13" s="664">
        <f t="shared" si="2"/>
        <v>100</v>
      </c>
      <c r="X13" s="665"/>
      <c r="Y13" s="3355"/>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05"/>
      <c r="Q14" s="529">
        <f t="shared" si="6"/>
        <v>111</v>
      </c>
      <c r="R14" s="663" t="s">
        <v>18</v>
      </c>
      <c r="S14" s="664">
        <f t="shared" si="0"/>
        <v>100</v>
      </c>
      <c r="T14" s="663" t="s">
        <v>18</v>
      </c>
      <c r="U14" s="664">
        <f t="shared" si="1"/>
        <v>100</v>
      </c>
      <c r="V14" s="663" t="s">
        <v>18</v>
      </c>
      <c r="W14" s="664">
        <f t="shared" si="2"/>
        <v>100</v>
      </c>
      <c r="X14" s="665"/>
      <c r="Y14" s="3355"/>
      <c r="Z14" s="50">
        <f t="shared" si="7"/>
        <v>111</v>
      </c>
      <c r="AA14" s="50">
        <f t="shared" si="3"/>
        <v>1</v>
      </c>
      <c r="AB14" s="50">
        <f t="shared" si="4"/>
        <v>1</v>
      </c>
      <c r="AC14" s="50">
        <f t="shared" si="5"/>
        <v>1</v>
      </c>
    </row>
    <row r="15" spans="1:29" ht="74.25" customHeight="1">
      <c r="A15" s="378" t="s">
        <v>1690</v>
      </c>
      <c r="B15" s="58" t="s">
        <v>1257</v>
      </c>
      <c r="C15" s="1747" t="str">
        <f>估价对象房地状况!C3</f>
        <v>周边有财富中心、新城国际、金茂公寓、建外SOHO等住宅小区，居住社区成熟度较好。</v>
      </c>
      <c r="D15" s="379">
        <v>100</v>
      </c>
      <c r="E15" s="3155" t="s">
        <v>3501</v>
      </c>
      <c r="F15" s="379">
        <f>SUMIF(76:76,E16,77:77)-SUMIF(76:76,C16,77:77)+100</f>
        <v>100</v>
      </c>
      <c r="G15" s="3155" t="str">
        <f>C15</f>
        <v>周边有财富中心、新城国际、金茂公寓、建外SOHO等住宅小区，居住社区成熟度较好。</v>
      </c>
      <c r="H15" s="379">
        <f>SUMIF(76:76,G16,77:77)-SUMIF(76:76,C16,77:77)+100</f>
        <v>100</v>
      </c>
      <c r="I15" s="3155" t="str">
        <f>G15</f>
        <v>周边有财富中心、新城国际、金茂公寓、建外SOHO等住宅小区，居住社区成熟度较好。</v>
      </c>
      <c r="J15" s="379">
        <f>SUMIF(76:76,I16,77:77)-SUMIF(76:76,C16,77:77)+100</f>
        <v>100</v>
      </c>
      <c r="K15" s="383"/>
      <c r="L15" s="2487"/>
      <c r="M15" s="2482"/>
      <c r="N15" s="2482"/>
      <c r="O15" s="2482"/>
      <c r="P15" s="3431" t="s">
        <v>1691</v>
      </c>
      <c r="Q15" s="1261" t="str">
        <f t="shared" si="6"/>
        <v>居住社区成熟度</v>
      </c>
      <c r="R15" s="666" t="s">
        <v>18</v>
      </c>
      <c r="S15" s="667">
        <f t="shared" si="0"/>
        <v>100</v>
      </c>
      <c r="T15" s="666" t="s">
        <v>18</v>
      </c>
      <c r="U15" s="667">
        <f t="shared" si="1"/>
        <v>100</v>
      </c>
      <c r="V15" s="666" t="s">
        <v>18</v>
      </c>
      <c r="W15" s="667">
        <f t="shared" si="2"/>
        <v>100</v>
      </c>
      <c r="X15" s="1263"/>
      <c r="Y15" s="3424" t="s">
        <v>1691</v>
      </c>
      <c r="Z15" s="1262" t="str">
        <f t="shared" si="7"/>
        <v>居住社区成熟度</v>
      </c>
      <c r="AA15" s="1262">
        <f t="shared" si="3"/>
        <v>1</v>
      </c>
      <c r="AB15" s="1262">
        <f t="shared" si="4"/>
        <v>1</v>
      </c>
      <c r="AC15" s="1262">
        <f t="shared" si="5"/>
        <v>1</v>
      </c>
    </row>
    <row r="16" spans="1:29" ht="15">
      <c r="A16" s="366"/>
      <c r="B16" s="384"/>
      <c r="C16" s="385" t="s">
        <v>3405</v>
      </c>
      <c r="D16" s="386"/>
      <c r="E16" s="385" t="s">
        <v>3405</v>
      </c>
      <c r="F16" s="386"/>
      <c r="G16" s="385" t="s">
        <v>3405</v>
      </c>
      <c r="H16" s="388"/>
      <c r="I16" s="385" t="s">
        <v>3405</v>
      </c>
      <c r="J16" s="386"/>
      <c r="K16" s="1750"/>
      <c r="L16" s="2487"/>
      <c r="M16" s="2482"/>
      <c r="N16" s="2482"/>
      <c r="O16" s="2482"/>
      <c r="P16" s="3432"/>
      <c r="Q16" s="1261"/>
      <c r="R16" s="666"/>
      <c r="S16" s="667"/>
      <c r="T16" s="666"/>
      <c r="U16" s="667"/>
      <c r="V16" s="666"/>
      <c r="W16" s="667"/>
      <c r="X16" s="1263"/>
      <c r="Y16" s="3425"/>
      <c r="Z16" s="1262"/>
      <c r="AA16" s="1262">
        <v>1</v>
      </c>
      <c r="AB16" s="1262">
        <v>1</v>
      </c>
      <c r="AC16" s="1262">
        <v>1</v>
      </c>
    </row>
    <row r="17" spans="1:29" ht="71.25" customHeight="1">
      <c r="A17" s="366"/>
      <c r="B17" s="389" t="s">
        <v>1259</v>
      </c>
      <c r="C17" s="1751" t="str">
        <f>估价对象房地状况!C6</f>
        <v>周边有98路、113路、140路、405路等多条公交线路，地铁1号线与10号线换乘站国贸站，地铁6号线与10号线换乘站呼家楼站，综合评价交通便捷度好</v>
      </c>
      <c r="D17" s="388">
        <v>100</v>
      </c>
      <c r="E17" s="3166" t="s">
        <v>3500</v>
      </c>
      <c r="F17" s="388">
        <f>SUMIF(78:78,E18,79:79)-SUMIF(78:78,C18,79:79)+100</f>
        <v>100</v>
      </c>
      <c r="G17" s="3166" t="str">
        <f>E17</f>
        <v>周边有28路、57路、72路、98路等多条公交线路，地铁1号线与10号线换乘站国贸站，综合评价交通便捷度好</v>
      </c>
      <c r="H17" s="393">
        <f>SUMIF(78:78,G18,79:79)-SUMIF(78:78,C18,79:79)+100</f>
        <v>100</v>
      </c>
      <c r="I17" s="3167" t="str">
        <f>E17</f>
        <v>周边有28路、57路、72路、98路等多条公交线路，地铁1号线与10号线换乘站国贸站，综合评价交通便捷度好</v>
      </c>
      <c r="J17" s="393">
        <f>SUMIF(78:78,I18,79:79)-SUMIF(78:78,C18,79:79)+100</f>
        <v>100</v>
      </c>
      <c r="K17" s="383"/>
      <c r="L17" s="2487"/>
      <c r="M17" s="2482"/>
      <c r="N17" s="2482"/>
      <c r="O17" s="2482"/>
      <c r="P17" s="3432"/>
      <c r="Q17" s="1261" t="str">
        <f>B17</f>
        <v>交通便捷度</v>
      </c>
      <c r="R17" s="666" t="s">
        <v>18</v>
      </c>
      <c r="S17" s="667">
        <f>F17</f>
        <v>100</v>
      </c>
      <c r="T17" s="666" t="s">
        <v>18</v>
      </c>
      <c r="U17" s="667">
        <f>H17</f>
        <v>100</v>
      </c>
      <c r="V17" s="666" t="s">
        <v>18</v>
      </c>
      <c r="W17" s="667">
        <f>J17</f>
        <v>100</v>
      </c>
      <c r="X17" s="1263"/>
      <c r="Y17" s="3425"/>
      <c r="Z17" s="1262" t="str">
        <f>Q17</f>
        <v>交通便捷度</v>
      </c>
      <c r="AA17" s="1262">
        <f t="shared" si="3"/>
        <v>1</v>
      </c>
      <c r="AB17" s="1262">
        <f t="shared" si="4"/>
        <v>1</v>
      </c>
      <c r="AC17" s="1262">
        <f t="shared" si="5"/>
        <v>1</v>
      </c>
    </row>
    <row r="18" spans="1:29" ht="15">
      <c r="A18" s="366"/>
      <c r="B18" s="394"/>
      <c r="C18" s="1752" t="s">
        <v>3407</v>
      </c>
      <c r="D18" s="388"/>
      <c r="E18" s="1752" t="s">
        <v>3407</v>
      </c>
      <c r="F18" s="388"/>
      <c r="G18" s="1752" t="s">
        <v>3407</v>
      </c>
      <c r="H18" s="386"/>
      <c r="I18" s="1752" t="s">
        <v>3407</v>
      </c>
      <c r="J18" s="386"/>
      <c r="K18" s="1750"/>
      <c r="L18" s="2487"/>
      <c r="M18" s="2482"/>
      <c r="N18" s="2482"/>
      <c r="O18" s="2482"/>
      <c r="P18" s="3432"/>
      <c r="Q18" s="1261"/>
      <c r="R18" s="666"/>
      <c r="S18" s="667"/>
      <c r="T18" s="666"/>
      <c r="U18" s="667"/>
      <c r="V18" s="666"/>
      <c r="W18" s="667"/>
      <c r="X18" s="1263"/>
      <c r="Y18" s="3425"/>
      <c r="Z18" s="1262"/>
      <c r="AA18" s="1262">
        <v>1</v>
      </c>
      <c r="AB18" s="1262">
        <v>1</v>
      </c>
      <c r="AC18" s="1262">
        <v>1</v>
      </c>
    </row>
    <row r="19" spans="1:29" ht="299.25" customHeight="1">
      <c r="A19" s="366"/>
      <c r="B19" s="389" t="s">
        <v>1258</v>
      </c>
      <c r="C19" s="1751"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393">
        <v>100</v>
      </c>
      <c r="E19" s="3168" t="s">
        <v>3502</v>
      </c>
      <c r="F19" s="393">
        <f>SUMIF(80:80,E20,81:81)-SUMIF(80:80,C20,81:81)+100</f>
        <v>100</v>
      </c>
      <c r="G19" s="3168" t="str">
        <f>E19</f>
        <v>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v>
      </c>
      <c r="H19" s="388">
        <f>SUMIF(80:80,G20,81:81)-SUMIF(80:80,C20,81:81)+100</f>
        <v>100</v>
      </c>
      <c r="I19" s="3168" t="str">
        <f>E19</f>
        <v>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v>
      </c>
      <c r="J19" s="388">
        <f>SUMIF(80:80,I20,81:81)-SUMIF(80:80,C20,81:81)+100</f>
        <v>100</v>
      </c>
      <c r="K19" s="383"/>
      <c r="L19" s="2487"/>
      <c r="M19" s="2482"/>
      <c r="N19" s="2482"/>
      <c r="O19" s="2482"/>
      <c r="P19" s="3432"/>
      <c r="Q19" s="1261" t="str">
        <f>B19</f>
        <v>公共配套设施</v>
      </c>
      <c r="R19" s="666" t="s">
        <v>18</v>
      </c>
      <c r="S19" s="667">
        <f>F19</f>
        <v>100</v>
      </c>
      <c r="T19" s="666" t="s">
        <v>18</v>
      </c>
      <c r="U19" s="667">
        <f>H19</f>
        <v>100</v>
      </c>
      <c r="V19" s="666" t="s">
        <v>18</v>
      </c>
      <c r="W19" s="667">
        <f>J19</f>
        <v>100</v>
      </c>
      <c r="X19" s="1263"/>
      <c r="Y19" s="3425"/>
      <c r="Z19" s="1262" t="str">
        <f>Q19</f>
        <v>公共配套设施</v>
      </c>
      <c r="AA19" s="1262">
        <f t="shared" si="3"/>
        <v>1</v>
      </c>
      <c r="AB19" s="1262">
        <f t="shared" si="4"/>
        <v>1</v>
      </c>
      <c r="AC19" s="1262">
        <f t="shared" si="5"/>
        <v>1</v>
      </c>
    </row>
    <row r="20" spans="1:29" ht="15">
      <c r="A20" s="366"/>
      <c r="B20" s="394"/>
      <c r="C20" s="385" t="s">
        <v>3407</v>
      </c>
      <c r="D20" s="386"/>
      <c r="E20" s="385" t="s">
        <v>3407</v>
      </c>
      <c r="F20" s="386"/>
      <c r="G20" s="385" t="s">
        <v>3407</v>
      </c>
      <c r="H20" s="386"/>
      <c r="I20" s="385" t="s">
        <v>3407</v>
      </c>
      <c r="J20" s="386"/>
      <c r="K20" s="1750"/>
      <c r="L20" s="2487"/>
      <c r="M20" s="2482"/>
      <c r="N20" s="2482"/>
      <c r="O20" s="2482"/>
      <c r="P20" s="3432"/>
      <c r="Q20" s="1261"/>
      <c r="R20" s="666"/>
      <c r="S20" s="667"/>
      <c r="T20" s="666"/>
      <c r="U20" s="667"/>
      <c r="V20" s="666"/>
      <c r="W20" s="667"/>
      <c r="X20" s="1263"/>
      <c r="Y20" s="3425"/>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32"/>
      <c r="Q21" s="1261" t="str">
        <f>B21</f>
        <v>基础设施水平</v>
      </c>
      <c r="R21" s="666" t="s">
        <v>14</v>
      </c>
      <c r="S21" s="667">
        <f>F21</f>
        <v>100</v>
      </c>
      <c r="T21" s="666" t="s">
        <v>14</v>
      </c>
      <c r="U21" s="667">
        <f>H21</f>
        <v>100</v>
      </c>
      <c r="V21" s="666" t="s">
        <v>14</v>
      </c>
      <c r="W21" s="667">
        <f>J21</f>
        <v>100</v>
      </c>
      <c r="X21" s="1263"/>
      <c r="Y21" s="3425"/>
      <c r="Z21" s="1262" t="str">
        <f>Q21</f>
        <v>基础设施水平</v>
      </c>
      <c r="AA21" s="1262">
        <f>D21/F21</f>
        <v>1</v>
      </c>
      <c r="AB21" s="1262">
        <f>D21/H21</f>
        <v>1</v>
      </c>
      <c r="AC21" s="1262">
        <f>D21/J21</f>
        <v>1</v>
      </c>
    </row>
    <row r="22" spans="1:29" ht="15">
      <c r="A22" s="366"/>
      <c r="B22" s="585"/>
      <c r="C22" s="1752" t="s">
        <v>3410</v>
      </c>
      <c r="D22" s="386"/>
      <c r="E22" s="3162" t="s">
        <v>3410</v>
      </c>
      <c r="F22" s="386"/>
      <c r="G22" s="1752" t="s">
        <v>3410</v>
      </c>
      <c r="H22" s="386"/>
      <c r="I22" s="1752" t="s">
        <v>3410</v>
      </c>
      <c r="J22" s="386"/>
      <c r="K22" s="1756"/>
      <c r="L22" s="2487"/>
      <c r="M22" s="2482"/>
      <c r="N22" s="2482"/>
      <c r="O22" s="2482"/>
      <c r="P22" s="3432"/>
      <c r="Q22" s="1261"/>
      <c r="R22" s="666"/>
      <c r="S22" s="667"/>
      <c r="T22" s="666"/>
      <c r="U22" s="667"/>
      <c r="V22" s="666"/>
      <c r="W22" s="667"/>
      <c r="X22" s="1263"/>
      <c r="Y22" s="3425"/>
      <c r="Z22" s="1262"/>
      <c r="AA22" s="1262">
        <v>1</v>
      </c>
      <c r="AB22" s="1262">
        <v>1</v>
      </c>
      <c r="AC22" s="1262">
        <v>1</v>
      </c>
    </row>
    <row r="23" spans="1:29" ht="114">
      <c r="A23" s="366"/>
      <c r="B23" s="389" t="s">
        <v>1261</v>
      </c>
      <c r="C23" s="1751" t="str">
        <f>估价对象房地状况!C9</f>
        <v>自然环境：团结湖公园、日坛公园等自然景观；
人文环境：东岳庙、当代美术馆等人文场所；
综合评价环境状况较好。</v>
      </c>
      <c r="D23" s="388">
        <v>100</v>
      </c>
      <c r="E23" s="3167" t="s">
        <v>3503</v>
      </c>
      <c r="F23" s="388">
        <f>SUMIF(84:84,E24,85:85)-SUMIF(84:84,C24,85:85)+100</f>
        <v>100</v>
      </c>
      <c r="G23" s="3167" t="str">
        <f>C23</f>
        <v>自然环境：团结湖公园、日坛公园等自然景观；
人文环境：东岳庙、当代美术馆等人文场所；
综合评价环境状况较好。</v>
      </c>
      <c r="H23" s="388">
        <f>SUMIF(84:84,G24,85:85)-SUMIF(84:84,C24,85:85)+100</f>
        <v>100</v>
      </c>
      <c r="I23" s="3167" t="str">
        <f>C23</f>
        <v>自然环境：团结湖公园、日坛公园等自然景观；
人文环境：东岳庙、当代美术馆等人文场所；
综合评价环境状况较好。</v>
      </c>
      <c r="J23" s="388">
        <f>SUMIF(84:84,I24,85:85)-SUMIF(84:84,C24,85:85)+100</f>
        <v>100</v>
      </c>
      <c r="K23" s="383"/>
      <c r="L23" s="2487"/>
      <c r="M23" s="2482"/>
      <c r="N23" s="2482"/>
      <c r="O23" s="2482"/>
      <c r="P23" s="3432"/>
      <c r="Q23" s="1261" t="str">
        <f>B23</f>
        <v>自然及人文环境</v>
      </c>
      <c r="R23" s="666" t="s">
        <v>18</v>
      </c>
      <c r="S23" s="667">
        <f>F23</f>
        <v>100</v>
      </c>
      <c r="T23" s="666" t="s">
        <v>18</v>
      </c>
      <c r="U23" s="667">
        <f>H23</f>
        <v>100</v>
      </c>
      <c r="V23" s="666" t="s">
        <v>18</v>
      </c>
      <c r="W23" s="667">
        <f>J23</f>
        <v>100</v>
      </c>
      <c r="X23" s="1263"/>
      <c r="Y23" s="3425"/>
      <c r="Z23" s="1262" t="str">
        <f>Q23</f>
        <v>自然及人文环境</v>
      </c>
      <c r="AA23" s="1262">
        <f>D23/F23</f>
        <v>1</v>
      </c>
      <c r="AB23" s="1262">
        <f>D23/H23</f>
        <v>1</v>
      </c>
      <c r="AC23" s="1262">
        <f>D23/J23</f>
        <v>1</v>
      </c>
    </row>
    <row r="24" spans="1:29" ht="15">
      <c r="A24" s="366"/>
      <c r="B24" s="394"/>
      <c r="C24" s="385" t="s">
        <v>3405</v>
      </c>
      <c r="D24" s="386"/>
      <c r="E24" s="385" t="s">
        <v>3405</v>
      </c>
      <c r="F24" s="386"/>
      <c r="G24" s="385" t="s">
        <v>3405</v>
      </c>
      <c r="H24" s="386"/>
      <c r="I24" s="385" t="s">
        <v>3405</v>
      </c>
      <c r="J24" s="386"/>
      <c r="K24" s="1750"/>
      <c r="L24" s="2487"/>
      <c r="M24" s="2482"/>
      <c r="N24" s="2482"/>
      <c r="O24" s="2482"/>
      <c r="P24" s="3432"/>
      <c r="Q24" s="1261"/>
      <c r="R24" s="666"/>
      <c r="S24" s="667"/>
      <c r="T24" s="666"/>
      <c r="U24" s="667"/>
      <c r="V24" s="666"/>
      <c r="W24" s="667"/>
      <c r="X24" s="1263"/>
      <c r="Y24" s="3425"/>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32"/>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25"/>
      <c r="Z25" s="1262" t="str">
        <f>Q25</f>
        <v>楼层-1</v>
      </c>
      <c r="AA25" s="1262">
        <f t="shared" ref="AA25:AA46" si="12">D25/F25</f>
        <v>1</v>
      </c>
      <c r="AB25" s="1262">
        <f t="shared" ref="AB25:AB46" si="13">D25/H25</f>
        <v>1</v>
      </c>
      <c r="AC25" s="1262">
        <f t="shared" ref="AC25:AC46" si="14">D25/J25</f>
        <v>1</v>
      </c>
    </row>
    <row r="26" spans="1:29" ht="15">
      <c r="A26" s="366"/>
      <c r="B26" s="363" t="s">
        <v>1693</v>
      </c>
      <c r="C26" s="398" t="s">
        <v>3493</v>
      </c>
      <c r="D26" s="373">
        <v>100</v>
      </c>
      <c r="E26" s="1757" t="s">
        <v>3495</v>
      </c>
      <c r="F26" s="373">
        <f>SUMIF(88:88,E26,89:89)-SUMIF(88:88,C26,89:89)+100</f>
        <v>98</v>
      </c>
      <c r="G26" s="1757" t="s">
        <v>3490</v>
      </c>
      <c r="H26" s="373">
        <f>SUMIF(88:88,G26,89:89)-SUMIF(88:88,C26,89:89)+100</f>
        <v>101</v>
      </c>
      <c r="I26" s="1758" t="s">
        <v>3490</v>
      </c>
      <c r="J26" s="373">
        <f>SUMIF(88:88,I26,89:89)-SUMIF(88:88,C26,89:89)+100</f>
        <v>101</v>
      </c>
      <c r="K26" s="364">
        <v>1</v>
      </c>
      <c r="L26" s="2487"/>
      <c r="M26" s="2482"/>
      <c r="N26" s="2482"/>
      <c r="O26" s="2482"/>
      <c r="P26" s="3432"/>
      <c r="Q26" s="1261" t="str">
        <f t="shared" si="8"/>
        <v>朝向</v>
      </c>
      <c r="R26" s="666" t="s">
        <v>18</v>
      </c>
      <c r="S26" s="667">
        <f t="shared" si="9"/>
        <v>98</v>
      </c>
      <c r="T26" s="666" t="s">
        <v>18</v>
      </c>
      <c r="U26" s="667">
        <f t="shared" si="10"/>
        <v>101</v>
      </c>
      <c r="V26" s="666" t="s">
        <v>18</v>
      </c>
      <c r="W26" s="667">
        <f t="shared" si="11"/>
        <v>101</v>
      </c>
      <c r="X26" s="1263"/>
      <c r="Y26" s="3425"/>
      <c r="Z26" s="1262" t="str">
        <f>Q26</f>
        <v>朝向</v>
      </c>
      <c r="AA26" s="1262">
        <f t="shared" si="12"/>
        <v>1.0204081632653061</v>
      </c>
      <c r="AB26" s="1262">
        <f t="shared" si="13"/>
        <v>0.99009900990099009</v>
      </c>
      <c r="AC26" s="1262">
        <f t="shared" si="14"/>
        <v>0.99009900990099009</v>
      </c>
    </row>
    <row r="27" spans="1:29" s="101" customFormat="1" ht="15">
      <c r="A27" s="369"/>
      <c r="B27" s="3140" t="s">
        <v>3391</v>
      </c>
      <c r="C27" s="3169" t="s">
        <v>3460</v>
      </c>
      <c r="D27" s="400">
        <v>100</v>
      </c>
      <c r="E27" s="3169" t="s">
        <v>3494</v>
      </c>
      <c r="F27" s="400">
        <f>E91</f>
        <v>99</v>
      </c>
      <c r="G27" s="3169" t="s">
        <v>3494</v>
      </c>
      <c r="H27" s="400">
        <f>F27</f>
        <v>99</v>
      </c>
      <c r="I27" s="3169" t="s">
        <v>3494</v>
      </c>
      <c r="J27" s="400">
        <f>F27</f>
        <v>99</v>
      </c>
      <c r="K27" s="1745"/>
      <c r="L27" s="2483"/>
      <c r="M27" s="2434"/>
      <c r="N27" s="2434"/>
      <c r="O27" s="2434"/>
      <c r="P27" s="3432"/>
      <c r="Q27" s="529" t="str">
        <f t="shared" si="8"/>
        <v>楼层</v>
      </c>
      <c r="R27" s="663" t="s">
        <v>18</v>
      </c>
      <c r="S27" s="664">
        <f t="shared" si="9"/>
        <v>99</v>
      </c>
      <c r="T27" s="663" t="s">
        <v>18</v>
      </c>
      <c r="U27" s="664">
        <f t="shared" si="10"/>
        <v>99</v>
      </c>
      <c r="V27" s="663" t="s">
        <v>18</v>
      </c>
      <c r="W27" s="664">
        <f t="shared" si="11"/>
        <v>99</v>
      </c>
      <c r="X27" s="665"/>
      <c r="Y27" s="3425"/>
      <c r="Z27" s="50" t="str">
        <f>Q27</f>
        <v>楼层</v>
      </c>
      <c r="AA27" s="1262">
        <f t="shared" si="12"/>
        <v>1.0101010101010102</v>
      </c>
      <c r="AB27" s="1262">
        <f t="shared" si="13"/>
        <v>1.0101010101010102</v>
      </c>
      <c r="AC27" s="1262">
        <f t="shared" si="14"/>
        <v>1.0101010101010102</v>
      </c>
    </row>
    <row r="28" spans="1:29" ht="15" hidden="1">
      <c r="A28" s="366"/>
      <c r="B28" s="3140" t="s">
        <v>3433</v>
      </c>
      <c r="C28" s="3142" t="s">
        <v>3436</v>
      </c>
      <c r="D28" s="373">
        <v>100</v>
      </c>
      <c r="E28" s="3142" t="s">
        <v>3436</v>
      </c>
      <c r="F28" s="373">
        <f>SUMIF(92:92,E28,93:93)-SUMIF(92:92,C28,93:93)+100</f>
        <v>100</v>
      </c>
      <c r="G28" s="3142" t="s">
        <v>3436</v>
      </c>
      <c r="H28" s="373">
        <f>SUMIF(92:92,G28,93:93)-SUMIF(92:92,C28,93:93)+100</f>
        <v>100</v>
      </c>
      <c r="I28" s="3142" t="s">
        <v>3436</v>
      </c>
      <c r="J28" s="373">
        <f>SUMIF(92:92,I28,93:93)-SUMIF(92:92,C28,93:93)+100</f>
        <v>100</v>
      </c>
      <c r="K28" s="1745"/>
      <c r="L28" s="2487"/>
      <c r="M28" s="2482"/>
      <c r="N28" s="2482"/>
      <c r="O28" s="2482"/>
      <c r="P28" s="3432"/>
      <c r="Q28" s="1261" t="str">
        <f t="shared" si="8"/>
        <v>道路级别</v>
      </c>
      <c r="R28" s="666" t="s">
        <v>18</v>
      </c>
      <c r="S28" s="667">
        <f t="shared" si="9"/>
        <v>100</v>
      </c>
      <c r="T28" s="666" t="s">
        <v>18</v>
      </c>
      <c r="U28" s="667">
        <f t="shared" si="10"/>
        <v>100</v>
      </c>
      <c r="V28" s="666" t="s">
        <v>18</v>
      </c>
      <c r="W28" s="667">
        <f t="shared" si="11"/>
        <v>100</v>
      </c>
      <c r="X28" s="1263"/>
      <c r="Y28" s="3425"/>
      <c r="Z28" s="1262" t="str">
        <f t="shared" ref="Z28:Z46" si="15">Q28</f>
        <v>道路级别</v>
      </c>
      <c r="AA28" s="1262">
        <f t="shared" si="12"/>
        <v>1</v>
      </c>
      <c r="AB28" s="1262">
        <f t="shared" si="13"/>
        <v>1</v>
      </c>
      <c r="AC28" s="1262">
        <f t="shared" si="14"/>
        <v>1</v>
      </c>
    </row>
    <row r="29" spans="1:29" ht="15">
      <c r="A29" s="366"/>
      <c r="B29" s="1065">
        <v>111</v>
      </c>
      <c r="C29" s="3169" t="s">
        <v>3483</v>
      </c>
      <c r="D29" s="373">
        <v>100</v>
      </c>
      <c r="E29" s="3169" t="s">
        <v>3496</v>
      </c>
      <c r="F29" s="373">
        <f>SUMIF(94:94,E29,95:95)-SUMIF(94:94,C29,95:95)+100</f>
        <v>100</v>
      </c>
      <c r="G29" s="3169"/>
      <c r="H29" s="373">
        <f>SUMIF(94:94,G29,95:95)-SUMIF(94:94,C29,95:95)+100</f>
        <v>100</v>
      </c>
      <c r="I29" s="3169"/>
      <c r="J29" s="373">
        <f>SUMIF(94:94,I29,95:95)-SUMIF(94:94,C29,95:95)+100</f>
        <v>100</v>
      </c>
      <c r="K29" s="1745"/>
      <c r="L29" s="2487"/>
      <c r="M29" s="2482"/>
      <c r="N29" s="2482"/>
      <c r="O29" s="2482"/>
      <c r="P29" s="3432"/>
      <c r="Q29" s="1261">
        <f t="shared" si="8"/>
        <v>111</v>
      </c>
      <c r="R29" s="666" t="s">
        <v>18</v>
      </c>
      <c r="S29" s="667">
        <f t="shared" si="9"/>
        <v>100</v>
      </c>
      <c r="T29" s="666" t="s">
        <v>18</v>
      </c>
      <c r="U29" s="667">
        <f t="shared" si="10"/>
        <v>100</v>
      </c>
      <c r="V29" s="666" t="s">
        <v>18</v>
      </c>
      <c r="W29" s="667">
        <f t="shared" si="11"/>
        <v>100</v>
      </c>
      <c r="X29" s="1263"/>
      <c r="Y29" s="3425"/>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32"/>
      <c r="Q30" s="1261">
        <f t="shared" si="8"/>
        <v>111</v>
      </c>
      <c r="R30" s="666" t="s">
        <v>18</v>
      </c>
      <c r="S30" s="667">
        <f t="shared" si="9"/>
        <v>100</v>
      </c>
      <c r="T30" s="666" t="s">
        <v>18</v>
      </c>
      <c r="U30" s="667">
        <f t="shared" si="10"/>
        <v>100</v>
      </c>
      <c r="V30" s="666" t="s">
        <v>18</v>
      </c>
      <c r="W30" s="667">
        <f t="shared" si="11"/>
        <v>100</v>
      </c>
      <c r="X30" s="1263"/>
      <c r="Y30" s="3425"/>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32"/>
      <c r="Q31" s="1261">
        <f t="shared" si="8"/>
        <v>111</v>
      </c>
      <c r="R31" s="666" t="s">
        <v>18</v>
      </c>
      <c r="S31" s="667">
        <f t="shared" si="9"/>
        <v>100</v>
      </c>
      <c r="T31" s="666" t="s">
        <v>18</v>
      </c>
      <c r="U31" s="667">
        <f t="shared" si="10"/>
        <v>100</v>
      </c>
      <c r="V31" s="666" t="s">
        <v>18</v>
      </c>
      <c r="W31" s="667">
        <f t="shared" si="11"/>
        <v>100</v>
      </c>
      <c r="X31" s="1263"/>
      <c r="Y31" s="3425"/>
      <c r="Z31" s="1262">
        <f t="shared" si="15"/>
        <v>111</v>
      </c>
      <c r="AA31" s="1262">
        <f t="shared" si="12"/>
        <v>1</v>
      </c>
      <c r="AB31" s="1262">
        <f t="shared" si="13"/>
        <v>1</v>
      </c>
      <c r="AC31" s="1262">
        <f t="shared" si="14"/>
        <v>1</v>
      </c>
    </row>
    <row r="32" spans="1:29" ht="15.75" thickBot="1">
      <c r="A32" s="378" t="s">
        <v>1694</v>
      </c>
      <c r="B32" s="363" t="s">
        <v>1695</v>
      </c>
      <c r="C32" s="3188" t="s">
        <v>3497</v>
      </c>
      <c r="D32" s="404">
        <v>100</v>
      </c>
      <c r="E32" s="3188" t="s">
        <v>3497</v>
      </c>
      <c r="F32" s="399">
        <f>SUMIF(100:100,E32,101:101)-SUMIF(100:100,C32,101:101)+100</f>
        <v>100</v>
      </c>
      <c r="G32" s="3188" t="s">
        <v>3497</v>
      </c>
      <c r="H32" s="404">
        <f>SUMIF(100:100,G32,101:101)-SUMIF(100:100,C32,101:101)+100</f>
        <v>100</v>
      </c>
      <c r="I32" s="3188" t="s">
        <v>3497</v>
      </c>
      <c r="J32" s="373">
        <f>SUMIF(100:100,I32,101:101)-SUMIF(100:100,C32,101:101)+100</f>
        <v>100</v>
      </c>
      <c r="K32" s="364">
        <v>1</v>
      </c>
      <c r="L32" s="2487"/>
      <c r="M32" s="2482"/>
      <c r="N32" s="2482"/>
      <c r="O32" s="2482"/>
      <c r="P32" s="3426" t="s">
        <v>1696</v>
      </c>
      <c r="Q32" s="1261" t="str">
        <f t="shared" si="8"/>
        <v>建筑类型</v>
      </c>
      <c r="R32" s="666" t="s">
        <v>18</v>
      </c>
      <c r="S32" s="667">
        <f t="shared" si="9"/>
        <v>100</v>
      </c>
      <c r="T32" s="666" t="s">
        <v>18</v>
      </c>
      <c r="U32" s="667">
        <f t="shared" si="10"/>
        <v>100</v>
      </c>
      <c r="V32" s="666" t="s">
        <v>18</v>
      </c>
      <c r="W32" s="667">
        <f t="shared" si="11"/>
        <v>100</v>
      </c>
      <c r="X32" s="1263"/>
      <c r="Y32" s="3429" t="s">
        <v>1696</v>
      </c>
      <c r="Z32" s="1262" t="str">
        <f t="shared" si="15"/>
        <v>建筑类型</v>
      </c>
      <c r="AA32" s="1262">
        <f t="shared" si="12"/>
        <v>1</v>
      </c>
      <c r="AB32" s="1262">
        <f t="shared" si="13"/>
        <v>1</v>
      </c>
      <c r="AC32" s="1262">
        <f t="shared" si="14"/>
        <v>1</v>
      </c>
    </row>
    <row r="33" spans="1:29" s="407" customFormat="1" ht="15">
      <c r="A33" s="405"/>
      <c r="B33" s="363" t="s">
        <v>1697</v>
      </c>
      <c r="C33" s="3189">
        <f>'数据-取费表'!K6</f>
        <v>109.66</v>
      </c>
      <c r="D33" s="118">
        <v>100</v>
      </c>
      <c r="E33" s="3188">
        <f>案例!$E$2</f>
        <v>79.790000000000006</v>
      </c>
      <c r="F33" s="399">
        <f>D104</f>
        <v>104</v>
      </c>
      <c r="G33" s="3188">
        <f>案例!$E$3</f>
        <v>115.13</v>
      </c>
      <c r="H33" s="404">
        <f>F104</f>
        <v>100</v>
      </c>
      <c r="I33" s="3191">
        <f>案例!$E$4</f>
        <v>109.66</v>
      </c>
      <c r="J33" s="3192">
        <f>H33</f>
        <v>100</v>
      </c>
      <c r="K33" s="1745"/>
      <c r="L33" s="2486"/>
      <c r="M33" s="2488"/>
      <c r="N33" s="2488"/>
      <c r="O33" s="2488"/>
      <c r="P33" s="3427"/>
      <c r="Q33" s="530" t="str">
        <f t="shared" si="8"/>
        <v>项目建筑规模</v>
      </c>
      <c r="R33" s="668" t="s">
        <v>18</v>
      </c>
      <c r="S33" s="669">
        <f t="shared" si="9"/>
        <v>104</v>
      </c>
      <c r="T33" s="668" t="s">
        <v>18</v>
      </c>
      <c r="U33" s="669">
        <f t="shared" si="10"/>
        <v>100</v>
      </c>
      <c r="V33" s="668" t="s">
        <v>18</v>
      </c>
      <c r="W33" s="669">
        <f t="shared" si="11"/>
        <v>100</v>
      </c>
      <c r="X33" s="670"/>
      <c r="Y33" s="3429"/>
      <c r="Z33" s="671" t="str">
        <f t="shared" si="15"/>
        <v>项目建筑规模</v>
      </c>
      <c r="AA33" s="1262">
        <f t="shared" si="12"/>
        <v>0.96153846153846156</v>
      </c>
      <c r="AB33" s="1262">
        <f t="shared" si="13"/>
        <v>1</v>
      </c>
      <c r="AC33" s="1262">
        <f t="shared" si="14"/>
        <v>1</v>
      </c>
    </row>
    <row r="34" spans="1:29" ht="15">
      <c r="A34" s="408"/>
      <c r="B34" s="363" t="s">
        <v>1698</v>
      </c>
      <c r="C34" s="3190" t="s">
        <v>3395</v>
      </c>
      <c r="D34" s="373">
        <v>100</v>
      </c>
      <c r="E34" s="3190" t="s">
        <v>3395</v>
      </c>
      <c r="F34" s="399">
        <f>SUMIF(105:105,E34,106:106)-SUMIF(105:105,C34,106:106)+100</f>
        <v>100</v>
      </c>
      <c r="G34" s="3190" t="s">
        <v>3395</v>
      </c>
      <c r="H34" s="373">
        <f>SUMIF(105:105,G34,106:106)-SUMIF(105:105,C34,106:106)+100</f>
        <v>100</v>
      </c>
      <c r="I34" s="3190" t="s">
        <v>3395</v>
      </c>
      <c r="J34" s="373">
        <f>SUMIF(105:105,I34,106:106)-SUMIF(105:105,C34,106:106)+100</f>
        <v>100</v>
      </c>
      <c r="K34" s="364">
        <v>0.5</v>
      </c>
      <c r="L34" s="2487"/>
      <c r="M34" s="2482"/>
      <c r="N34" s="2482"/>
      <c r="O34" s="2482"/>
      <c r="P34" s="3427"/>
      <c r="Q34" s="1261" t="str">
        <f t="shared" si="8"/>
        <v>建筑结构</v>
      </c>
      <c r="R34" s="666" t="s">
        <v>18</v>
      </c>
      <c r="S34" s="667">
        <f t="shared" si="9"/>
        <v>100</v>
      </c>
      <c r="T34" s="666" t="s">
        <v>18</v>
      </c>
      <c r="U34" s="667">
        <f t="shared" si="10"/>
        <v>100</v>
      </c>
      <c r="V34" s="666" t="s">
        <v>18</v>
      </c>
      <c r="W34" s="667">
        <f t="shared" si="11"/>
        <v>100</v>
      </c>
      <c r="X34" s="1263"/>
      <c r="Y34" s="3429"/>
      <c r="Z34" s="1262" t="str">
        <f t="shared" si="15"/>
        <v>建筑结构</v>
      </c>
      <c r="AA34" s="1262">
        <f t="shared" si="12"/>
        <v>1</v>
      </c>
      <c r="AB34" s="1262">
        <f t="shared" si="13"/>
        <v>1</v>
      </c>
      <c r="AC34" s="1262">
        <f t="shared" si="14"/>
        <v>1</v>
      </c>
    </row>
    <row r="35" spans="1:29" ht="15" hidden="1">
      <c r="A35" s="408"/>
      <c r="B35" s="363" t="s">
        <v>3445</v>
      </c>
      <c r="C35" s="3180" t="s">
        <v>3405</v>
      </c>
      <c r="D35" s="373">
        <v>100</v>
      </c>
      <c r="E35" s="3180" t="s">
        <v>3405</v>
      </c>
      <c r="F35" s="399">
        <f>SUMIF(107:107,E35,108:108)-SUMIF(107:107,C35,108:108)+100</f>
        <v>100</v>
      </c>
      <c r="G35" s="3180" t="s">
        <v>3405</v>
      </c>
      <c r="H35" s="373">
        <f>SUMIF(107:107,G35,108:108)-SUMIF(107:107,C35,108:108)+100</f>
        <v>100</v>
      </c>
      <c r="I35" s="3180" t="s">
        <v>3405</v>
      </c>
      <c r="J35" s="373">
        <f>SUMIF(107:107,I35,108:108)-SUMIF(107:107,C35,108:108)+100</f>
        <v>100</v>
      </c>
      <c r="K35" s="364">
        <v>3</v>
      </c>
      <c r="L35" s="2487"/>
      <c r="M35" s="2482"/>
      <c r="N35" s="2482"/>
      <c r="O35" s="2482"/>
      <c r="P35" s="3427"/>
      <c r="Q35" s="1261" t="str">
        <f t="shared" si="8"/>
        <v>噪音污染</v>
      </c>
      <c r="R35" s="666" t="s">
        <v>18</v>
      </c>
      <c r="S35" s="667">
        <f t="shared" si="9"/>
        <v>100</v>
      </c>
      <c r="T35" s="666" t="s">
        <v>18</v>
      </c>
      <c r="U35" s="667">
        <f t="shared" si="10"/>
        <v>100</v>
      </c>
      <c r="V35" s="666" t="s">
        <v>18</v>
      </c>
      <c r="W35" s="667">
        <f t="shared" si="11"/>
        <v>100</v>
      </c>
      <c r="X35" s="1263"/>
      <c r="Y35" s="3429"/>
      <c r="Z35" s="1262" t="str">
        <f t="shared" si="15"/>
        <v>噪音污染</v>
      </c>
      <c r="AA35" s="1262">
        <f t="shared" si="12"/>
        <v>1</v>
      </c>
      <c r="AB35" s="1262">
        <f t="shared" si="13"/>
        <v>1</v>
      </c>
      <c r="AC35" s="1262">
        <f t="shared" si="14"/>
        <v>1</v>
      </c>
    </row>
    <row r="36" spans="1:29" ht="15">
      <c r="A36" s="408"/>
      <c r="B36" s="363" t="s">
        <v>1699</v>
      </c>
      <c r="C36" s="3180" t="s">
        <v>3458</v>
      </c>
      <c r="D36" s="373">
        <v>100</v>
      </c>
      <c r="E36" s="3180" t="s">
        <v>3458</v>
      </c>
      <c r="F36" s="399">
        <f>SUMIF(109:109,E36,110:110)-SUMIF(109:109,C36,110:110)+100</f>
        <v>100</v>
      </c>
      <c r="G36" s="3180" t="s">
        <v>3458</v>
      </c>
      <c r="H36" s="373">
        <f>SUMIF(109:109,G36,110:110)-SUMIF(109:109,C36,110:110)+100</f>
        <v>100</v>
      </c>
      <c r="I36" s="3180" t="s">
        <v>3458</v>
      </c>
      <c r="J36" s="373">
        <f>SUMIF(109:109,I36,110:110)-SUMIF(109:109,C36,110:110)+100</f>
        <v>100</v>
      </c>
      <c r="K36" s="364"/>
      <c r="L36" s="2487"/>
      <c r="M36" s="2482"/>
      <c r="N36" s="2482"/>
      <c r="O36" s="2482"/>
      <c r="P36" s="3427"/>
      <c r="Q36" s="1261" t="str">
        <f t="shared" si="8"/>
        <v>公共部分装修</v>
      </c>
      <c r="R36" s="666" t="s">
        <v>18</v>
      </c>
      <c r="S36" s="667">
        <f t="shared" si="9"/>
        <v>100</v>
      </c>
      <c r="T36" s="666" t="s">
        <v>18</v>
      </c>
      <c r="U36" s="667">
        <f t="shared" si="10"/>
        <v>100</v>
      </c>
      <c r="V36" s="666" t="s">
        <v>18</v>
      </c>
      <c r="W36" s="667">
        <f t="shared" si="11"/>
        <v>100</v>
      </c>
      <c r="X36" s="1263"/>
      <c r="Y36" s="3429"/>
      <c r="Z36" s="1262" t="str">
        <f t="shared" si="15"/>
        <v>公共部分装修</v>
      </c>
      <c r="AA36" s="1262">
        <f t="shared" si="12"/>
        <v>1</v>
      </c>
      <c r="AB36" s="1262">
        <f t="shared" si="13"/>
        <v>1</v>
      </c>
      <c r="AC36" s="1262">
        <f t="shared" si="14"/>
        <v>1</v>
      </c>
    </row>
    <row r="37" spans="1:29" s="101" customFormat="1" ht="15">
      <c r="A37" s="409"/>
      <c r="B37" s="3170" t="s">
        <v>3498</v>
      </c>
      <c r="C37" s="3535">
        <v>0.89</v>
      </c>
      <c r="D37" s="118">
        <v>100</v>
      </c>
      <c r="E37" s="3535">
        <v>0.82</v>
      </c>
      <c r="F37" s="3536">
        <f>LOOKUP(E37,112:112,113:113)-LOOKUP(C37,112:112,113:113)+100</f>
        <v>100</v>
      </c>
      <c r="G37" s="3535">
        <f>C37</f>
        <v>0.89</v>
      </c>
      <c r="H37" s="3536">
        <f>LOOKUP(E37,112:112,113:113)-LOOKUP(C37,112:112,113:113)+100</f>
        <v>100</v>
      </c>
      <c r="I37" s="3535">
        <f>C37</f>
        <v>0.89</v>
      </c>
      <c r="J37" s="3536">
        <f>LOOKUP(E37,112:112,113:113)-LOOKUP(C37,112:112,113:113)+100</f>
        <v>100</v>
      </c>
      <c r="K37" s="364">
        <v>1</v>
      </c>
      <c r="L37" s="2483"/>
      <c r="M37" s="2434"/>
      <c r="N37" s="2434"/>
      <c r="O37" s="2434"/>
      <c r="P37" s="3427"/>
      <c r="Q37" s="529" t="str">
        <f t="shared" si="8"/>
        <v>成新度</v>
      </c>
      <c r="R37" s="663" t="s">
        <v>18</v>
      </c>
      <c r="S37" s="664">
        <f t="shared" si="9"/>
        <v>100</v>
      </c>
      <c r="T37" s="663" t="s">
        <v>18</v>
      </c>
      <c r="U37" s="664">
        <f t="shared" si="10"/>
        <v>100</v>
      </c>
      <c r="V37" s="663" t="s">
        <v>18</v>
      </c>
      <c r="W37" s="664">
        <f t="shared" si="11"/>
        <v>100</v>
      </c>
      <c r="X37" s="665"/>
      <c r="Y37" s="3429"/>
      <c r="Z37" s="50" t="str">
        <f t="shared" si="15"/>
        <v>成新度</v>
      </c>
      <c r="AA37" s="50">
        <f t="shared" si="12"/>
        <v>1</v>
      </c>
      <c r="AB37" s="50">
        <f t="shared" si="13"/>
        <v>1</v>
      </c>
      <c r="AC37" s="50">
        <f t="shared" si="14"/>
        <v>1</v>
      </c>
    </row>
    <row r="38" spans="1:29" ht="15">
      <c r="A38" s="408"/>
      <c r="B38" s="363" t="s">
        <v>1700</v>
      </c>
      <c r="C38" s="3180" t="s">
        <v>3447</v>
      </c>
      <c r="D38" s="373">
        <v>100</v>
      </c>
      <c r="E38" s="3180" t="s">
        <v>3447</v>
      </c>
      <c r="F38" s="399">
        <f>SUMIF(114:114,E38,115:115)-SUMIF(114:114,C38,115:115)+100</f>
        <v>100</v>
      </c>
      <c r="G38" s="3180" t="s">
        <v>3447</v>
      </c>
      <c r="H38" s="373">
        <f>SUMIF(114:114,G38,115:115)-SUMIF(114:114,C38,115:115)+100</f>
        <v>100</v>
      </c>
      <c r="I38" s="3180" t="s">
        <v>3447</v>
      </c>
      <c r="J38" s="373">
        <f>SUMIF(114:114,I38,115:115)-SUMIF(114:114,C38,115:115)+100</f>
        <v>100</v>
      </c>
      <c r="K38" s="364">
        <v>1</v>
      </c>
      <c r="L38" s="2487"/>
      <c r="M38" s="2482"/>
      <c r="N38" s="2482"/>
      <c r="O38" s="2482"/>
      <c r="P38" s="3427" t="s">
        <v>1696</v>
      </c>
      <c r="Q38" s="1261" t="str">
        <f t="shared" si="8"/>
        <v>物业管理</v>
      </c>
      <c r="R38" s="666" t="s">
        <v>18</v>
      </c>
      <c r="S38" s="667">
        <f t="shared" si="9"/>
        <v>100</v>
      </c>
      <c r="T38" s="666" t="s">
        <v>18</v>
      </c>
      <c r="U38" s="667">
        <f t="shared" si="10"/>
        <v>100</v>
      </c>
      <c r="V38" s="666" t="s">
        <v>18</v>
      </c>
      <c r="W38" s="667">
        <f t="shared" si="11"/>
        <v>100</v>
      </c>
      <c r="X38" s="1263"/>
      <c r="Y38" s="3429" t="s">
        <v>1696</v>
      </c>
      <c r="Z38" s="1262" t="str">
        <f t="shared" si="15"/>
        <v>物业管理</v>
      </c>
      <c r="AA38" s="1262">
        <f t="shared" si="12"/>
        <v>1</v>
      </c>
      <c r="AB38" s="1262">
        <f t="shared" si="13"/>
        <v>1</v>
      </c>
      <c r="AC38" s="1262">
        <f t="shared" si="14"/>
        <v>1</v>
      </c>
    </row>
    <row r="39" spans="1:29" ht="15">
      <c r="A39" s="408"/>
      <c r="B39" s="363" t="s">
        <v>1701</v>
      </c>
      <c r="C39" s="3180" t="s">
        <v>3410</v>
      </c>
      <c r="D39" s="373">
        <v>100</v>
      </c>
      <c r="E39" s="3180" t="s">
        <v>3410</v>
      </c>
      <c r="F39" s="399">
        <f>SUMIF(116:116,E39,117:117)-SUMIF(116:116,C39,117:117)+100</f>
        <v>100</v>
      </c>
      <c r="G39" s="3180" t="s">
        <v>3410</v>
      </c>
      <c r="H39" s="373">
        <f>SUMIF(116:116,G39,117:117)-SUMIF(116:116,C39,117:117)+100</f>
        <v>100</v>
      </c>
      <c r="I39" s="3180" t="s">
        <v>3410</v>
      </c>
      <c r="J39" s="373">
        <f>SUMIF(116:116,I39,117:117)-SUMIF(116:116,C39,117:117)+100</f>
        <v>100</v>
      </c>
      <c r="K39" s="364"/>
      <c r="L39" s="2487"/>
      <c r="M39" s="2482"/>
      <c r="N39" s="2482"/>
      <c r="O39" s="2482"/>
      <c r="P39" s="3427"/>
      <c r="Q39" s="1261" t="str">
        <f t="shared" si="8"/>
        <v>市政基础设施</v>
      </c>
      <c r="R39" s="666" t="s">
        <v>18</v>
      </c>
      <c r="S39" s="667">
        <f t="shared" si="9"/>
        <v>100</v>
      </c>
      <c r="T39" s="666" t="s">
        <v>18</v>
      </c>
      <c r="U39" s="667">
        <f t="shared" si="10"/>
        <v>100</v>
      </c>
      <c r="V39" s="666" t="s">
        <v>18</v>
      </c>
      <c r="W39" s="667">
        <f t="shared" si="11"/>
        <v>100</v>
      </c>
      <c r="X39" s="1263"/>
      <c r="Y39" s="3429"/>
      <c r="Z39" s="1262" t="str">
        <f t="shared" si="15"/>
        <v>市政基础设施</v>
      </c>
      <c r="AA39" s="1262">
        <f t="shared" si="12"/>
        <v>1</v>
      </c>
      <c r="AB39" s="1262">
        <f t="shared" si="13"/>
        <v>1</v>
      </c>
      <c r="AC39" s="1262">
        <f t="shared" si="14"/>
        <v>1</v>
      </c>
    </row>
    <row r="40" spans="1:29" ht="15" hidden="1">
      <c r="A40" s="408"/>
      <c r="B40" s="363" t="s">
        <v>1702</v>
      </c>
      <c r="C40" s="1757" t="s">
        <v>3466</v>
      </c>
      <c r="D40" s="373">
        <v>100</v>
      </c>
      <c r="E40" s="1757" t="s">
        <v>3466</v>
      </c>
      <c r="F40" s="399">
        <f>SUMIF(118:118,E40,119:119)-SUMIF(118:118,C40,119:119)+100</f>
        <v>100</v>
      </c>
      <c r="G40" s="1757" t="s">
        <v>3466</v>
      </c>
      <c r="H40" s="373">
        <f>SUMIF(118:118,G40,119:119)-SUMIF(118:118,C40,119:119)+100</f>
        <v>100</v>
      </c>
      <c r="I40" s="1757" t="s">
        <v>3466</v>
      </c>
      <c r="J40" s="373">
        <f>SUMIF(118:118,I40,119:119)-SUMIF(118:118,C40,119:119)+100</f>
        <v>100</v>
      </c>
      <c r="K40" s="364">
        <v>0.5</v>
      </c>
      <c r="L40" s="2487"/>
      <c r="M40" s="2482"/>
      <c r="N40" s="2482"/>
      <c r="O40" s="2482"/>
      <c r="P40" s="3427"/>
      <c r="Q40" s="1261" t="str">
        <f t="shared" si="8"/>
        <v>房型</v>
      </c>
      <c r="R40" s="666" t="s">
        <v>18</v>
      </c>
      <c r="S40" s="667">
        <f t="shared" si="9"/>
        <v>100</v>
      </c>
      <c r="T40" s="666" t="s">
        <v>18</v>
      </c>
      <c r="U40" s="667">
        <f t="shared" si="10"/>
        <v>100</v>
      </c>
      <c r="V40" s="666" t="s">
        <v>18</v>
      </c>
      <c r="W40" s="667">
        <f t="shared" si="11"/>
        <v>100</v>
      </c>
      <c r="X40" s="1263"/>
      <c r="Y40" s="3429"/>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27"/>
      <c r="Q41" s="530" t="str">
        <f t="shared" si="8"/>
        <v>单套/主力户型建筑面积</v>
      </c>
      <c r="R41" s="668" t="s">
        <v>18</v>
      </c>
      <c r="S41" s="669">
        <f t="shared" si="9"/>
        <v>100</v>
      </c>
      <c r="T41" s="668" t="s">
        <v>18</v>
      </c>
      <c r="U41" s="669">
        <f t="shared" si="10"/>
        <v>100</v>
      </c>
      <c r="V41" s="668" t="s">
        <v>18</v>
      </c>
      <c r="W41" s="669">
        <f t="shared" si="11"/>
        <v>100</v>
      </c>
      <c r="X41" s="670"/>
      <c r="Y41" s="3429"/>
      <c r="Z41" s="671" t="str">
        <f t="shared" si="15"/>
        <v>单套/主力户型建筑面积</v>
      </c>
      <c r="AA41" s="1262">
        <f t="shared" si="12"/>
        <v>1</v>
      </c>
      <c r="AB41" s="1262">
        <f t="shared" si="13"/>
        <v>1</v>
      </c>
      <c r="AC41" s="1262">
        <f t="shared" si="14"/>
        <v>1</v>
      </c>
    </row>
    <row r="42" spans="1:29" ht="15">
      <c r="A42" s="408"/>
      <c r="B42" s="363" t="s">
        <v>1704</v>
      </c>
      <c r="C42" s="1757" t="s">
        <v>3458</v>
      </c>
      <c r="D42" s="373">
        <v>100</v>
      </c>
      <c r="E42" s="1757" t="s">
        <v>3458</v>
      </c>
      <c r="F42" s="399">
        <f>SUMIF(122:122,E42,123:123)-SUMIF(122:122,C42,123:123)+100</f>
        <v>100</v>
      </c>
      <c r="G42" s="1757" t="s">
        <v>3458</v>
      </c>
      <c r="H42" s="373">
        <f>SUMIF(122:122,G42,123:123)-SUMIF(122:122,C42,123:123)+100</f>
        <v>100</v>
      </c>
      <c r="I42" s="1757" t="s">
        <v>3458</v>
      </c>
      <c r="J42" s="373">
        <f>SUMIF(122:122,I42,123:123)-SUMIF(122:122,C42,123:123)+100</f>
        <v>100</v>
      </c>
      <c r="K42" s="364">
        <v>0.5</v>
      </c>
      <c r="L42" s="2487"/>
      <c r="M42" s="2482"/>
      <c r="N42" s="2482"/>
      <c r="O42" s="2482"/>
      <c r="P42" s="3427"/>
      <c r="Q42" s="1261" t="str">
        <f t="shared" si="8"/>
        <v>内部装修</v>
      </c>
      <c r="R42" s="666" t="s">
        <v>18</v>
      </c>
      <c r="S42" s="667">
        <f t="shared" si="9"/>
        <v>100</v>
      </c>
      <c r="T42" s="666" t="s">
        <v>18</v>
      </c>
      <c r="U42" s="667">
        <f t="shared" si="10"/>
        <v>100</v>
      </c>
      <c r="V42" s="666" t="s">
        <v>18</v>
      </c>
      <c r="W42" s="667">
        <f t="shared" si="11"/>
        <v>100</v>
      </c>
      <c r="X42" s="1263"/>
      <c r="Y42" s="3429"/>
      <c r="Z42" s="1262" t="str">
        <f t="shared" si="15"/>
        <v>内部装修</v>
      </c>
      <c r="AA42" s="1262">
        <f t="shared" si="12"/>
        <v>1</v>
      </c>
      <c r="AB42" s="1262">
        <f t="shared" si="13"/>
        <v>1</v>
      </c>
      <c r="AC42" s="1262">
        <f t="shared" si="14"/>
        <v>1</v>
      </c>
    </row>
    <row r="43" spans="1:29" ht="15">
      <c r="A43" s="408"/>
      <c r="B43" s="363" t="s">
        <v>1705</v>
      </c>
      <c r="C43" s="1757" t="s">
        <v>3405</v>
      </c>
      <c r="D43" s="373">
        <v>100</v>
      </c>
      <c r="E43" s="1757" t="s">
        <v>3405</v>
      </c>
      <c r="F43" s="399">
        <f>SUMIF(124:124,E43,125:125)-SUMIF(124:124,C43,125:125)+100</f>
        <v>100</v>
      </c>
      <c r="G43" s="1757" t="s">
        <v>3405</v>
      </c>
      <c r="H43" s="373">
        <f>SUMIF(124:124,G43,125:125)-SUMIF(124:124,C43,125:125)+100</f>
        <v>100</v>
      </c>
      <c r="I43" s="1757" t="s">
        <v>3405</v>
      </c>
      <c r="J43" s="373">
        <f>SUMIF(124:124,I43,125:125)-SUMIF(124:124,C43,125:125)+100</f>
        <v>100</v>
      </c>
      <c r="K43" s="364">
        <v>0.5</v>
      </c>
      <c r="L43" s="2487"/>
      <c r="M43" s="2482"/>
      <c r="N43" s="2482"/>
      <c r="O43" s="2482"/>
      <c r="P43" s="3427"/>
      <c r="Q43" s="1261" t="str">
        <f t="shared" si="8"/>
        <v>内部装修维护情况</v>
      </c>
      <c r="R43" s="666" t="s">
        <v>18</v>
      </c>
      <c r="S43" s="667">
        <f t="shared" si="9"/>
        <v>100</v>
      </c>
      <c r="T43" s="666" t="s">
        <v>18</v>
      </c>
      <c r="U43" s="667">
        <f t="shared" si="10"/>
        <v>100</v>
      </c>
      <c r="V43" s="666" t="s">
        <v>18</v>
      </c>
      <c r="W43" s="667">
        <f t="shared" si="11"/>
        <v>100</v>
      </c>
      <c r="X43" s="1263"/>
      <c r="Y43" s="3429"/>
      <c r="Z43" s="1262" t="str">
        <f t="shared" si="15"/>
        <v>内部装修维护情况</v>
      </c>
      <c r="AA43" s="1262">
        <f t="shared" si="12"/>
        <v>1</v>
      </c>
      <c r="AB43" s="1262">
        <f t="shared" si="13"/>
        <v>1</v>
      </c>
      <c r="AC43" s="1262">
        <f t="shared" si="14"/>
        <v>1</v>
      </c>
    </row>
    <row r="44" spans="1:29" s="101" customFormat="1" ht="15">
      <c r="A44" s="409"/>
      <c r="B44" s="3140"/>
      <c r="C44" s="3142"/>
      <c r="D44" s="118">
        <v>100</v>
      </c>
      <c r="E44" s="3142"/>
      <c r="F44" s="363">
        <f>SUMIF(126:126,E44,127:127)-SUMIF(126:126,C44,127:127)+100</f>
        <v>100</v>
      </c>
      <c r="G44" s="3142"/>
      <c r="H44" s="118">
        <f>SUMIF(126:126,G44,127:127)-SUMIF(126:126,C44,127:127)+100</f>
        <v>100</v>
      </c>
      <c r="I44" s="3142"/>
      <c r="J44" s="118">
        <f>SUMIF(126:126,I44,127:127)-SUMIF(126:126,C44,127:127)+100</f>
        <v>100</v>
      </c>
      <c r="K44" s="1745"/>
      <c r="L44" s="2483"/>
      <c r="M44" s="2434"/>
      <c r="N44" s="2434"/>
      <c r="O44" s="2434"/>
      <c r="P44" s="3427"/>
      <c r="Q44" s="529">
        <f t="shared" si="8"/>
        <v>0</v>
      </c>
      <c r="R44" s="663" t="s">
        <v>18</v>
      </c>
      <c r="S44" s="664">
        <f t="shared" si="9"/>
        <v>100</v>
      </c>
      <c r="T44" s="663" t="s">
        <v>18</v>
      </c>
      <c r="U44" s="664">
        <f t="shared" si="10"/>
        <v>100</v>
      </c>
      <c r="V44" s="663" t="s">
        <v>18</v>
      </c>
      <c r="W44" s="664">
        <f t="shared" si="11"/>
        <v>100</v>
      </c>
      <c r="X44" s="665"/>
      <c r="Y44" s="3429"/>
      <c r="Z44" s="50">
        <f t="shared" si="15"/>
        <v>0</v>
      </c>
      <c r="AA44" s="50">
        <f t="shared" si="12"/>
        <v>1</v>
      </c>
      <c r="AB44" s="50">
        <f t="shared" si="13"/>
        <v>1</v>
      </c>
      <c r="AC44" s="50">
        <f t="shared" si="14"/>
        <v>1</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27"/>
      <c r="Q45" s="1261">
        <f t="shared" si="8"/>
        <v>0</v>
      </c>
      <c r="R45" s="666" t="s">
        <v>18</v>
      </c>
      <c r="S45" s="667">
        <f t="shared" si="9"/>
        <v>100</v>
      </c>
      <c r="T45" s="666" t="s">
        <v>18</v>
      </c>
      <c r="U45" s="667">
        <f t="shared" si="10"/>
        <v>100</v>
      </c>
      <c r="V45" s="666" t="s">
        <v>18</v>
      </c>
      <c r="W45" s="667">
        <f t="shared" si="11"/>
        <v>100</v>
      </c>
      <c r="X45" s="1263"/>
      <c r="Y45" s="3429"/>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28"/>
      <c r="Q46" s="1261">
        <f t="shared" si="8"/>
        <v>111</v>
      </c>
      <c r="R46" s="666" t="s">
        <v>17</v>
      </c>
      <c r="S46" s="667">
        <f t="shared" si="9"/>
        <v>100</v>
      </c>
      <c r="T46" s="666" t="s">
        <v>17</v>
      </c>
      <c r="U46" s="667">
        <f t="shared" si="10"/>
        <v>100</v>
      </c>
      <c r="V46" s="666" t="s">
        <v>17</v>
      </c>
      <c r="W46" s="667">
        <f t="shared" si="11"/>
        <v>100</v>
      </c>
      <c r="X46" s="1263"/>
      <c r="Y46" s="3430"/>
      <c r="Z46" s="1262">
        <f t="shared" si="15"/>
        <v>111</v>
      </c>
      <c r="AA46" s="1262">
        <f t="shared" si="12"/>
        <v>1</v>
      </c>
      <c r="AB46" s="1262">
        <f t="shared" si="13"/>
        <v>1</v>
      </c>
      <c r="AC46" s="1262">
        <f t="shared" si="14"/>
        <v>1</v>
      </c>
    </row>
    <row r="47" spans="1:29" ht="15">
      <c r="A47" s="415" t="s">
        <v>1706</v>
      </c>
      <c r="B47" s="416"/>
      <c r="C47" s="1080" t="s">
        <v>16</v>
      </c>
      <c r="D47" s="417"/>
      <c r="E47" s="418">
        <f>案例!J2</f>
        <v>53305</v>
      </c>
      <c r="F47" s="419"/>
      <c r="G47" s="420">
        <f>案例!$J$3</f>
        <v>47772</v>
      </c>
      <c r="H47" s="421"/>
      <c r="I47" s="418">
        <f>案例!$J$4</f>
        <v>45595</v>
      </c>
      <c r="J47" s="421"/>
      <c r="K47" s="1762"/>
      <c r="L47" s="2489"/>
      <c r="M47" s="2482"/>
      <c r="N47" s="2482"/>
      <c r="O47" s="2482"/>
      <c r="P47" s="3423" t="str">
        <f>A47</f>
        <v>成交单价（元/平方米）</v>
      </c>
      <c r="Q47" s="3423"/>
      <c r="R47" s="3418">
        <f>E47</f>
        <v>53305</v>
      </c>
      <c r="S47" s="3418"/>
      <c r="T47" s="3418">
        <f>G47</f>
        <v>47772</v>
      </c>
      <c r="U47" s="3418"/>
      <c r="V47" s="3418">
        <f>I47</f>
        <v>45595</v>
      </c>
      <c r="W47" s="3418"/>
      <c r="X47" s="384"/>
      <c r="Y47" s="672"/>
      <c r="Z47" s="384"/>
      <c r="AA47" s="384"/>
      <c r="AB47" s="384"/>
      <c r="AC47" s="384"/>
    </row>
    <row r="48" spans="1:29" ht="15.75" thickBot="1">
      <c r="A48" s="422" t="s">
        <v>1707</v>
      </c>
      <c r="B48" s="423"/>
      <c r="C48" s="1081">
        <f>R49</f>
        <v>49944</v>
      </c>
      <c r="D48" s="2136" t="s">
        <v>2135</v>
      </c>
      <c r="E48" s="1082">
        <f>R48</f>
        <v>52829</v>
      </c>
      <c r="F48" s="2137"/>
      <c r="G48" s="1081">
        <f>T48</f>
        <v>49002</v>
      </c>
      <c r="H48" s="2137"/>
      <c r="I48" s="1082">
        <f>V48</f>
        <v>48000</v>
      </c>
      <c r="J48" s="2137"/>
      <c r="K48" s="2138">
        <f>F48+H48+J48</f>
        <v>0</v>
      </c>
      <c r="L48" s="2489"/>
      <c r="M48" s="2482"/>
      <c r="N48" s="2482"/>
      <c r="O48" s="2482"/>
      <c r="P48" s="3423" t="str">
        <f>A48</f>
        <v>比较价值（元/平方米）</v>
      </c>
      <c r="Q48" s="3423"/>
      <c r="R48" s="3418">
        <f>IF(F1="售价",ROUND(PRODUCT(R47,AA7:AA46),0),ROUND(PRODUCT(R47,AA7:AA46),1))</f>
        <v>52829</v>
      </c>
      <c r="S48" s="3418"/>
      <c r="T48" s="3418">
        <f>IF(F1="售价",ROUND(PRODUCT(T47,AB7:AB46),0),ROUND(PRODUCT(T47,AB7:AB46),1))</f>
        <v>49002</v>
      </c>
      <c r="U48" s="3418"/>
      <c r="V48" s="3418">
        <f>IF(F1="售价",ROUND(PRODUCT(V47,AC7:AC46),0),ROUND(PRODUCT(V47,AC7:AC46),1))</f>
        <v>48000</v>
      </c>
      <c r="W48" s="3418"/>
      <c r="X48" s="384"/>
      <c r="Y48" s="384"/>
      <c r="Z48" s="384"/>
      <c r="AA48" s="384"/>
      <c r="AB48" s="384"/>
      <c r="AC48" s="384"/>
    </row>
    <row r="49" spans="1:29" ht="15.75" thickBot="1">
      <c r="A49" s="426" t="s">
        <v>1708</v>
      </c>
      <c r="B49" s="427"/>
      <c r="C49" s="1083">
        <f>R49</f>
        <v>49944</v>
      </c>
      <c r="D49" s="350"/>
      <c r="E49" s="350"/>
      <c r="F49" s="350"/>
      <c r="G49" s="350"/>
      <c r="H49" s="350"/>
      <c r="I49" s="350"/>
      <c r="J49" s="350"/>
      <c r="K49" s="1763"/>
      <c r="L49" s="2489"/>
      <c r="M49" s="2482"/>
      <c r="N49" s="2482"/>
      <c r="O49" s="2482"/>
      <c r="P49" s="3420" t="str">
        <f>A49</f>
        <v>估价对象XX用房的比较价值（楼面单价，元/平方米）</v>
      </c>
      <c r="Q49" s="3421"/>
      <c r="R49" s="3422">
        <f>IF(F1="售价",ROUND(IF(D48="简单平均",AVERAGE(R48:V48),R48*F48+T48*H48+V48*J48),0),ROUND(IF(D48="简单平均",AVERAGE(R48:V48),R48*F48+T48*H48+V48*J48),1))</f>
        <v>49944</v>
      </c>
      <c r="S49" s="3422"/>
      <c r="T49" s="3422"/>
      <c r="U49" s="3422"/>
      <c r="V49" s="3422"/>
      <c r="W49" s="3422"/>
      <c r="X49" s="384"/>
      <c r="Y49" s="384"/>
      <c r="Z49" s="384"/>
      <c r="AA49" s="384"/>
      <c r="AB49" s="384"/>
      <c r="AC49" s="384"/>
    </row>
    <row r="50" spans="1:29">
      <c r="A50" s="2482"/>
      <c r="B50" s="2482"/>
      <c r="C50" s="2482"/>
      <c r="D50" s="2482"/>
      <c r="E50" s="2482"/>
      <c r="F50" s="2482"/>
      <c r="G50" s="2482"/>
      <c r="H50" s="2482"/>
      <c r="I50" s="2482"/>
      <c r="J50" s="2482"/>
      <c r="K50" s="2494"/>
      <c r="L50" s="2490"/>
      <c r="M50" s="2482"/>
      <c r="N50" s="2482"/>
      <c r="O50" s="2482"/>
    </row>
    <row r="51" spans="1:29">
      <c r="A51" s="2482"/>
      <c r="B51" s="2482"/>
      <c r="C51" s="2482"/>
      <c r="D51" s="2482"/>
      <c r="E51" s="2482">
        <f>ROUND((1-(2025-2003)/60)*0.3+0.9*0.7,2)</f>
        <v>0.82</v>
      </c>
      <c r="F51" s="2482"/>
      <c r="G51" s="2482">
        <f>ROUND((1-(2025-2010)/60)*0.3+0.95*0.7,2)</f>
        <v>0.89</v>
      </c>
      <c r="H51" s="2482"/>
      <c r="I51" s="2482">
        <f>ROUND((1-(2025-2010)/60)*0.3+0.95*0.7,2)</f>
        <v>0.89</v>
      </c>
      <c r="J51" s="2482"/>
      <c r="K51" s="2494"/>
      <c r="L51" s="2490"/>
      <c r="M51" s="2482"/>
      <c r="N51" s="2482"/>
      <c r="O51" s="2482"/>
    </row>
    <row r="52" spans="1:29" ht="13.5" customHeight="1">
      <c r="A52" s="2482"/>
      <c r="B52" s="2482"/>
      <c r="C52" s="431" t="s">
        <v>1709</v>
      </c>
      <c r="D52" s="432"/>
      <c r="E52" s="433">
        <f>IF(E47&lt;E48,E48/E47-1,E47/E48-1)</f>
        <v>9.010202729561323E-3</v>
      </c>
      <c r="F52" s="434" t="str">
        <f>IF(OR(E52&gt;=0.3,E52&lt;=-0.3),"超过30%","")</f>
        <v/>
      </c>
      <c r="G52" s="433">
        <f>IF(G47&lt;G48,G48/G47-1,G47/G48-1)</f>
        <v>2.5747299673448909E-2</v>
      </c>
      <c r="H52" s="434" t="str">
        <f>IF(OR(G52&gt;=0.3,G52&lt;=-0.3),"超过30%","")</f>
        <v/>
      </c>
      <c r="I52" s="433">
        <f>IF(I47&lt;I48,I48/I47-1,I47/I48-1)</f>
        <v>5.2747011733742744E-2</v>
      </c>
      <c r="J52" s="434" t="str">
        <f>IF(OR(I52&gt;=0.3,I52&lt;=-0.3),"超过30%","")</f>
        <v/>
      </c>
      <c r="K52" s="2494"/>
      <c r="L52" s="2490"/>
      <c r="M52" s="2482"/>
      <c r="N52" s="2482"/>
      <c r="O52" s="2482"/>
    </row>
    <row r="53" spans="1:29" ht="13.5" customHeight="1">
      <c r="A53" s="2482"/>
      <c r="B53" s="2482"/>
      <c r="C53" s="431" t="s">
        <v>1710</v>
      </c>
      <c r="D53" s="435"/>
      <c r="E53" s="433">
        <f>IF(E48&lt;G48,G48/E48-1,E48/G48-1)</f>
        <v>7.8098853108036437E-2</v>
      </c>
      <c r="F53" s="434" t="str">
        <f>IF(OR(E53&gt;=0.2,E53&lt;=-0.2),"超过20%","")</f>
        <v/>
      </c>
      <c r="G53" s="433">
        <f>IF(G48&lt;I48,I48/G48-1,G48/I48-1)</f>
        <v>2.0874999999999977E-2</v>
      </c>
      <c r="H53" s="434" t="str">
        <f>IF(OR(G53&gt;=0.2,G53&lt;=-0.2),"超过20%","")</f>
        <v/>
      </c>
      <c r="I53" s="433">
        <f>IF(I48&lt;E48,E48/I48-1,I48/E48-1)</f>
        <v>0.10060416666666661</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0.11582098300259558</v>
      </c>
      <c r="F54" s="434" t="str">
        <f>IF(OR(E54&gt;=0.3,E54&lt;=-0.3),"超过30%","")</f>
        <v/>
      </c>
      <c r="G54" s="433">
        <f>IF(G47&lt;I47,I47/G47-1,G47/I47-1)</f>
        <v>4.7746463428007369E-2</v>
      </c>
      <c r="H54" s="434" t="str">
        <f>IF(OR(G54&gt;=0.3,G54&lt;=-0.3),"超过30%","")</f>
        <v/>
      </c>
      <c r="I54" s="433">
        <f>IF(I47&lt;E47,E47/I47-1,I47/E47-1)</f>
        <v>0.16909748875973252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2025-3</v>
      </c>
      <c r="D58" s="1102">
        <f>EDATE(C58,-1)</f>
        <v>45689</v>
      </c>
      <c r="E58" s="1102">
        <f>EDATE(D58,-1)</f>
        <v>45658</v>
      </c>
      <c r="F58" s="1102">
        <f t="shared" ref="F58:O58" si="16">EDATE(E58,-1)</f>
        <v>45627</v>
      </c>
      <c r="G58" s="1102">
        <f t="shared" si="16"/>
        <v>45597</v>
      </c>
      <c r="H58" s="1102">
        <f t="shared" si="16"/>
        <v>45566</v>
      </c>
      <c r="I58" s="1102">
        <f t="shared" si="16"/>
        <v>45536</v>
      </c>
      <c r="J58" s="1102">
        <f t="shared" si="16"/>
        <v>45505</v>
      </c>
      <c r="K58" s="1102">
        <f t="shared" si="16"/>
        <v>45474</v>
      </c>
      <c r="L58" s="1102">
        <f t="shared" si="16"/>
        <v>45444</v>
      </c>
      <c r="M58" s="1102">
        <f t="shared" si="16"/>
        <v>45413</v>
      </c>
      <c r="N58" s="1102">
        <f t="shared" si="16"/>
        <v>45383</v>
      </c>
      <c r="O58" s="1102">
        <f t="shared" si="16"/>
        <v>45352</v>
      </c>
      <c r="P58" s="3143">
        <f t="shared" ref="P58:AB58" si="17">EDATE(O58,-1)</f>
        <v>45323</v>
      </c>
      <c r="Q58" s="3143">
        <f t="shared" si="17"/>
        <v>45292</v>
      </c>
      <c r="R58" s="3143">
        <f t="shared" si="17"/>
        <v>45261</v>
      </c>
      <c r="S58" s="3143">
        <f t="shared" si="17"/>
        <v>45231</v>
      </c>
      <c r="T58" s="3143">
        <f t="shared" si="17"/>
        <v>45200</v>
      </c>
      <c r="U58" s="3143">
        <f t="shared" si="17"/>
        <v>45170</v>
      </c>
      <c r="V58" s="3143">
        <f t="shared" si="17"/>
        <v>45139</v>
      </c>
      <c r="W58" s="3143">
        <f t="shared" si="17"/>
        <v>45108</v>
      </c>
      <c r="X58" s="3143">
        <f t="shared" si="17"/>
        <v>45078</v>
      </c>
      <c r="Y58" s="3143">
        <f t="shared" si="17"/>
        <v>45047</v>
      </c>
      <c r="Z58" s="3143">
        <f t="shared" si="17"/>
        <v>45017</v>
      </c>
      <c r="AA58" s="3143">
        <f t="shared" si="17"/>
        <v>44986</v>
      </c>
      <c r="AB58" s="3143">
        <f t="shared" si="17"/>
        <v>44958</v>
      </c>
    </row>
    <row r="59" spans="1:29" s="101" customFormat="1" ht="15">
      <c r="A59" s="442"/>
      <c r="B59" s="1767"/>
      <c r="C59" s="1100">
        <v>100</v>
      </c>
      <c r="D59" s="445">
        <f>C59</f>
        <v>100</v>
      </c>
      <c r="E59" s="445">
        <f>D59</f>
        <v>100</v>
      </c>
      <c r="F59" s="445">
        <f>E59-$C$60</f>
        <v>97.5</v>
      </c>
      <c r="G59" s="445">
        <f>F59</f>
        <v>97.5</v>
      </c>
      <c r="H59" s="445">
        <f>G59</f>
        <v>97.5</v>
      </c>
      <c r="I59" s="445">
        <f>H59-$C$60</f>
        <v>95</v>
      </c>
      <c r="J59" s="445">
        <f>I59</f>
        <v>95</v>
      </c>
      <c r="K59" s="445">
        <f>J59</f>
        <v>95</v>
      </c>
      <c r="L59" s="445">
        <f>K59-$C$60</f>
        <v>92.5</v>
      </c>
      <c r="M59" s="445">
        <f>L59</f>
        <v>92.5</v>
      </c>
      <c r="N59" s="445">
        <f>M59</f>
        <v>92.5</v>
      </c>
      <c r="O59" s="445">
        <f t="shared" ref="O59" si="18">N59+$C$60</f>
        <v>95</v>
      </c>
      <c r="P59" s="445">
        <f t="shared" ref="P59" si="19">O59</f>
        <v>95</v>
      </c>
      <c r="Q59" s="445">
        <f t="shared" ref="Q59" si="20">P59+$C$60</f>
        <v>97.5</v>
      </c>
      <c r="R59" s="445">
        <f t="shared" ref="R59:S59" si="21">Q59</f>
        <v>97.5</v>
      </c>
      <c r="S59" s="445">
        <f t="shared" si="21"/>
        <v>97.5</v>
      </c>
      <c r="T59" s="101">
        <f>S59</f>
        <v>97.5</v>
      </c>
      <c r="U59" s="101">
        <f>T59</f>
        <v>97.5</v>
      </c>
      <c r="V59" s="101">
        <f>U59-C60</f>
        <v>95</v>
      </c>
      <c r="W59" s="101">
        <f>V59</f>
        <v>95</v>
      </c>
      <c r="X59" s="101">
        <f>V59</f>
        <v>95</v>
      </c>
      <c r="Y59" s="101">
        <f>X59-C60</f>
        <v>92.5</v>
      </c>
      <c r="Z59" s="101">
        <f>Y59</f>
        <v>92.5</v>
      </c>
      <c r="AA59" s="101">
        <f>Y59</f>
        <v>92.5</v>
      </c>
      <c r="AB59" s="101">
        <f>AA59-C60</f>
        <v>90</v>
      </c>
    </row>
    <row r="60" spans="1:29" s="101" customFormat="1" ht="15.75" thickBot="1">
      <c r="A60" s="448" t="s">
        <v>1714</v>
      </c>
      <c r="B60" s="449"/>
      <c r="C60" s="450">
        <v>2.5</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3451</v>
      </c>
      <c r="D65" s="3145" t="s">
        <v>3452</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2">D68&amp;"（含）"&amp;"-"&amp;E68</f>
        <v>1（含）-2</v>
      </c>
      <c r="E67" s="477" t="str">
        <f t="shared" si="22"/>
        <v>2（含）-3</v>
      </c>
      <c r="F67" s="477" t="str">
        <f t="shared" si="22"/>
        <v>3（含）-</v>
      </c>
      <c r="G67" s="477" t="str">
        <f t="shared" si="22"/>
        <v>（含）-</v>
      </c>
      <c r="H67" s="477" t="str">
        <f t="shared" si="22"/>
        <v>（含）-</v>
      </c>
      <c r="I67" s="477" t="str">
        <f t="shared" si="22"/>
        <v>（含）-</v>
      </c>
      <c r="J67" s="477" t="str">
        <f t="shared" si="22"/>
        <v>（含）-</v>
      </c>
      <c r="K67" s="477" t="str">
        <f>K68&amp;"（含）"&amp;"-"&amp;L68</f>
        <v>（含）-</v>
      </c>
      <c r="L67" s="477" t="str">
        <f t="shared" si="22"/>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3">C69-$K11</f>
        <v>100</v>
      </c>
      <c r="E69" s="474">
        <f t="shared" si="23"/>
        <v>100</v>
      </c>
      <c r="F69" s="474">
        <f t="shared" si="23"/>
        <v>100</v>
      </c>
      <c r="G69" s="474">
        <f t="shared" si="23"/>
        <v>100</v>
      </c>
      <c r="H69" s="474">
        <f t="shared" si="23"/>
        <v>100</v>
      </c>
      <c r="I69" s="474">
        <f t="shared" si="23"/>
        <v>100</v>
      </c>
      <c r="J69" s="474">
        <f t="shared" si="23"/>
        <v>100</v>
      </c>
      <c r="K69" s="474">
        <f t="shared" si="23"/>
        <v>100</v>
      </c>
      <c r="L69" s="474">
        <f t="shared" si="23"/>
        <v>100</v>
      </c>
      <c r="M69" s="475">
        <f t="shared" si="23"/>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4">$C$87-($C$86-D86)*$K$25</f>
        <v>100</v>
      </c>
      <c r="E87" s="474">
        <f t="shared" si="24"/>
        <v>100</v>
      </c>
      <c r="F87" s="474">
        <f t="shared" si="24"/>
        <v>100</v>
      </c>
      <c r="G87" s="474">
        <f t="shared" si="24"/>
        <v>100</v>
      </c>
      <c r="H87" s="474">
        <f t="shared" si="24"/>
        <v>100</v>
      </c>
      <c r="I87" s="474">
        <f t="shared" si="24"/>
        <v>100</v>
      </c>
      <c r="J87" s="474">
        <f t="shared" si="24"/>
        <v>100</v>
      </c>
      <c r="K87" s="474">
        <f t="shared" si="24"/>
        <v>100</v>
      </c>
      <c r="L87" s="474">
        <f t="shared" si="24"/>
        <v>100</v>
      </c>
      <c r="M87" s="474">
        <f t="shared" si="24"/>
        <v>100</v>
      </c>
      <c r="N87" s="879"/>
      <c r="O87" s="879"/>
      <c r="P87" s="1770"/>
      <c r="Q87" s="438"/>
    </row>
    <row r="88" spans="1:17" s="101" customFormat="1" ht="15.75" thickTop="1">
      <c r="A88" s="369"/>
      <c r="B88" s="468" t="s">
        <v>1733</v>
      </c>
      <c r="C88" s="3158" t="s">
        <v>3422</v>
      </c>
      <c r="D88" s="3145" t="s">
        <v>3423</v>
      </c>
      <c r="E88" s="3145" t="s">
        <v>3424</v>
      </c>
      <c r="F88" s="3145" t="s">
        <v>3425</v>
      </c>
      <c r="G88" s="3145" t="s">
        <v>3426</v>
      </c>
      <c r="H88" s="3145" t="s">
        <v>3427</v>
      </c>
      <c r="I88" s="3159" t="s">
        <v>3428</v>
      </c>
      <c r="J88" s="3159" t="s">
        <v>3429</v>
      </c>
      <c r="K88" s="3145" t="s">
        <v>3430</v>
      </c>
      <c r="L88" s="3145" t="s">
        <v>3431</v>
      </c>
      <c r="M88" s="3145"/>
      <c r="N88" s="877"/>
      <c r="O88" s="877"/>
      <c r="P88" s="1770"/>
      <c r="Q88" s="438"/>
    </row>
    <row r="89" spans="1:17" s="101" customFormat="1" ht="15.75" thickBot="1">
      <c r="A89" s="369"/>
      <c r="B89" s="473"/>
      <c r="C89" s="511">
        <v>100</v>
      </c>
      <c r="D89" s="474">
        <f t="shared" ref="D89:M89" si="25">C89-$K26</f>
        <v>99</v>
      </c>
      <c r="E89" s="474">
        <f t="shared" si="25"/>
        <v>98</v>
      </c>
      <c r="F89" s="474">
        <f t="shared" si="25"/>
        <v>97</v>
      </c>
      <c r="G89" s="474">
        <f t="shared" si="25"/>
        <v>96</v>
      </c>
      <c r="H89" s="474">
        <f t="shared" si="25"/>
        <v>95</v>
      </c>
      <c r="I89" s="474">
        <f t="shared" si="25"/>
        <v>94</v>
      </c>
      <c r="J89" s="474">
        <f t="shared" si="25"/>
        <v>93</v>
      </c>
      <c r="K89" s="474">
        <f t="shared" si="25"/>
        <v>92</v>
      </c>
      <c r="L89" s="474">
        <f t="shared" si="25"/>
        <v>91</v>
      </c>
      <c r="M89" s="474">
        <f t="shared" si="25"/>
        <v>90</v>
      </c>
      <c r="N89" s="879"/>
      <c r="O89" s="879"/>
      <c r="P89" s="1770"/>
      <c r="Q89" s="438"/>
    </row>
    <row r="90" spans="1:17" s="407" customFormat="1" ht="15.75" thickTop="1">
      <c r="A90" s="483"/>
      <c r="B90" s="468" t="str">
        <f>B27</f>
        <v>楼层</v>
      </c>
      <c r="C90" s="3169" t="s">
        <v>3454</v>
      </c>
      <c r="D90" s="3169" t="s">
        <v>3455</v>
      </c>
      <c r="E90" s="3169" t="s">
        <v>3456</v>
      </c>
      <c r="F90" s="3169" t="s">
        <v>3459</v>
      </c>
      <c r="G90" s="3169"/>
      <c r="H90" s="3169"/>
      <c r="I90" s="485"/>
      <c r="J90" s="485"/>
      <c r="K90" s="485"/>
      <c r="L90" s="486"/>
      <c r="M90" s="487"/>
      <c r="N90" s="880"/>
      <c r="O90" s="880"/>
      <c r="P90" s="1771"/>
      <c r="Q90" s="489"/>
    </row>
    <row r="91" spans="1:17" s="407" customFormat="1" ht="15.75" thickBot="1">
      <c r="A91" s="483"/>
      <c r="B91" s="473"/>
      <c r="C91" s="407">
        <f>D91+$J$91</f>
        <v>101</v>
      </c>
      <c r="D91" s="407">
        <v>100</v>
      </c>
      <c r="E91" s="407">
        <f>D91-$J$91</f>
        <v>99</v>
      </c>
      <c r="F91" s="407">
        <f>E91-$J$91</f>
        <v>98</v>
      </c>
      <c r="G91" s="490"/>
      <c r="I91" s="492"/>
      <c r="J91" s="492">
        <v>1</v>
      </c>
      <c r="K91" s="492"/>
      <c r="L91" s="492"/>
      <c r="M91" s="493"/>
      <c r="N91" s="880"/>
      <c r="O91" s="880"/>
      <c r="P91" s="1771"/>
      <c r="Q91" s="489"/>
    </row>
    <row r="92" spans="1:17" ht="15.75" thickTop="1">
      <c r="A92" s="366"/>
      <c r="B92" s="468" t="str">
        <f>B28</f>
        <v>道路级别</v>
      </c>
      <c r="C92" s="3139" t="s">
        <v>3435</v>
      </c>
      <c r="D92" s="3139" t="s">
        <v>3434</v>
      </c>
      <c r="E92" s="3139" t="s">
        <v>3437</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3442</v>
      </c>
      <c r="D100" s="3144" t="s">
        <v>3443</v>
      </c>
      <c r="E100" s="3144" t="s">
        <v>3432</v>
      </c>
      <c r="F100" s="3144" t="s">
        <v>3471</v>
      </c>
      <c r="G100" s="461"/>
      <c r="H100" s="461"/>
      <c r="I100" s="461"/>
      <c r="J100" s="461"/>
      <c r="K100" s="462"/>
      <c r="L100" s="463"/>
      <c r="M100" s="464"/>
      <c r="N100" s="878"/>
      <c r="O100" s="878"/>
      <c r="P100" s="1770"/>
      <c r="Q100" s="438"/>
    </row>
    <row r="101" spans="1:17" ht="15.75" thickBot="1">
      <c r="A101" s="366"/>
      <c r="B101" s="473"/>
      <c r="C101" s="474">
        <v>100</v>
      </c>
      <c r="D101" s="474">
        <f t="shared" ref="D101:M101" si="26">C101-$K32</f>
        <v>99</v>
      </c>
      <c r="E101" s="474">
        <f t="shared" si="26"/>
        <v>98</v>
      </c>
      <c r="F101" s="474">
        <f t="shared" si="26"/>
        <v>97</v>
      </c>
      <c r="G101" s="474">
        <f t="shared" si="26"/>
        <v>96</v>
      </c>
      <c r="H101" s="474">
        <f t="shared" si="26"/>
        <v>95</v>
      </c>
      <c r="I101" s="474">
        <f t="shared" si="26"/>
        <v>94</v>
      </c>
      <c r="J101" s="474">
        <f t="shared" si="26"/>
        <v>93</v>
      </c>
      <c r="K101" s="474">
        <f t="shared" si="26"/>
        <v>92</v>
      </c>
      <c r="L101" s="474">
        <f t="shared" si="26"/>
        <v>91</v>
      </c>
      <c r="M101" s="474">
        <f t="shared" si="26"/>
        <v>90</v>
      </c>
      <c r="N101" s="879"/>
      <c r="O101" s="879"/>
      <c r="P101" s="1770"/>
      <c r="Q101" s="438"/>
    </row>
    <row r="102" spans="1:17" ht="15.75" thickTop="1">
      <c r="A102" s="366"/>
      <c r="B102" s="468" t="s">
        <v>1735</v>
      </c>
      <c r="C102" s="508" t="str">
        <f>C103&amp;"(含)"&amp;"-"&amp;D103</f>
        <v>0(含)-60</v>
      </c>
      <c r="D102" s="508" t="str">
        <f t="shared" ref="D102:L102" si="27">D103&amp;"(含)"&amp;"-"&amp;E103</f>
        <v>60(含)-80</v>
      </c>
      <c r="E102" s="508" t="str">
        <f t="shared" si="27"/>
        <v>80(含)-100</v>
      </c>
      <c r="F102" s="508" t="str">
        <f t="shared" si="27"/>
        <v>100(含)-120</v>
      </c>
      <c r="G102" s="508" t="str">
        <f t="shared" si="27"/>
        <v>120(含)-140</v>
      </c>
      <c r="H102" s="508" t="str">
        <f t="shared" si="27"/>
        <v>140(含)-</v>
      </c>
      <c r="I102" s="508" t="str">
        <f t="shared" si="27"/>
        <v>(含)-</v>
      </c>
      <c r="J102" s="508" t="str">
        <f t="shared" si="27"/>
        <v>(含)-</v>
      </c>
      <c r="K102" s="508" t="str">
        <f>K103&amp;"(含)"&amp;"-"&amp;L103</f>
        <v>(含)-2</v>
      </c>
      <c r="L102" s="508" t="str">
        <f t="shared" si="27"/>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525"/>
      <c r="J103" s="525"/>
      <c r="K103" s="525"/>
      <c r="L103" s="523">
        <v>2</v>
      </c>
      <c r="M103" s="525"/>
      <c r="N103" s="880"/>
      <c r="O103" s="880"/>
      <c r="P103" s="1771"/>
      <c r="Q103" s="489"/>
    </row>
    <row r="104" spans="1:17" s="407" customFormat="1" ht="15.75" thickBot="1">
      <c r="A104" s="483"/>
      <c r="B104" s="473"/>
      <c r="C104" s="466">
        <f t="shared" ref="C104" si="28">D104+$L$103</f>
        <v>106</v>
      </c>
      <c r="D104" s="466">
        <f t="shared" ref="D104" si="29">E104+$L$103</f>
        <v>104</v>
      </c>
      <c r="E104" s="466">
        <f>F104+$L$103</f>
        <v>102</v>
      </c>
      <c r="F104" s="466">
        <v>100</v>
      </c>
      <c r="G104" s="466">
        <f>F104-$L$103</f>
        <v>98</v>
      </c>
      <c r="H104" s="466">
        <f>G104-$L$103</f>
        <v>96</v>
      </c>
      <c r="I104" s="466"/>
      <c r="J104" s="466"/>
      <c r="K104" s="466"/>
      <c r="L104" s="466"/>
      <c r="M104" s="466"/>
      <c r="N104" s="879"/>
      <c r="O104" s="879"/>
      <c r="P104" s="1771"/>
      <c r="Q104" s="489"/>
    </row>
    <row r="105" spans="1:17" ht="15" thickTop="1">
      <c r="A105" s="408"/>
      <c r="B105" s="468" t="s">
        <v>1736</v>
      </c>
      <c r="C105" s="3139" t="s">
        <v>3411</v>
      </c>
      <c r="D105" s="3139" t="s">
        <v>3439</v>
      </c>
      <c r="E105" s="3145" t="s">
        <v>3453</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0">C106-$K34</f>
        <v>99.5</v>
      </c>
      <c r="E106" s="474">
        <f t="shared" si="30"/>
        <v>99</v>
      </c>
      <c r="F106" s="474">
        <f t="shared" si="30"/>
        <v>98.5</v>
      </c>
      <c r="G106" s="474">
        <f t="shared" si="30"/>
        <v>98</v>
      </c>
      <c r="H106" s="474">
        <f t="shared" si="30"/>
        <v>97.5</v>
      </c>
      <c r="I106" s="474">
        <f t="shared" si="30"/>
        <v>97</v>
      </c>
      <c r="J106" s="474">
        <f t="shared" si="30"/>
        <v>96.5</v>
      </c>
      <c r="K106" s="474">
        <f t="shared" si="30"/>
        <v>96</v>
      </c>
      <c r="L106" s="474">
        <f t="shared" si="30"/>
        <v>95.5</v>
      </c>
      <c r="M106" s="474">
        <f t="shared" si="30"/>
        <v>95</v>
      </c>
      <c r="N106" s="879"/>
      <c r="O106" s="879"/>
      <c r="P106" s="1770"/>
      <c r="Q106" s="438"/>
    </row>
    <row r="107" spans="1:17" ht="15" thickTop="1">
      <c r="A107" s="408"/>
      <c r="B107" s="3165" t="s">
        <v>3444</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1">C108-$K35</f>
        <v>97</v>
      </c>
      <c r="E108" s="474">
        <f t="shared" si="31"/>
        <v>94</v>
      </c>
      <c r="F108" s="474">
        <f t="shared" si="31"/>
        <v>91</v>
      </c>
      <c r="G108" s="474">
        <f t="shared" si="31"/>
        <v>88</v>
      </c>
      <c r="H108" s="474">
        <f t="shared" si="31"/>
        <v>85</v>
      </c>
      <c r="I108" s="474">
        <f t="shared" si="31"/>
        <v>82</v>
      </c>
      <c r="J108" s="474">
        <f t="shared" si="31"/>
        <v>79</v>
      </c>
      <c r="K108" s="474">
        <f t="shared" si="31"/>
        <v>76</v>
      </c>
      <c r="L108" s="474">
        <f t="shared" si="31"/>
        <v>73</v>
      </c>
      <c r="M108" s="474">
        <f t="shared" si="31"/>
        <v>70</v>
      </c>
      <c r="N108" s="879"/>
      <c r="O108" s="879"/>
      <c r="P108" s="1770"/>
      <c r="Q108" s="438"/>
    </row>
    <row r="109" spans="1:17" ht="15" thickTop="1">
      <c r="A109" s="408"/>
      <c r="B109" s="468" t="s">
        <v>1737</v>
      </c>
      <c r="C109" s="3139" t="s">
        <v>3416</v>
      </c>
      <c r="D109" s="3139" t="s">
        <v>3412</v>
      </c>
      <c r="E109" s="3139" t="s">
        <v>3448</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2">C110-$K36</f>
        <v>100</v>
      </c>
      <c r="E110" s="474">
        <f t="shared" si="32"/>
        <v>100</v>
      </c>
      <c r="F110" s="474">
        <f t="shared" si="32"/>
        <v>100</v>
      </c>
      <c r="G110" s="474">
        <f t="shared" si="32"/>
        <v>100</v>
      </c>
      <c r="H110" s="474">
        <f t="shared" si="32"/>
        <v>100</v>
      </c>
      <c r="I110" s="474">
        <f t="shared" si="32"/>
        <v>100</v>
      </c>
      <c r="J110" s="474">
        <f t="shared" si="32"/>
        <v>100</v>
      </c>
      <c r="K110" s="474">
        <f t="shared" si="32"/>
        <v>100</v>
      </c>
      <c r="L110" s="474">
        <f t="shared" si="32"/>
        <v>100</v>
      </c>
      <c r="M110" s="474">
        <f t="shared" si="32"/>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101</v>
      </c>
      <c r="E113" s="474">
        <f>D113+$K37</f>
        <v>102</v>
      </c>
      <c r="F113" s="474">
        <f>E113+$K37</f>
        <v>103</v>
      </c>
      <c r="G113" s="474">
        <f>F113+$K37</f>
        <v>104</v>
      </c>
      <c r="H113" s="474">
        <f>G113+$K37</f>
        <v>105</v>
      </c>
      <c r="I113" s="511"/>
      <c r="J113" s="533"/>
      <c r="K113" s="533"/>
      <c r="L113" s="533"/>
      <c r="M113" s="534"/>
      <c r="N113" s="880"/>
      <c r="O113" s="880"/>
      <c r="P113" s="1771"/>
      <c r="Q113" s="489"/>
    </row>
    <row r="114" spans="1:17" ht="15" thickTop="1">
      <c r="A114" s="408"/>
      <c r="B114" s="468" t="s">
        <v>1738</v>
      </c>
      <c r="C114" s="3139" t="s">
        <v>3413</v>
      </c>
      <c r="D114" s="3139" t="s">
        <v>3438</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3">C115-$K38</f>
        <v>99</v>
      </c>
      <c r="E115" s="474">
        <f t="shared" si="33"/>
        <v>98</v>
      </c>
      <c r="F115" s="474">
        <f t="shared" si="33"/>
        <v>97</v>
      </c>
      <c r="G115" s="474">
        <f t="shared" si="33"/>
        <v>96</v>
      </c>
      <c r="H115" s="474">
        <f t="shared" si="33"/>
        <v>95</v>
      </c>
      <c r="I115" s="474">
        <f t="shared" si="33"/>
        <v>94</v>
      </c>
      <c r="J115" s="474">
        <f t="shared" si="33"/>
        <v>93</v>
      </c>
      <c r="K115" s="474">
        <f t="shared" si="33"/>
        <v>92</v>
      </c>
      <c r="L115" s="474">
        <f t="shared" si="33"/>
        <v>91</v>
      </c>
      <c r="M115" s="474">
        <f t="shared" si="33"/>
        <v>90</v>
      </c>
      <c r="N115" s="879"/>
      <c r="O115" s="879"/>
      <c r="P115" s="1770"/>
      <c r="Q115" s="438"/>
    </row>
    <row r="116" spans="1:17" ht="15" thickTop="1">
      <c r="A116" s="408"/>
      <c r="B116" s="468" t="s">
        <v>1739</v>
      </c>
      <c r="C116" s="3139" t="s">
        <v>3414</v>
      </c>
      <c r="D116" s="3139" t="s">
        <v>3415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3464</v>
      </c>
      <c r="D118" s="3145" t="s">
        <v>3465</v>
      </c>
      <c r="E118" s="3145" t="s">
        <v>3467</v>
      </c>
      <c r="F118" s="3145" t="s">
        <v>3468</v>
      </c>
      <c r="G118" s="512"/>
      <c r="H118" s="512"/>
      <c r="I118" s="512"/>
      <c r="J118" s="512"/>
      <c r="K118" s="513"/>
      <c r="L118" s="514"/>
      <c r="M118" s="515"/>
      <c r="N118" s="878"/>
      <c r="O118" s="878"/>
      <c r="P118" s="1770"/>
      <c r="Q118" s="438"/>
    </row>
    <row r="119" spans="1:17" ht="15.75" thickBot="1">
      <c r="A119" s="366"/>
      <c r="B119" s="473"/>
      <c r="C119" s="474">
        <v>100</v>
      </c>
      <c r="D119" s="474">
        <f t="shared" ref="D119:M119" si="34">C119-$K40</f>
        <v>99.5</v>
      </c>
      <c r="E119" s="474">
        <f t="shared" si="34"/>
        <v>99</v>
      </c>
      <c r="F119" s="474">
        <f t="shared" si="34"/>
        <v>98.5</v>
      </c>
      <c r="G119" s="474">
        <f t="shared" si="34"/>
        <v>98</v>
      </c>
      <c r="H119" s="474">
        <f t="shared" si="34"/>
        <v>97.5</v>
      </c>
      <c r="I119" s="474">
        <f t="shared" si="34"/>
        <v>97</v>
      </c>
      <c r="J119" s="474">
        <f t="shared" si="34"/>
        <v>96.5</v>
      </c>
      <c r="K119" s="474">
        <f t="shared" si="34"/>
        <v>96</v>
      </c>
      <c r="L119" s="474">
        <f t="shared" si="34"/>
        <v>95.5</v>
      </c>
      <c r="M119" s="474">
        <f t="shared" si="34"/>
        <v>95</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3416</v>
      </c>
      <c r="D122" s="3139" t="s">
        <v>3412</v>
      </c>
      <c r="E122" s="3139" t="s">
        <v>3448</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5">C123-$K42</f>
        <v>99.5</v>
      </c>
      <c r="E123" s="474">
        <f t="shared" si="35"/>
        <v>99</v>
      </c>
      <c r="F123" s="474">
        <f t="shared" si="35"/>
        <v>98.5</v>
      </c>
      <c r="G123" s="474">
        <f t="shared" si="35"/>
        <v>98</v>
      </c>
      <c r="H123" s="474">
        <f t="shared" si="35"/>
        <v>97.5</v>
      </c>
      <c r="I123" s="474">
        <f t="shared" si="35"/>
        <v>97</v>
      </c>
      <c r="J123" s="474">
        <f t="shared" si="35"/>
        <v>96.5</v>
      </c>
      <c r="K123" s="474">
        <f t="shared" si="35"/>
        <v>96</v>
      </c>
      <c r="L123" s="474">
        <f t="shared" si="35"/>
        <v>95.5</v>
      </c>
      <c r="M123" s="474">
        <f t="shared" si="35"/>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0</v>
      </c>
      <c r="C126" s="3183" t="s">
        <v>3469</v>
      </c>
      <c r="D126" s="3183" t="s">
        <v>3470</v>
      </c>
      <c r="E126" s="3183"/>
      <c r="F126" s="508"/>
      <c r="G126" s="508"/>
      <c r="H126" s="485"/>
      <c r="I126" s="485">
        <v>3</v>
      </c>
      <c r="J126" s="485"/>
      <c r="K126" s="485"/>
      <c r="L126" s="486"/>
      <c r="M126" s="487"/>
      <c r="N126" s="880"/>
      <c r="O126" s="880"/>
      <c r="P126" s="1771"/>
      <c r="Q126" s="489"/>
    </row>
    <row r="127" spans="1:17" s="407" customFormat="1" ht="15.75" thickBot="1">
      <c r="A127" s="483"/>
      <c r="B127" s="473"/>
      <c r="C127" s="466">
        <v>100</v>
      </c>
      <c r="D127" s="466">
        <f>C127+$I$126</f>
        <v>103</v>
      </c>
      <c r="E127" s="466">
        <f>D127-$I$126</f>
        <v>100</v>
      </c>
      <c r="F127" s="466">
        <f>E127-$I$126</f>
        <v>97</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1">
        <f>K37</f>
        <v>1</v>
      </c>
      <c r="J128" s="512"/>
      <c r="K128" s="513"/>
      <c r="L128" s="514"/>
      <c r="M128" s="515"/>
      <c r="N128" s="878"/>
      <c r="O128" s="878"/>
      <c r="P128" s="1770"/>
      <c r="Q128" s="438"/>
    </row>
    <row r="129" spans="1:17" ht="15.75" thickBot="1">
      <c r="A129" s="366"/>
      <c r="B129" s="473"/>
      <c r="C129" s="490">
        <f t="shared" ref="C129:D129" si="36">D129+$I$128</f>
        <v>103</v>
      </c>
      <c r="D129" s="490">
        <f t="shared" si="36"/>
        <v>102</v>
      </c>
      <c r="E129" s="490">
        <f>F129+$I$128</f>
        <v>101</v>
      </c>
      <c r="F129" s="490">
        <v>100</v>
      </c>
      <c r="G129" s="490">
        <f t="shared" ref="G129" si="37">F129-$I$128</f>
        <v>99</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6" stopIfTrue="1">
      <formula>$F$52="超过30%"</formula>
    </cfRule>
  </conditionalFormatting>
  <conditionalFormatting sqref="E53">
    <cfRule type="expression" dxfId="99" priority="13" stopIfTrue="1">
      <formula>$F$53="超过20%"</formula>
    </cfRule>
  </conditionalFormatting>
  <conditionalFormatting sqref="E54">
    <cfRule type="expression" dxfId="98" priority="12" stopIfTrue="1">
      <formula>$F$54="超过30%"</formula>
    </cfRule>
  </conditionalFormatting>
  <conditionalFormatting sqref="F7:F46 H7:H46">
    <cfRule type="cellIs" dxfId="97" priority="2" operator="notEqual">
      <formula>100</formula>
    </cfRule>
  </conditionalFormatting>
  <conditionalFormatting sqref="F52:F54 H52:H54 J52:J54">
    <cfRule type="containsText" dxfId="96" priority="17" stopIfTrue="1" operator="containsText" text="超过">
      <formula>NOT(ISERROR(SEARCH("超过",F52)))</formula>
    </cfRule>
  </conditionalFormatting>
  <conditionalFormatting sqref="G52">
    <cfRule type="expression" dxfId="95" priority="11" stopIfTrue="1">
      <formula>$H$52="超过30%"</formula>
    </cfRule>
  </conditionalFormatting>
  <conditionalFormatting sqref="G53">
    <cfRule type="expression" dxfId="94" priority="10" stopIfTrue="1">
      <formula>$H$53="超过20%"</formula>
    </cfRule>
  </conditionalFormatting>
  <conditionalFormatting sqref="G54">
    <cfRule type="expression" dxfId="93" priority="14" stopIfTrue="1">
      <formula>$H$54="超过30%"</formula>
    </cfRule>
  </conditionalFormatting>
  <conditionalFormatting sqref="I52">
    <cfRule type="expression" dxfId="92" priority="9" stopIfTrue="1">
      <formula>$J$52="超过30%"</formula>
    </cfRule>
  </conditionalFormatting>
  <conditionalFormatting sqref="I53">
    <cfRule type="expression" dxfId="91" priority="8" stopIfTrue="1">
      <formula>$J$53="超过20%"</formula>
    </cfRule>
  </conditionalFormatting>
  <conditionalFormatting sqref="I54">
    <cfRule type="expression" dxfId="90" priority="7" stopIfTrue="1">
      <formula>$J$54="超过30%"</formula>
    </cfRule>
  </conditionalFormatting>
  <conditionalFormatting sqref="J7:J46">
    <cfRule type="cellIs" dxfId="89"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I36 E42 C36 G42 G36 I42"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0" sqref="F4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46</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424.77089999999998</v>
      </c>
      <c r="C2" s="1287" t="s">
        <v>879</v>
      </c>
      <c r="D2" s="1373">
        <f ca="1">C40+J29+L46</f>
        <v>4247709</v>
      </c>
      <c r="E2" s="1293" t="s">
        <v>880</v>
      </c>
      <c r="F2" s="1294"/>
      <c r="G2" s="2473"/>
      <c r="H2" s="2463"/>
      <c r="I2" s="2463"/>
      <c r="J2" s="2463"/>
      <c r="K2" s="2464"/>
      <c r="L2" s="2463"/>
      <c r="M2" s="2463"/>
    </row>
    <row r="3" spans="1:37" ht="18" customHeight="1" thickBot="1">
      <c r="A3" s="1295" t="s">
        <v>881</v>
      </c>
      <c r="B3" s="1296">
        <f ca="1">IF(ISERROR(D2/F43),0,ROUND(D2/F43,0))</f>
        <v>38735</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142678</v>
      </c>
      <c r="D5" s="1271" t="s">
        <v>889</v>
      </c>
      <c r="E5" s="1007"/>
      <c r="F5" s="1008"/>
      <c r="G5" s="1290"/>
      <c r="H5" s="290">
        <v>1</v>
      </c>
      <c r="I5" s="291" t="s">
        <v>888</v>
      </c>
      <c r="J5" s="1006">
        <f ca="1">J6+J10+J12</f>
        <v>381.5123558650057</v>
      </c>
      <c r="K5" s="1271" t="s">
        <v>889</v>
      </c>
      <c r="L5" s="1007"/>
      <c r="M5" s="1008"/>
    </row>
    <row r="6" spans="1:37" ht="18" customHeight="1">
      <c r="A6" s="1005" t="s">
        <v>398</v>
      </c>
      <c r="B6" s="3384" t="s">
        <v>694</v>
      </c>
      <c r="C6" s="1010">
        <f ca="1">ROUND(F6*F8*F7*(1-F9),0)</f>
        <v>142500</v>
      </c>
      <c r="D6" s="146" t="s">
        <v>2103</v>
      </c>
      <c r="E6" s="293" t="s">
        <v>696</v>
      </c>
      <c r="F6" s="294">
        <f ca="1">INDIRECT("'数据-取费表'!u"&amp;$G$1)</f>
        <v>12500</v>
      </c>
      <c r="G6" s="1290"/>
      <c r="H6" s="1005" t="s">
        <v>398</v>
      </c>
      <c r="I6" s="3384" t="s">
        <v>694</v>
      </c>
      <c r="J6" s="292">
        <f ca="1">ROUND(M6*M8*M7*(1-M9),0)</f>
        <v>0</v>
      </c>
      <c r="K6" s="1282" t="s">
        <v>2104</v>
      </c>
      <c r="L6" s="293" t="s">
        <v>696</v>
      </c>
      <c r="M6" s="294">
        <f ca="1">INDIRECT("'数据-取费表'!z"&amp;$G$1)</f>
        <v>0</v>
      </c>
    </row>
    <row r="7" spans="1:37" ht="18" customHeight="1">
      <c r="A7" s="1009"/>
      <c r="B7" s="3385"/>
      <c r="C7" s="1011"/>
      <c r="D7" s="298"/>
      <c r="E7" s="1012" t="s">
        <v>697</v>
      </c>
      <c r="F7" s="294">
        <f ca="1">IF(INDIRECT("'数据-取费表'!ah"&amp;$G$1)="",INDIRECT("'数据-取费表'!k"&amp;$G$1),INDIRECT("'数据-取费表'!ah"&amp;$G$1))</f>
        <v>1</v>
      </c>
      <c r="G7" s="1290"/>
      <c r="H7" s="295"/>
      <c r="I7" s="3385"/>
      <c r="J7" s="297"/>
      <c r="K7" s="298"/>
      <c r="L7" s="293" t="s">
        <v>697</v>
      </c>
      <c r="M7" s="294">
        <f ca="1">F7</f>
        <v>1</v>
      </c>
    </row>
    <row r="8" spans="1:37" ht="18" customHeight="1">
      <c r="A8" s="295"/>
      <c r="B8" s="3385"/>
      <c r="C8" s="297"/>
      <c r="D8" s="298"/>
      <c r="E8" s="293" t="s">
        <v>698</v>
      </c>
      <c r="F8" s="294">
        <f ca="1">INDIRECT("'数据-取费表'!ai"&amp;$G$1)</f>
        <v>12</v>
      </c>
      <c r="G8" s="1290"/>
      <c r="H8" s="295"/>
      <c r="I8" s="3385"/>
      <c r="J8" s="297"/>
      <c r="K8" s="298"/>
      <c r="L8" s="293" t="s">
        <v>698</v>
      </c>
      <c r="M8" s="294">
        <f ca="1">INDIRECT("'数据-取费表'!ai"&amp;$G$1)</f>
        <v>12</v>
      </c>
    </row>
    <row r="9" spans="1:37" ht="18" customHeight="1">
      <c r="A9" s="295"/>
      <c r="B9" s="3386"/>
      <c r="C9" s="297"/>
      <c r="D9" s="298"/>
      <c r="E9" s="293" t="s">
        <v>699</v>
      </c>
      <c r="F9" s="303">
        <f ca="1">INDIRECT("'数据-取费表'!w"&amp;$G$1)</f>
        <v>0.05</v>
      </c>
      <c r="G9" s="1290"/>
      <c r="H9" s="295"/>
      <c r="I9" s="3386"/>
      <c r="J9" s="297"/>
      <c r="K9" s="298"/>
      <c r="L9" s="304" t="s">
        <v>699</v>
      </c>
      <c r="M9" s="305">
        <f ca="1">INDIRECT("'数据-取费表'!ab"&amp;$G$1)</f>
        <v>0</v>
      </c>
    </row>
    <row r="10" spans="1:37" ht="18" customHeight="1">
      <c r="A10" s="1005" t="s">
        <v>402</v>
      </c>
      <c r="B10" s="1272" t="s">
        <v>700</v>
      </c>
      <c r="C10" s="307">
        <f ca="1">ROUND(IF(F10="押一",C6/12*F11,IF(F10="押二",C6/12*2*F11,IF(F10="押三",C6/12*3*F11,C11*F11))),0)</f>
        <v>178</v>
      </c>
      <c r="D10" s="149" t="s">
        <v>2113</v>
      </c>
      <c r="E10" s="304" t="s">
        <v>701</v>
      </c>
      <c r="F10" s="1052" t="s">
        <v>3394</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583318</v>
      </c>
      <c r="D13" s="1017" t="s">
        <v>705</v>
      </c>
      <c r="E13" s="1017" t="s">
        <v>706</v>
      </c>
      <c r="F13" s="1018">
        <f ca="1">INDIRECT("'数据-取费表'!y"&amp;$G$1)</f>
        <v>0.89</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438640</v>
      </c>
      <c r="D14" s="1255" t="s">
        <v>708</v>
      </c>
      <c r="E14" s="1253"/>
      <c r="F14" s="310"/>
      <c r="G14" s="1290"/>
      <c r="H14" s="927" t="s">
        <v>398</v>
      </c>
      <c r="I14" s="293" t="s">
        <v>709</v>
      </c>
      <c r="J14" s="21">
        <f ca="1">C29</f>
        <v>655413</v>
      </c>
      <c r="K14" s="12"/>
      <c r="L14" s="758"/>
      <c r="M14" s="759"/>
    </row>
    <row r="15" spans="1:37" s="1302" customFormat="1" ht="18" customHeight="1" thickBot="1">
      <c r="A15" s="927" t="s">
        <v>399</v>
      </c>
      <c r="B15" s="293" t="s">
        <v>710</v>
      </c>
      <c r="C15" s="21">
        <f ca="1">ROUND(C14*F15,0)</f>
        <v>13159</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21932</v>
      </c>
      <c r="D16" s="293" t="s">
        <v>711</v>
      </c>
      <c r="E16" s="293" t="s">
        <v>712</v>
      </c>
      <c r="F16" s="313">
        <f ca="1">IF(INDIRECT("'数据-取费表'!c"&amp;$G$1)="住宅",'数据-取费表'!B34,0)</f>
        <v>0.05</v>
      </c>
      <c r="G16" s="1290"/>
      <c r="H16" s="1015" t="s">
        <v>393</v>
      </c>
      <c r="I16" s="1016" t="s">
        <v>714</v>
      </c>
      <c r="J16" s="301">
        <f ca="1">ROUND(J17+J22+J23+J24,0)</f>
        <v>6558</v>
      </c>
      <c r="K16" s="1023" t="s">
        <v>715</v>
      </c>
      <c r="L16" s="1024"/>
      <c r="M16" s="1008"/>
    </row>
    <row r="17" spans="1:37" s="1302" customFormat="1" ht="18" customHeight="1">
      <c r="A17" s="927" t="s">
        <v>681</v>
      </c>
      <c r="B17" s="293" t="s">
        <v>716</v>
      </c>
      <c r="C17" s="21">
        <f ca="1">ROUND(F17*(F43+INDIRECT("'数据-取费表'!S"&amp;$G$1)),0)</f>
        <v>21932</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6580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502243</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10045</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6554</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15881</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77">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-6176.4876441349943</v>
      </c>
      <c r="K25" s="1031" t="s">
        <v>753</v>
      </c>
      <c r="L25" s="1032"/>
      <c r="M25" s="1033"/>
    </row>
    <row r="26" spans="1:37" ht="18" customHeight="1">
      <c r="A26" s="927" t="s">
        <v>397</v>
      </c>
      <c r="B26" s="293" t="s">
        <v>754</v>
      </c>
      <c r="C26" s="21">
        <f ca="1">ROUND((C19+C20)*F26,0)</f>
        <v>76843</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655413</v>
      </c>
      <c r="D29" s="1028"/>
      <c r="E29" s="1026"/>
      <c r="F29" s="1029"/>
      <c r="G29" s="1301"/>
      <c r="H29" s="324" t="s">
        <v>396</v>
      </c>
      <c r="I29" s="325" t="s">
        <v>768</v>
      </c>
      <c r="J29" s="326">
        <f ca="1">ROUND(J26/(1+F40)^F41,0)</f>
        <v>0</v>
      </c>
      <c r="K29" s="327" t="s">
        <v>769</v>
      </c>
      <c r="L29" s="328"/>
      <c r="M29" s="329">
        <f ca="1">INDIRECT("'数据-取费表'!k"&amp;$G$1)</f>
        <v>109.66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11957</v>
      </c>
      <c r="D30" s="1023" t="s">
        <v>715</v>
      </c>
      <c r="E30" s="1024"/>
      <c r="F30" s="1008"/>
      <c r="G30" s="1290"/>
      <c r="H30" s="2465"/>
      <c r="I30" s="1303"/>
      <c r="J30" s="1304"/>
      <c r="K30" s="120"/>
      <c r="L30" s="2466"/>
      <c r="M30" s="2467"/>
    </row>
    <row r="31" spans="1:37" ht="18" customHeight="1">
      <c r="A31" s="927" t="s">
        <v>398</v>
      </c>
      <c r="B31" s="293" t="s">
        <v>719</v>
      </c>
      <c r="C31" s="21">
        <f ca="1">ROUND(IF(AND(项目基本情况!B11="自然人",项目基本情况!B10="北京市"),C6*F31/(1+'数据-取费表'!C42),C32+C33+C34),0)</f>
        <v>3393</v>
      </c>
      <c r="D31" s="1255" t="s">
        <v>720</v>
      </c>
      <c r="E31" s="1254" t="s">
        <v>770</v>
      </c>
      <c r="F31" s="3187">
        <f ca="1">IF(项目基本情况!B11="企业","——",IF(M47="住宅",IF(F6*F7*F8/12/(1+'数据-取费表'!F30)&gt;100000,4%,2.5%),IF(F6*F7*F8/12/(1+'数据-取费表'!F30)&gt;100000,12%,7%)))</f>
        <v>2.5000000000000001E-2</v>
      </c>
      <c r="G31" s="1290"/>
      <c r="H31" s="3182"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6554</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583</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1427</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130721</v>
      </c>
      <c r="D39" s="1031" t="s">
        <v>773</v>
      </c>
      <c r="E39" s="1032"/>
      <c r="F39" s="1033"/>
      <c r="G39" s="1290"/>
      <c r="H39" s="2468"/>
      <c r="I39" s="1303"/>
      <c r="J39" s="1304"/>
      <c r="K39" s="2466"/>
      <c r="L39" s="2468"/>
      <c r="M39" s="2468"/>
    </row>
    <row r="40" spans="1:18" ht="18" customHeight="1">
      <c r="A40" s="290" t="s">
        <v>395</v>
      </c>
      <c r="B40" s="291" t="s">
        <v>774</v>
      </c>
      <c r="C40" s="292">
        <f ca="1">ROUND(C39*(1-((1+F42)/(1+F40))^F41)/(F40-F42),0)</f>
        <v>4247709</v>
      </c>
      <c r="D40" s="315" t="s">
        <v>758</v>
      </c>
      <c r="E40" s="293" t="s">
        <v>759</v>
      </c>
      <c r="F40" s="3184">
        <f ca="1">INDIRECT("'数据-取费表'!I"&amp;$G$1)</f>
        <v>0.04</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46</v>
      </c>
      <c r="G41" s="1290"/>
      <c r="H41" s="120"/>
      <c r="I41" s="1303"/>
      <c r="J41" s="1304"/>
      <c r="K41" s="2325"/>
      <c r="L41" s="120"/>
      <c r="M41" s="120"/>
    </row>
    <row r="42" spans="1:18" ht="18" customHeight="1">
      <c r="A42" s="299"/>
      <c r="B42" s="300"/>
      <c r="C42" s="301"/>
      <c r="D42" s="318"/>
      <c r="E42" s="293" t="s">
        <v>766</v>
      </c>
      <c r="F42" s="3184">
        <f ca="1">INDIRECT("'数据-取费表'!v"&amp;$G$1)</f>
        <v>2.5000000000000001E-2</v>
      </c>
      <c r="G42" s="1290"/>
      <c r="H42" s="120"/>
      <c r="I42" s="1303"/>
      <c r="J42" s="1304"/>
      <c r="K42" s="2325"/>
      <c r="L42" s="120"/>
      <c r="M42" s="120"/>
    </row>
    <row r="43" spans="1:18" ht="18" customHeight="1" thickBot="1">
      <c r="A43" s="324" t="s">
        <v>396</v>
      </c>
      <c r="B43" s="325" t="s">
        <v>776</v>
      </c>
      <c r="C43" s="326">
        <f ca="1">ROUND(C40/F43,0)</f>
        <v>38735</v>
      </c>
      <c r="D43" s="327" t="s">
        <v>777</v>
      </c>
      <c r="E43" s="328" t="s">
        <v>778</v>
      </c>
      <c r="F43" s="329">
        <f ca="1">INDIRECT("'数据-取费表'!k"&amp;$G$1)</f>
        <v>109.66</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-439.67630000000003</v>
      </c>
      <c r="D45" s="3124" t="s">
        <v>3353</v>
      </c>
      <c r="E45" s="1305"/>
      <c r="F45" s="1305"/>
      <c r="O45" s="1308" t="s">
        <v>808</v>
      </c>
      <c r="P45" s="1364"/>
      <c r="Q45" s="1364"/>
      <c r="R45" s="1364"/>
    </row>
    <row r="46" spans="1:18" s="1290" customFormat="1" ht="13.5" thickBot="1">
      <c r="A46" s="1309" t="s">
        <v>809</v>
      </c>
      <c r="C46" s="1310">
        <f ca="1">ROUND(C45,0)</f>
        <v>-440</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3395</v>
      </c>
      <c r="K47" s="1321" t="s">
        <v>816</v>
      </c>
      <c r="L47" s="1322">
        <f ca="1">INDIRECT("'数据-取费表'!d"&amp;$G$1)</f>
        <v>70</v>
      </c>
      <c r="M47" s="1286" t="str">
        <f>IF(ISNUMBER(FIND("住宅",C1)),"住宅","非住宅")</f>
        <v>住宅</v>
      </c>
      <c r="O47" s="1323" t="s">
        <v>403</v>
      </c>
      <c r="P47" s="1324" t="s">
        <v>817</v>
      </c>
      <c r="Q47" s="1325">
        <f ca="1">C40+J29</f>
        <v>4247709</v>
      </c>
      <c r="R47" s="1325" t="s">
        <v>818</v>
      </c>
    </row>
    <row r="48" spans="1:18" s="1290" customFormat="1" ht="28.5" thickBot="1">
      <c r="A48" s="1046" t="s">
        <v>438</v>
      </c>
      <c r="B48" s="291" t="s">
        <v>692</v>
      </c>
      <c r="C48" s="1266">
        <f ca="1">C49+C53+C55</f>
        <v>0</v>
      </c>
      <c r="D48" s="1048"/>
      <c r="E48" s="1049"/>
      <c r="F48" s="907"/>
      <c r="G48" s="680"/>
      <c r="H48" s="681"/>
      <c r="I48" s="1326" t="s">
        <v>819</v>
      </c>
      <c r="J48" s="1327" t="s">
        <v>3396</v>
      </c>
      <c r="K48" s="1328" t="s">
        <v>820</v>
      </c>
      <c r="L48" s="1329">
        <f ca="1">INDIRECT("'数据-取费表'!f"&amp;$G$1)</f>
        <v>46</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655413</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36</v>
      </c>
      <c r="K51" s="1337" t="s">
        <v>830</v>
      </c>
      <c r="L51" s="1338">
        <f ca="1">ROUND(-PV(INDIRECT("'数据-取费表'!h"&amp;$G$1),J51,(C39-C13*C76),0),0)</f>
        <v>2217177</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46</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46</v>
      </c>
      <c r="K53" s="3382" t="s">
        <v>837</v>
      </c>
      <c r="L53" s="3383"/>
      <c r="O53" s="1323" t="s">
        <v>409</v>
      </c>
      <c r="P53" s="1324" t="s">
        <v>838</v>
      </c>
      <c r="Q53" s="1325">
        <f ca="1">Q47+Q48</f>
        <v>4247709</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583318</v>
      </c>
      <c r="D56" s="1350"/>
      <c r="E56" s="1351"/>
      <c r="F56" s="1343"/>
      <c r="I56" s="1352" t="s">
        <v>842</v>
      </c>
      <c r="J56" s="1353" t="s">
        <v>3397</v>
      </c>
      <c r="K56" s="1326" t="s">
        <v>843</v>
      </c>
      <c r="L56" s="1329">
        <f ca="1">IF(L48&lt;J51,"——",L48-J51)</f>
        <v>10</v>
      </c>
      <c r="O56" s="1323" t="s">
        <v>403</v>
      </c>
      <c r="P56" s="1324" t="s">
        <v>817</v>
      </c>
      <c r="Q56" s="1325">
        <f ca="1">C40+J29</f>
        <v>4247709</v>
      </c>
      <c r="R56" s="1325" t="s">
        <v>818</v>
      </c>
    </row>
    <row r="57" spans="1:18" s="1290" customFormat="1" ht="24.75" thickBot="1">
      <c r="A57" s="1354"/>
      <c r="B57" s="895" t="s">
        <v>767</v>
      </c>
      <c r="C57" s="229">
        <f ca="1">C29</f>
        <v>655413</v>
      </c>
      <c r="D57" s="1355"/>
      <c r="E57" s="1356"/>
      <c r="F57" s="1357"/>
      <c r="I57" s="1358" t="s">
        <v>844</v>
      </c>
      <c r="J57" s="1359" t="str">
        <f ca="1">IF(OR(M47="住宅",J51&lt;L48,J56="是"),"——",J51-L48)</f>
        <v>——</v>
      </c>
      <c r="K57" s="1326" t="s">
        <v>892</v>
      </c>
      <c r="L57" s="1329">
        <f ca="1">IF(L48&lt;J51,"——",IF(L55="比较法",L49,IF(L55="基准地价",L50,L51)))</f>
        <v>2217177</v>
      </c>
      <c r="O57" s="1323" t="s">
        <v>404</v>
      </c>
      <c r="P57" s="1324" t="s">
        <v>893</v>
      </c>
      <c r="Q57" s="1325">
        <f ca="1">L60</f>
        <v>0</v>
      </c>
      <c r="R57" s="1325" t="s">
        <v>894</v>
      </c>
    </row>
    <row r="58" spans="1:18" s="1290" customFormat="1" ht="24.75" thickBot="1">
      <c r="A58" s="306" t="s">
        <v>393</v>
      </c>
      <c r="B58" s="903" t="s">
        <v>714</v>
      </c>
      <c r="C58" s="307">
        <f ca="1">ROUND(C59+C64+C65+C66,0)</f>
        <v>7137</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4247709</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6554</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583</v>
      </c>
      <c r="D65" s="909" t="s">
        <v>743</v>
      </c>
      <c r="E65" s="895" t="s">
        <v>744</v>
      </c>
      <c r="F65" s="320">
        <f t="shared" ca="1" si="0"/>
        <v>1E-3</v>
      </c>
      <c r="I65" s="1365" t="s">
        <v>867</v>
      </c>
      <c r="J65" s="609">
        <v>40</v>
      </c>
      <c r="K65" s="609">
        <v>30</v>
      </c>
      <c r="L65" s="609">
        <v>50</v>
      </c>
      <c r="M65" s="1367">
        <v>0.02</v>
      </c>
      <c r="O65" s="1323" t="s">
        <v>403</v>
      </c>
      <c r="P65" s="1324" t="s">
        <v>868</v>
      </c>
      <c r="Q65" s="1325">
        <f ca="1">C40+J29</f>
        <v>4247709</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-7137</v>
      </c>
      <c r="D67" s="908" t="s">
        <v>753</v>
      </c>
      <c r="E67" s="913"/>
      <c r="F67" s="914"/>
      <c r="O67" s="1332" t="s">
        <v>405</v>
      </c>
      <c r="P67" s="1324" t="s">
        <v>850</v>
      </c>
      <c r="Q67" s="1368">
        <f ca="1">L51</f>
        <v>2217177</v>
      </c>
      <c r="R67" s="1325" t="s">
        <v>870</v>
      </c>
    </row>
    <row r="68" spans="1:18" s="1290" customFormat="1" ht="16.5" thickBot="1">
      <c r="A68" s="892" t="s">
        <v>395</v>
      </c>
      <c r="B68" s="893" t="s">
        <v>774</v>
      </c>
      <c r="C68" s="292">
        <f ca="1">ROUND(C67*(1-((1+F70)/(1+F68))^F69)/(F68-F70),0)</f>
        <v>-149054</v>
      </c>
      <c r="D68" s="910" t="s">
        <v>758</v>
      </c>
      <c r="E68" s="895" t="s">
        <v>759</v>
      </c>
      <c r="F68" s="303">
        <f ca="1">F40</f>
        <v>0.04</v>
      </c>
      <c r="O68" s="1332" t="s">
        <v>406</v>
      </c>
      <c r="P68" s="1369" t="s">
        <v>871</v>
      </c>
      <c r="Q68" s="1325">
        <f ca="1">ROUND(Q69-Q70*Q71,0)</f>
        <v>101555</v>
      </c>
      <c r="R68" s="1325" t="s">
        <v>414</v>
      </c>
    </row>
    <row r="69" spans="1:18" s="1290" customFormat="1" ht="13.5" thickBot="1">
      <c r="A69" s="896"/>
      <c r="B69" s="897"/>
      <c r="C69" s="297"/>
      <c r="D69" s="915" t="s">
        <v>762</v>
      </c>
      <c r="E69" s="895" t="s">
        <v>763</v>
      </c>
      <c r="F69" s="323">
        <f ca="1">F41</f>
        <v>46</v>
      </c>
      <c r="O69" s="1332" t="s">
        <v>411</v>
      </c>
      <c r="P69" s="1369" t="s">
        <v>872</v>
      </c>
      <c r="Q69" s="1325">
        <f ca="1">C39</f>
        <v>130721</v>
      </c>
      <c r="R69" s="1325" t="s">
        <v>818</v>
      </c>
    </row>
    <row r="70" spans="1:18" s="1290" customFormat="1" ht="13.5" thickBot="1">
      <c r="A70" s="899"/>
      <c r="B70" s="900"/>
      <c r="C70" s="301"/>
      <c r="D70" s="911"/>
      <c r="E70" s="895" t="s">
        <v>766</v>
      </c>
      <c r="F70" s="990"/>
      <c r="O70" s="1332" t="s">
        <v>412</v>
      </c>
      <c r="P70" s="1369" t="s">
        <v>873</v>
      </c>
      <c r="Q70" s="1325">
        <f ca="1">C13</f>
        <v>583318</v>
      </c>
      <c r="R70" s="1325" t="s">
        <v>818</v>
      </c>
    </row>
    <row r="71" spans="1:18" s="1290" customFormat="1" ht="13.5" thickBot="1">
      <c r="A71" s="916" t="s">
        <v>396</v>
      </c>
      <c r="B71" s="917" t="s">
        <v>776</v>
      </c>
      <c r="C71" s="326">
        <f ca="1">ROUND(C68/F71,0)</f>
        <v>-1359</v>
      </c>
      <c r="D71" s="918" t="s">
        <v>777</v>
      </c>
      <c r="E71" s="919" t="s">
        <v>778</v>
      </c>
      <c r="F71" s="329">
        <f ca="1">F43</f>
        <v>109.66</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29166</v>
      </c>
      <c r="D75" s="1290"/>
      <c r="E75" s="1290"/>
      <c r="F75" s="1290"/>
      <c r="K75" s="1307"/>
      <c r="L75" s="1290"/>
      <c r="O75" s="1323" t="s">
        <v>409</v>
      </c>
      <c r="P75" s="1324" t="s">
        <v>838</v>
      </c>
      <c r="Q75" s="1325">
        <f ca="1">Q65+Q66</f>
        <v>4247709</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0.77700000000000002</v>
      </c>
    </row>
    <row r="80" spans="1:18">
      <c r="B80" s="330" t="s">
        <v>800</v>
      </c>
      <c r="C80" s="265">
        <f ca="1">ROUND(C75/C39,3)</f>
        <v>0.223</v>
      </c>
    </row>
    <row r="81" spans="2:3">
      <c r="B81" s="261" t="s">
        <v>801</v>
      </c>
      <c r="C81" s="229"/>
    </row>
    <row r="82" spans="2:3">
      <c r="B82" s="264" t="s">
        <v>802</v>
      </c>
      <c r="C82" s="266">
        <f ca="1">1-C83</f>
        <v>0.86299999999999999</v>
      </c>
    </row>
    <row r="83" spans="2:3">
      <c r="B83" s="264" t="s">
        <v>803</v>
      </c>
      <c r="C83" s="265">
        <f ca="1">ROUND(C13/C40,3)</f>
        <v>0.13700000000000001</v>
      </c>
    </row>
  </sheetData>
  <sheetProtection formatCells="0" formatColumns="0" formatRows="0"/>
  <mergeCells count="3">
    <mergeCell ref="B6:B9"/>
    <mergeCell ref="I6:I9"/>
    <mergeCell ref="K53:L53"/>
  </mergeCells>
  <phoneticPr fontId="137" type="noConversion"/>
  <conditionalFormatting sqref="I55 I60">
    <cfRule type="expression" dxfId="88" priority="5">
      <formula>$J$51&gt;$L$48</formula>
    </cfRule>
  </conditionalFormatting>
  <conditionalFormatting sqref="K55 K60">
    <cfRule type="expression" dxfId="87"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433" t="s">
        <v>2315</v>
      </c>
      <c r="K2" s="3434"/>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35" t="s">
        <v>2325</v>
      </c>
      <c r="K3" s="3436"/>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35" t="s">
        <v>2327</v>
      </c>
      <c r="K4" s="3436"/>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37" t="s">
        <v>2331</v>
      </c>
      <c r="B6" s="3438"/>
      <c r="C6" s="3439"/>
      <c r="D6" s="2615"/>
      <c r="E6" s="2616"/>
      <c r="F6" s="2617"/>
      <c r="G6" s="2618"/>
      <c r="H6" s="2593"/>
      <c r="I6" s="2594"/>
      <c r="J6" s="3440">
        <v>1</v>
      </c>
      <c r="K6" s="3441"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40"/>
      <c r="K7" s="3442"/>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44" t="s">
        <v>2345</v>
      </c>
      <c r="C8" s="3445"/>
      <c r="D8" s="2634" t="s">
        <v>2346</v>
      </c>
      <c r="E8" s="2635" t="s">
        <v>2347</v>
      </c>
      <c r="F8" s="2636" t="s">
        <v>2348</v>
      </c>
      <c r="G8" s="2637"/>
      <c r="H8" s="2593"/>
      <c r="I8" s="2594"/>
      <c r="J8" s="3440"/>
      <c r="K8" s="3442"/>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44" t="s">
        <v>2351</v>
      </c>
      <c r="C9" s="3445"/>
      <c r="D9" s="2634">
        <f>ROUND(D6*E9,0)</f>
        <v>0</v>
      </c>
      <c r="E9" s="2638"/>
      <c r="F9" s="2639" t="s">
        <v>2352</v>
      </c>
      <c r="G9" s="2618"/>
      <c r="H9" s="2593"/>
      <c r="I9" s="2594"/>
      <c r="J9" s="3440"/>
      <c r="K9" s="3442"/>
      <c r="L9" s="2628" t="s">
        <v>2353</v>
      </c>
      <c r="M9" s="2629"/>
      <c r="N9" s="2605"/>
      <c r="O9" s="2630"/>
      <c r="P9" s="2630"/>
      <c r="Q9" s="2631">
        <v>365</v>
      </c>
      <c r="R9" s="2632">
        <f t="shared" si="0"/>
        <v>0</v>
      </c>
      <c r="S9" s="2586"/>
      <c r="T9" s="2586"/>
      <c r="U9" s="2586"/>
      <c r="V9" s="2594"/>
    </row>
    <row r="10" spans="1:22" s="2598" customFormat="1" ht="13.15" customHeight="1">
      <c r="A10" s="2633">
        <v>2</v>
      </c>
      <c r="B10" s="3444" t="s">
        <v>2354</v>
      </c>
      <c r="C10" s="3445"/>
      <c r="D10" s="2634">
        <f>ROUND(D6*E10,0)</f>
        <v>0</v>
      </c>
      <c r="E10" s="2638"/>
      <c r="F10" s="2639" t="s">
        <v>2355</v>
      </c>
      <c r="G10" s="2618"/>
      <c r="H10" s="2593"/>
      <c r="I10" s="2594"/>
      <c r="J10" s="3440"/>
      <c r="K10" s="3442"/>
      <c r="L10" s="2628" t="s">
        <v>2356</v>
      </c>
      <c r="M10" s="2629"/>
      <c r="N10" s="2605"/>
      <c r="O10" s="2630"/>
      <c r="P10" s="2630"/>
      <c r="Q10" s="2631">
        <v>365</v>
      </c>
      <c r="R10" s="2632">
        <f t="shared" si="0"/>
        <v>0</v>
      </c>
      <c r="S10" s="2586"/>
      <c r="T10" s="2586"/>
      <c r="U10" s="2586"/>
      <c r="V10" s="2594"/>
    </row>
    <row r="11" spans="1:22" s="2598" customFormat="1" ht="13.15" customHeight="1">
      <c r="A11" s="2633">
        <v>3</v>
      </c>
      <c r="B11" s="3444" t="s">
        <v>2357</v>
      </c>
      <c r="C11" s="3445"/>
      <c r="D11" s="2634">
        <f>D12+D14+D15+D16</f>
        <v>0</v>
      </c>
      <c r="E11" s="2640" t="e">
        <f>D11/D6</f>
        <v>#DIV/0!</v>
      </c>
      <c r="F11" s="2636"/>
      <c r="G11" s="2637"/>
      <c r="H11" s="2593"/>
      <c r="I11" s="2594"/>
      <c r="J11" s="3440"/>
      <c r="K11" s="3442"/>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46" t="s">
        <v>2360</v>
      </c>
      <c r="C12" s="3447"/>
      <c r="D12" s="2642">
        <f>ROUND(D13*1.2%*(1-30%),0)</f>
        <v>0</v>
      </c>
      <c r="E12" s="2643">
        <v>1.2E-2</v>
      </c>
      <c r="F12" s="2636" t="s">
        <v>2361</v>
      </c>
      <c r="G12" s="2637"/>
      <c r="H12" s="2593"/>
      <c r="I12" s="2594"/>
      <c r="J12" s="3440"/>
      <c r="K12" s="3442"/>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40"/>
      <c r="K13" s="3442"/>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46" t="s">
        <v>2366</v>
      </c>
      <c r="C14" s="3447"/>
      <c r="D14" s="2642">
        <f>ROUND(E14*B5/10000,0)</f>
        <v>0</v>
      </c>
      <c r="E14" s="2631"/>
      <c r="F14" s="2636" t="s">
        <v>2367</v>
      </c>
      <c r="G14" s="2637"/>
      <c r="H14" s="2593"/>
      <c r="I14" s="2594"/>
      <c r="J14" s="3440"/>
      <c r="K14" s="3443"/>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46" t="s">
        <v>2370</v>
      </c>
      <c r="C15" s="3447"/>
      <c r="D15" s="2642">
        <f>ROUND(D6*E15,0)</f>
        <v>0</v>
      </c>
      <c r="E15" s="2643">
        <v>5.5E-2</v>
      </c>
      <c r="F15" s="2636" t="s">
        <v>2371</v>
      </c>
      <c r="G15" s="2618"/>
      <c r="H15" s="2593"/>
      <c r="I15" s="2594"/>
      <c r="J15" s="3440">
        <v>2</v>
      </c>
      <c r="K15" s="3441"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46" t="s">
        <v>2379</v>
      </c>
      <c r="C16" s="3447"/>
      <c r="D16" s="2653">
        <f>D6*E16</f>
        <v>0</v>
      </c>
      <c r="E16" s="2654"/>
      <c r="F16" s="2639" t="s">
        <v>2380</v>
      </c>
      <c r="G16" s="2618"/>
      <c r="H16" s="2593"/>
      <c r="I16" s="2594"/>
      <c r="J16" s="3440"/>
      <c r="K16" s="3442"/>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48" t="s">
        <v>2382</v>
      </c>
      <c r="C17" s="3449"/>
      <c r="D17" s="2656">
        <f>ROUND(D6*E17,0)</f>
        <v>0</v>
      </c>
      <c r="E17" s="2657"/>
      <c r="F17" s="2658" t="s">
        <v>2383</v>
      </c>
      <c r="G17" s="2618"/>
      <c r="H17" s="2593"/>
      <c r="I17" s="2594"/>
      <c r="J17" s="3440"/>
      <c r="K17" s="3442"/>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40"/>
      <c r="K18" s="3442"/>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40"/>
      <c r="K19" s="3443"/>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40">
        <v>3</v>
      </c>
      <c r="K20" s="3441"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40"/>
      <c r="K21" s="3442"/>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40"/>
      <c r="K22" s="3442"/>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40"/>
      <c r="K23" s="3442"/>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40"/>
      <c r="K24" s="3443"/>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50">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51"/>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33" t="s">
        <v>2315</v>
      </c>
      <c r="K32" s="3434"/>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35" t="s">
        <v>2325</v>
      </c>
      <c r="K33" s="3436"/>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35" t="s">
        <v>2327</v>
      </c>
      <c r="K34" s="3436"/>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40">
        <v>1</v>
      </c>
      <c r="K36" s="3441"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40"/>
      <c r="K37" s="3442"/>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40"/>
      <c r="K38" s="3442"/>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40"/>
      <c r="K39" s="3442"/>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40"/>
      <c r="K40" s="3443"/>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50">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51"/>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424.77089999999998</v>
      </c>
      <c r="C2" s="1727" t="s">
        <v>1651</v>
      </c>
      <c r="D2" s="1728" t="s">
        <v>1652</v>
      </c>
      <c r="E2" s="2387">
        <f>SUM(E6:E13)</f>
        <v>109.66</v>
      </c>
      <c r="F2" s="2474"/>
      <c r="G2" s="458"/>
      <c r="H2" s="458"/>
      <c r="I2" s="458"/>
      <c r="J2" s="458"/>
      <c r="K2" s="458"/>
      <c r="L2" s="458"/>
      <c r="M2" s="458"/>
      <c r="N2" s="458"/>
      <c r="O2" s="458"/>
      <c r="P2" s="458"/>
      <c r="Q2" s="458"/>
      <c r="R2" s="458"/>
      <c r="S2" s="458"/>
    </row>
    <row r="3" spans="1:22" ht="15.75">
      <c r="A3" s="1726" t="s">
        <v>686</v>
      </c>
      <c r="B3" s="2381">
        <f ca="1">ROUND(B2*10000/E2,0)</f>
        <v>38735</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52" t="s">
        <v>1654</v>
      </c>
      <c r="C5" s="3453"/>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424.77089999999998</v>
      </c>
      <c r="C6" s="1727" t="s">
        <v>1651</v>
      </c>
      <c r="D6" s="2474"/>
      <c r="E6" s="2386">
        <f>IF(OR(A6=0,F6="否"),0,'数据-取费表'!K6+'数据-取费表'!S6)</f>
        <v>109.66</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109.66</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06" t="s">
        <v>1767</v>
      </c>
      <c r="D4" s="3407"/>
      <c r="E4" s="3408" t="s">
        <v>1768</v>
      </c>
      <c r="F4" s="3409"/>
      <c r="G4" s="3406" t="s">
        <v>1769</v>
      </c>
      <c r="H4" s="3407"/>
      <c r="I4" s="3406" t="s">
        <v>1770</v>
      </c>
      <c r="J4" s="3407"/>
      <c r="K4" s="536" t="s">
        <v>1771</v>
      </c>
      <c r="L4" s="2481"/>
      <c r="M4" s="2482"/>
      <c r="N4" s="2482"/>
      <c r="O4" s="2482"/>
      <c r="P4" s="3410" t="s">
        <v>1772</v>
      </c>
      <c r="Q4" s="3411"/>
      <c r="R4" s="3392" t="s">
        <v>1768</v>
      </c>
      <c r="S4" s="3393"/>
      <c r="T4" s="3392" t="s">
        <v>1769</v>
      </c>
      <c r="U4" s="3393"/>
      <c r="V4" s="3418" t="s">
        <v>1770</v>
      </c>
      <c r="W4" s="3418"/>
      <c r="X4" s="1263"/>
      <c r="Y4" s="3392" t="s">
        <v>1772</v>
      </c>
      <c r="Z4" s="3393"/>
      <c r="AA4" s="3387" t="s">
        <v>1768</v>
      </c>
      <c r="AB4" s="3418" t="s">
        <v>1769</v>
      </c>
      <c r="AC4" s="3387" t="s">
        <v>1770</v>
      </c>
    </row>
    <row r="5" spans="1:29" ht="15">
      <c r="A5" s="347"/>
      <c r="B5" s="348"/>
      <c r="C5" s="3402" t="s">
        <v>1673</v>
      </c>
      <c r="D5" s="3399"/>
      <c r="E5" s="3454" t="s">
        <v>1674</v>
      </c>
      <c r="F5" s="3397"/>
      <c r="G5" s="3402" t="s">
        <v>1675</v>
      </c>
      <c r="H5" s="3399"/>
      <c r="I5" s="3402" t="s">
        <v>1676</v>
      </c>
      <c r="J5" s="3399"/>
      <c r="K5" s="536"/>
      <c r="L5" s="2481"/>
      <c r="M5" s="2482"/>
      <c r="N5" s="2482"/>
      <c r="O5" s="2482"/>
      <c r="P5" s="3412"/>
      <c r="Q5" s="3413"/>
      <c r="R5" s="3394"/>
      <c r="S5" s="3395"/>
      <c r="T5" s="3394"/>
      <c r="U5" s="3395"/>
      <c r="V5" s="3418"/>
      <c r="W5" s="3418"/>
      <c r="X5" s="1263"/>
      <c r="Y5" s="3394"/>
      <c r="Z5" s="3395"/>
      <c r="AA5" s="3388"/>
      <c r="AB5" s="3418"/>
      <c r="AC5" s="3388"/>
    </row>
    <row r="6" spans="1:29" ht="15.75" thickBot="1">
      <c r="A6" s="349"/>
      <c r="B6" s="350"/>
      <c r="C6" s="3400" t="s">
        <v>1677</v>
      </c>
      <c r="D6" s="3401"/>
      <c r="E6" s="3403" t="s">
        <v>1677</v>
      </c>
      <c r="F6" s="3404"/>
      <c r="G6" s="3400" t="s">
        <v>1677</v>
      </c>
      <c r="H6" s="3401"/>
      <c r="I6" s="3400" t="s">
        <v>1677</v>
      </c>
      <c r="J6" s="3401"/>
      <c r="K6" s="536" t="s">
        <v>1678</v>
      </c>
      <c r="L6" s="2481"/>
      <c r="M6" s="2482"/>
      <c r="N6" s="2482"/>
      <c r="O6" s="2482"/>
      <c r="P6" s="3414"/>
      <c r="Q6" s="3415"/>
      <c r="R6" s="3394"/>
      <c r="S6" s="3395"/>
      <c r="T6" s="3416"/>
      <c r="U6" s="3417"/>
      <c r="V6" s="3418"/>
      <c r="W6" s="3418"/>
      <c r="X6" s="1263"/>
      <c r="Y6" s="3416"/>
      <c r="Z6" s="3417"/>
      <c r="AA6" s="3389"/>
      <c r="AB6" s="3418"/>
      <c r="AC6" s="3389"/>
    </row>
    <row r="7" spans="1:29" s="101" customFormat="1" ht="15.75" thickBot="1">
      <c r="A7" s="351" t="s">
        <v>1679</v>
      </c>
      <c r="B7" s="352"/>
      <c r="C7" s="353">
        <f>'数据-取费表'!B2</f>
        <v>45727</v>
      </c>
      <c r="D7" s="354">
        <v>100</v>
      </c>
      <c r="E7" s="355"/>
      <c r="F7" s="356">
        <f>SUMIF(58:58,YEAR(E7)&amp;"-"&amp;MONTH(E7),59:59)</f>
        <v>0</v>
      </c>
      <c r="G7" s="355"/>
      <c r="H7" s="354">
        <f>SUMIF(58:58,YEAR(G7)&amp;"-"&amp;MONTH(G7),59:59)</f>
        <v>0</v>
      </c>
      <c r="I7" s="355"/>
      <c r="J7" s="354">
        <f>SUMIF(58:58,YEAR(I7)&amp;"-"&amp;MONTH(I7),59:59)</f>
        <v>0</v>
      </c>
      <c r="K7" s="38"/>
      <c r="L7" s="2483"/>
      <c r="M7" s="2434"/>
      <c r="N7" s="2434"/>
      <c r="O7" s="2434"/>
      <c r="P7" s="3390" t="s">
        <v>1680</v>
      </c>
      <c r="Q7" s="3419"/>
      <c r="R7" s="663" t="s">
        <v>14</v>
      </c>
      <c r="S7" s="664">
        <f t="shared" ref="S7:S15" si="0">F7</f>
        <v>0</v>
      </c>
      <c r="T7" s="663" t="s">
        <v>14</v>
      </c>
      <c r="U7" s="664">
        <f t="shared" ref="U7:U15" si="1">H7</f>
        <v>0</v>
      </c>
      <c r="V7" s="663" t="s">
        <v>14</v>
      </c>
      <c r="W7" s="664">
        <f t="shared" ref="W7:W15" si="2">J7</f>
        <v>0</v>
      </c>
      <c r="X7" s="665"/>
      <c r="Y7" s="3390" t="s">
        <v>1680</v>
      </c>
      <c r="Z7" s="3391"/>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390" t="s">
        <v>1683</v>
      </c>
      <c r="Q8" s="3391"/>
      <c r="R8" s="663" t="s">
        <v>14</v>
      </c>
      <c r="S8" s="664">
        <f t="shared" si="0"/>
        <v>100</v>
      </c>
      <c r="T8" s="663" t="s">
        <v>14</v>
      </c>
      <c r="U8" s="664">
        <f t="shared" si="1"/>
        <v>100</v>
      </c>
      <c r="V8" s="663" t="s">
        <v>14</v>
      </c>
      <c r="W8" s="664">
        <f t="shared" si="2"/>
        <v>100</v>
      </c>
      <c r="X8" s="665"/>
      <c r="Y8" s="3390" t="s">
        <v>1683</v>
      </c>
      <c r="Z8" s="3391"/>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05"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05"/>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05"/>
      <c r="Q11" s="529" t="str">
        <f t="shared" si="6"/>
        <v>容积率</v>
      </c>
      <c r="R11" s="663" t="s">
        <v>14</v>
      </c>
      <c r="S11" s="664" t="e">
        <f t="shared" si="0"/>
        <v>#N/A</v>
      </c>
      <c r="T11" s="663" t="s">
        <v>14</v>
      </c>
      <c r="U11" s="664" t="e">
        <f t="shared" si="1"/>
        <v>#N/A</v>
      </c>
      <c r="V11" s="663" t="s">
        <v>14</v>
      </c>
      <c r="W11" s="664" t="e">
        <f t="shared" si="2"/>
        <v>#N/A</v>
      </c>
      <c r="X11" s="665"/>
      <c r="Y11" s="3355"/>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05"/>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05"/>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05"/>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31" t="s">
        <v>1691</v>
      </c>
      <c r="Q15" s="1261" t="str">
        <f t="shared" si="6"/>
        <v>商业繁华度</v>
      </c>
      <c r="R15" s="666" t="s">
        <v>14</v>
      </c>
      <c r="S15" s="667">
        <f t="shared" si="0"/>
        <v>100</v>
      </c>
      <c r="T15" s="666" t="s">
        <v>14</v>
      </c>
      <c r="U15" s="667">
        <f t="shared" si="1"/>
        <v>100</v>
      </c>
      <c r="V15" s="666" t="s">
        <v>14</v>
      </c>
      <c r="W15" s="667">
        <f t="shared" si="2"/>
        <v>100</v>
      </c>
      <c r="X15" s="1263"/>
      <c r="Y15" s="3424"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32"/>
      <c r="Q16" s="1261"/>
      <c r="R16" s="666"/>
      <c r="S16" s="667"/>
      <c r="T16" s="666"/>
      <c r="U16" s="667"/>
      <c r="V16" s="666"/>
      <c r="W16" s="667"/>
      <c r="X16" s="1263"/>
      <c r="Y16" s="3425"/>
      <c r="Z16" s="1262"/>
      <c r="AA16" s="1262">
        <v>1</v>
      </c>
      <c r="AB16" s="1262">
        <v>1</v>
      </c>
      <c r="AC16" s="1262">
        <v>1</v>
      </c>
    </row>
    <row r="17" spans="1:29" ht="142.5">
      <c r="A17" s="366"/>
      <c r="B17" s="389" t="s">
        <v>1259</v>
      </c>
      <c r="C17" s="1751" t="str">
        <f>估价对象房地状况!C6</f>
        <v>周边有98路、113路、140路、405路等多条公交线路，地铁1号线与10号线换乘站国贸站，地铁6号线与10号线换乘站呼家楼站，综合评价交通便捷度好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32"/>
      <c r="Q17" s="1261" t="str">
        <f>B17</f>
        <v>交通便捷度</v>
      </c>
      <c r="R17" s="666" t="s">
        <v>14</v>
      </c>
      <c r="S17" s="667">
        <f>F17</f>
        <v>100</v>
      </c>
      <c r="T17" s="666" t="s">
        <v>14</v>
      </c>
      <c r="U17" s="667">
        <f>H17</f>
        <v>100</v>
      </c>
      <c r="V17" s="666" t="s">
        <v>14</v>
      </c>
      <c r="W17" s="667">
        <f>J17</f>
        <v>100</v>
      </c>
      <c r="X17" s="1263"/>
      <c r="Y17" s="3425"/>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32"/>
      <c r="Q18" s="1261"/>
      <c r="R18" s="666"/>
      <c r="S18" s="667"/>
      <c r="T18" s="666"/>
      <c r="U18" s="667"/>
      <c r="V18" s="666"/>
      <c r="W18" s="667"/>
      <c r="X18" s="1263"/>
      <c r="Y18" s="3425"/>
      <c r="Z18" s="1262"/>
      <c r="AA18" s="1262">
        <v>1</v>
      </c>
      <c r="AB18" s="1262">
        <v>1</v>
      </c>
      <c r="AC18" s="1262">
        <v>1</v>
      </c>
    </row>
    <row r="19" spans="1:29" ht="313.5">
      <c r="A19" s="366"/>
      <c r="B19" s="389" t="s">
        <v>1775</v>
      </c>
      <c r="C19" s="1751"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32"/>
      <c r="Q19" s="1261" t="str">
        <f>B19</f>
        <v>公共配套设施</v>
      </c>
      <c r="R19" s="666" t="s">
        <v>14</v>
      </c>
      <c r="S19" s="667">
        <f>F19</f>
        <v>100</v>
      </c>
      <c r="T19" s="666" t="s">
        <v>14</v>
      </c>
      <c r="U19" s="667">
        <f>H19</f>
        <v>100</v>
      </c>
      <c r="V19" s="666" t="s">
        <v>14</v>
      </c>
      <c r="W19" s="667">
        <f>J19</f>
        <v>100</v>
      </c>
      <c r="X19" s="1263"/>
      <c r="Y19" s="3425"/>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32"/>
      <c r="Q20" s="1261"/>
      <c r="R20" s="666"/>
      <c r="S20" s="667"/>
      <c r="T20" s="666"/>
      <c r="U20" s="667"/>
      <c r="V20" s="666"/>
      <c r="W20" s="667"/>
      <c r="X20" s="1263"/>
      <c r="Y20" s="3425"/>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32"/>
      <c r="Q21" s="1261" t="str">
        <f>B21</f>
        <v>基础设施水平</v>
      </c>
      <c r="R21" s="666" t="s">
        <v>14</v>
      </c>
      <c r="S21" s="667">
        <f>F21</f>
        <v>100</v>
      </c>
      <c r="T21" s="666" t="s">
        <v>14</v>
      </c>
      <c r="U21" s="667">
        <f>H21</f>
        <v>100</v>
      </c>
      <c r="V21" s="666" t="s">
        <v>14</v>
      </c>
      <c r="W21" s="667">
        <f>J21</f>
        <v>100</v>
      </c>
      <c r="X21" s="1263"/>
      <c r="Y21" s="3425"/>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32"/>
      <c r="Q22" s="1261"/>
      <c r="R22" s="666"/>
      <c r="S22" s="667"/>
      <c r="T22" s="666"/>
      <c r="U22" s="667"/>
      <c r="V22" s="666"/>
      <c r="W22" s="667"/>
      <c r="X22" s="1263"/>
      <c r="Y22" s="3425"/>
      <c r="Z22" s="1262"/>
      <c r="AA22" s="1262">
        <v>1</v>
      </c>
      <c r="AB22" s="1262">
        <v>1</v>
      </c>
      <c r="AC22" s="1262">
        <v>1</v>
      </c>
    </row>
    <row r="23" spans="1:29" ht="114">
      <c r="A23" s="366"/>
      <c r="B23" s="389" t="s">
        <v>1261</v>
      </c>
      <c r="C23" s="1801" t="str">
        <f>估价对象房地状况!C9</f>
        <v>自然环境：团结湖公园、日坛公园等自然景观；
人文环境：东岳庙、当代美术馆等人文场所；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32"/>
      <c r="Q23" s="1261" t="str">
        <f>B23</f>
        <v>自然及人文环境</v>
      </c>
      <c r="R23" s="666" t="s">
        <v>14</v>
      </c>
      <c r="S23" s="667">
        <f>F23</f>
        <v>100</v>
      </c>
      <c r="T23" s="666" t="s">
        <v>14</v>
      </c>
      <c r="U23" s="667">
        <f>H23</f>
        <v>100</v>
      </c>
      <c r="V23" s="666" t="s">
        <v>14</v>
      </c>
      <c r="W23" s="667">
        <f>J23</f>
        <v>100</v>
      </c>
      <c r="X23" s="1263"/>
      <c r="Y23" s="3425"/>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32"/>
      <c r="Q24" s="1261"/>
      <c r="R24" s="666"/>
      <c r="S24" s="667"/>
      <c r="T24" s="666"/>
      <c r="U24" s="667"/>
      <c r="V24" s="666"/>
      <c r="W24" s="667"/>
      <c r="X24" s="1263"/>
      <c r="Y24" s="3425"/>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32"/>
      <c r="Q25" s="1261" t="str">
        <f t="shared" ref="Q25:Q46" si="8">B25</f>
        <v>临街状况</v>
      </c>
      <c r="R25" s="666" t="s">
        <v>14</v>
      </c>
      <c r="S25" s="667">
        <f>F25</f>
        <v>100</v>
      </c>
      <c r="T25" s="666" t="s">
        <v>14</v>
      </c>
      <c r="U25" s="667">
        <f>H25</f>
        <v>100</v>
      </c>
      <c r="V25" s="666" t="s">
        <v>14</v>
      </c>
      <c r="W25" s="667">
        <f>J25</f>
        <v>100</v>
      </c>
      <c r="X25" s="1263"/>
      <c r="Y25" s="3425"/>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32"/>
      <c r="Q26" s="1261" t="str">
        <f t="shared" si="8"/>
        <v>平面位置/可视性</v>
      </c>
      <c r="R26" s="666" t="s">
        <v>14</v>
      </c>
      <c r="S26" s="667">
        <f>F26</f>
        <v>100</v>
      </c>
      <c r="T26" s="666" t="s">
        <v>14</v>
      </c>
      <c r="U26" s="667">
        <f>H26</f>
        <v>100</v>
      </c>
      <c r="V26" s="666" t="s">
        <v>14</v>
      </c>
      <c r="W26" s="667">
        <f>J26</f>
        <v>100</v>
      </c>
      <c r="X26" s="1263"/>
      <c r="Y26" s="3425"/>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32"/>
      <c r="Q27" s="529" t="str">
        <f t="shared" si="8"/>
        <v>人流量</v>
      </c>
      <c r="R27" s="663" t="s">
        <v>14</v>
      </c>
      <c r="S27" s="664">
        <f>F27</f>
        <v>100</v>
      </c>
      <c r="T27" s="663" t="s">
        <v>14</v>
      </c>
      <c r="U27" s="664">
        <f>H27</f>
        <v>100</v>
      </c>
      <c r="V27" s="663" t="s">
        <v>14</v>
      </c>
      <c r="W27" s="664">
        <f>J27</f>
        <v>100</v>
      </c>
      <c r="X27" s="665"/>
      <c r="Y27" s="3425"/>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32"/>
      <c r="Q28" s="1261" t="str">
        <f t="shared" si="8"/>
        <v>楼层</v>
      </c>
      <c r="R28" s="666" t="s">
        <v>14</v>
      </c>
      <c r="S28" s="667">
        <f t="shared" ref="S28:S46" si="9">F28</f>
        <v>100</v>
      </c>
      <c r="T28" s="666" t="s">
        <v>14</v>
      </c>
      <c r="U28" s="667">
        <f t="shared" ref="U28:U46" si="10">H28</f>
        <v>100</v>
      </c>
      <c r="V28" s="666" t="s">
        <v>14</v>
      </c>
      <c r="W28" s="667">
        <f t="shared" ref="W28:W46" si="11">J28</f>
        <v>100</v>
      </c>
      <c r="X28" s="1263"/>
      <c r="Y28" s="3425"/>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32"/>
      <c r="Q29" s="1261">
        <f t="shared" si="8"/>
        <v>111</v>
      </c>
      <c r="R29" s="666" t="s">
        <v>14</v>
      </c>
      <c r="S29" s="667">
        <f t="shared" si="9"/>
        <v>100</v>
      </c>
      <c r="T29" s="666" t="s">
        <v>14</v>
      </c>
      <c r="U29" s="667">
        <f t="shared" si="10"/>
        <v>100</v>
      </c>
      <c r="V29" s="666" t="s">
        <v>14</v>
      </c>
      <c r="W29" s="667">
        <f t="shared" si="11"/>
        <v>100</v>
      </c>
      <c r="X29" s="1263"/>
      <c r="Y29" s="3425"/>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32"/>
      <c r="Q30" s="1261">
        <f t="shared" si="8"/>
        <v>111</v>
      </c>
      <c r="R30" s="666" t="s">
        <v>14</v>
      </c>
      <c r="S30" s="667">
        <f t="shared" si="9"/>
        <v>100</v>
      </c>
      <c r="T30" s="666" t="s">
        <v>14</v>
      </c>
      <c r="U30" s="667">
        <f t="shared" si="10"/>
        <v>100</v>
      </c>
      <c r="V30" s="666" t="s">
        <v>14</v>
      </c>
      <c r="W30" s="667">
        <f t="shared" si="11"/>
        <v>100</v>
      </c>
      <c r="X30" s="1263"/>
      <c r="Y30" s="3425"/>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32"/>
      <c r="Q31" s="1261">
        <f t="shared" si="8"/>
        <v>111</v>
      </c>
      <c r="R31" s="666" t="s">
        <v>14</v>
      </c>
      <c r="S31" s="667">
        <f t="shared" si="9"/>
        <v>100</v>
      </c>
      <c r="T31" s="666" t="s">
        <v>14</v>
      </c>
      <c r="U31" s="667">
        <f t="shared" si="10"/>
        <v>100</v>
      </c>
      <c r="V31" s="666" t="s">
        <v>14</v>
      </c>
      <c r="W31" s="667">
        <f t="shared" si="11"/>
        <v>100</v>
      </c>
      <c r="X31" s="1263"/>
      <c r="Y31" s="3425"/>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26" t="s">
        <v>1696</v>
      </c>
      <c r="Q32" s="1261" t="str">
        <f t="shared" si="8"/>
        <v>商业类型</v>
      </c>
      <c r="R32" s="666" t="s">
        <v>14</v>
      </c>
      <c r="S32" s="667">
        <f t="shared" si="9"/>
        <v>100</v>
      </c>
      <c r="T32" s="666" t="s">
        <v>14</v>
      </c>
      <c r="U32" s="667">
        <f t="shared" si="10"/>
        <v>100</v>
      </c>
      <c r="V32" s="666" t="s">
        <v>14</v>
      </c>
      <c r="W32" s="667">
        <f t="shared" si="11"/>
        <v>100</v>
      </c>
      <c r="X32" s="1263"/>
      <c r="Y32" s="3429"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27"/>
      <c r="Q33" s="530" t="str">
        <f t="shared" si="8"/>
        <v>项目建筑规模</v>
      </c>
      <c r="R33" s="668" t="s">
        <v>14</v>
      </c>
      <c r="S33" s="669" t="e">
        <f t="shared" si="9"/>
        <v>#N/A</v>
      </c>
      <c r="T33" s="668" t="s">
        <v>14</v>
      </c>
      <c r="U33" s="669" t="e">
        <f t="shared" si="10"/>
        <v>#N/A</v>
      </c>
      <c r="V33" s="668" t="s">
        <v>14</v>
      </c>
      <c r="W33" s="669" t="e">
        <f t="shared" si="11"/>
        <v>#N/A</v>
      </c>
      <c r="X33" s="670"/>
      <c r="Y33" s="3429"/>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27"/>
      <c r="Q34" s="1261" t="str">
        <f t="shared" si="8"/>
        <v>建筑结构</v>
      </c>
      <c r="R34" s="666" t="s">
        <v>14</v>
      </c>
      <c r="S34" s="667">
        <f t="shared" si="9"/>
        <v>100</v>
      </c>
      <c r="T34" s="666" t="s">
        <v>14</v>
      </c>
      <c r="U34" s="667">
        <f t="shared" si="10"/>
        <v>100</v>
      </c>
      <c r="V34" s="666" t="s">
        <v>14</v>
      </c>
      <c r="W34" s="667">
        <f t="shared" si="11"/>
        <v>100</v>
      </c>
      <c r="X34" s="1263"/>
      <c r="Y34" s="3429"/>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27"/>
      <c r="Q35" s="1261" t="str">
        <f t="shared" si="8"/>
        <v>公共部分装修</v>
      </c>
      <c r="R35" s="666" t="s">
        <v>14</v>
      </c>
      <c r="S35" s="667">
        <f t="shared" si="9"/>
        <v>100</v>
      </c>
      <c r="T35" s="666" t="s">
        <v>14</v>
      </c>
      <c r="U35" s="667">
        <f t="shared" si="10"/>
        <v>100</v>
      </c>
      <c r="V35" s="666" t="s">
        <v>14</v>
      </c>
      <c r="W35" s="667">
        <f t="shared" si="11"/>
        <v>100</v>
      </c>
      <c r="X35" s="1263"/>
      <c r="Y35" s="3429"/>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27"/>
      <c r="Q36" s="1261" t="str">
        <f t="shared" si="8"/>
        <v>成新度</v>
      </c>
      <c r="R36" s="666" t="s">
        <v>14</v>
      </c>
      <c r="S36" s="667" t="e">
        <f t="shared" si="9"/>
        <v>#N/A</v>
      </c>
      <c r="T36" s="666" t="s">
        <v>14</v>
      </c>
      <c r="U36" s="667" t="e">
        <f t="shared" si="10"/>
        <v>#N/A</v>
      </c>
      <c r="V36" s="666" t="s">
        <v>14</v>
      </c>
      <c r="W36" s="667" t="e">
        <f t="shared" si="11"/>
        <v>#N/A</v>
      </c>
      <c r="X36" s="1263"/>
      <c r="Y36" s="3429"/>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27"/>
      <c r="Q37" s="529" t="str">
        <f t="shared" si="8"/>
        <v>市政基础设施</v>
      </c>
      <c r="R37" s="663" t="s">
        <v>14</v>
      </c>
      <c r="S37" s="664">
        <f t="shared" si="9"/>
        <v>100</v>
      </c>
      <c r="T37" s="663" t="s">
        <v>14</v>
      </c>
      <c r="U37" s="664">
        <f t="shared" si="10"/>
        <v>100</v>
      </c>
      <c r="V37" s="663" t="s">
        <v>14</v>
      </c>
      <c r="W37" s="664">
        <f t="shared" si="11"/>
        <v>100</v>
      </c>
      <c r="X37" s="665"/>
      <c r="Y37" s="3429"/>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27" t="s">
        <v>1696</v>
      </c>
      <c r="Q38" s="1261" t="str">
        <f t="shared" si="8"/>
        <v>业态</v>
      </c>
      <c r="R38" s="666" t="s">
        <v>14</v>
      </c>
      <c r="S38" s="667">
        <f t="shared" si="9"/>
        <v>100</v>
      </c>
      <c r="T38" s="666" t="s">
        <v>14</v>
      </c>
      <c r="U38" s="667">
        <f t="shared" si="10"/>
        <v>100</v>
      </c>
      <c r="V38" s="666" t="s">
        <v>14</v>
      </c>
      <c r="W38" s="667">
        <f t="shared" si="11"/>
        <v>100</v>
      </c>
      <c r="X38" s="1263"/>
      <c r="Y38" s="3429"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27"/>
      <c r="Q39" s="1261" t="str">
        <f t="shared" si="8"/>
        <v>层高</v>
      </c>
      <c r="R39" s="666" t="s">
        <v>14</v>
      </c>
      <c r="S39" s="667">
        <f t="shared" si="9"/>
        <v>100</v>
      </c>
      <c r="T39" s="666" t="s">
        <v>14</v>
      </c>
      <c r="U39" s="667">
        <f t="shared" si="10"/>
        <v>100</v>
      </c>
      <c r="V39" s="666" t="s">
        <v>14</v>
      </c>
      <c r="W39" s="667">
        <f t="shared" si="11"/>
        <v>100</v>
      </c>
      <c r="X39" s="1263"/>
      <c r="Y39" s="3429"/>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27"/>
      <c r="Q40" s="1261" t="str">
        <f t="shared" si="8"/>
        <v>单套建筑面积</v>
      </c>
      <c r="R40" s="666" t="s">
        <v>14</v>
      </c>
      <c r="S40" s="667">
        <f t="shared" si="9"/>
        <v>100</v>
      </c>
      <c r="T40" s="666" t="s">
        <v>14</v>
      </c>
      <c r="U40" s="667">
        <f t="shared" si="10"/>
        <v>100</v>
      </c>
      <c r="V40" s="666" t="s">
        <v>14</v>
      </c>
      <c r="W40" s="667">
        <f t="shared" si="11"/>
        <v>100</v>
      </c>
      <c r="X40" s="1263"/>
      <c r="Y40" s="3429"/>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27"/>
      <c r="Q41" s="530" t="str">
        <f t="shared" si="8"/>
        <v>进深比</v>
      </c>
      <c r="R41" s="668" t="s">
        <v>14</v>
      </c>
      <c r="S41" s="669">
        <f t="shared" si="9"/>
        <v>100</v>
      </c>
      <c r="T41" s="668" t="s">
        <v>14</v>
      </c>
      <c r="U41" s="669">
        <f t="shared" si="10"/>
        <v>100</v>
      </c>
      <c r="V41" s="668" t="s">
        <v>14</v>
      </c>
      <c r="W41" s="669">
        <f t="shared" si="11"/>
        <v>100</v>
      </c>
      <c r="X41" s="670"/>
      <c r="Y41" s="3429"/>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27"/>
      <c r="Q42" s="1261" t="str">
        <f t="shared" si="8"/>
        <v>内部装修</v>
      </c>
      <c r="R42" s="666" t="s">
        <v>14</v>
      </c>
      <c r="S42" s="667">
        <f t="shared" si="9"/>
        <v>100</v>
      </c>
      <c r="T42" s="666" t="s">
        <v>14</v>
      </c>
      <c r="U42" s="667">
        <f t="shared" si="10"/>
        <v>100</v>
      </c>
      <c r="V42" s="666" t="s">
        <v>14</v>
      </c>
      <c r="W42" s="667">
        <f t="shared" si="11"/>
        <v>100</v>
      </c>
      <c r="X42" s="1263"/>
      <c r="Y42" s="3429"/>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27"/>
      <c r="Q43" s="1261" t="str">
        <f t="shared" si="8"/>
        <v>内部装修维护情况</v>
      </c>
      <c r="R43" s="666" t="s">
        <v>14</v>
      </c>
      <c r="S43" s="667">
        <f t="shared" si="9"/>
        <v>100</v>
      </c>
      <c r="T43" s="666" t="s">
        <v>14</v>
      </c>
      <c r="U43" s="667">
        <f t="shared" si="10"/>
        <v>100</v>
      </c>
      <c r="V43" s="666" t="s">
        <v>14</v>
      </c>
      <c r="W43" s="667">
        <f t="shared" si="11"/>
        <v>100</v>
      </c>
      <c r="X43" s="1263"/>
      <c r="Y43" s="3429"/>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27"/>
      <c r="Q44" s="529">
        <f t="shared" si="8"/>
        <v>111</v>
      </c>
      <c r="R44" s="663" t="s">
        <v>14</v>
      </c>
      <c r="S44" s="664">
        <f t="shared" si="9"/>
        <v>100</v>
      </c>
      <c r="T44" s="663" t="s">
        <v>14</v>
      </c>
      <c r="U44" s="664">
        <f t="shared" si="10"/>
        <v>100</v>
      </c>
      <c r="V44" s="663" t="s">
        <v>14</v>
      </c>
      <c r="W44" s="664">
        <f t="shared" si="11"/>
        <v>100</v>
      </c>
      <c r="X44" s="665"/>
      <c r="Y44" s="3429"/>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27"/>
      <c r="Q45" s="1261">
        <f t="shared" si="8"/>
        <v>111</v>
      </c>
      <c r="R45" s="666" t="s">
        <v>14</v>
      </c>
      <c r="S45" s="667">
        <f t="shared" si="9"/>
        <v>100</v>
      </c>
      <c r="T45" s="666" t="s">
        <v>14</v>
      </c>
      <c r="U45" s="667">
        <f t="shared" si="10"/>
        <v>100</v>
      </c>
      <c r="V45" s="666" t="s">
        <v>14</v>
      </c>
      <c r="W45" s="667">
        <f t="shared" si="11"/>
        <v>100</v>
      </c>
      <c r="X45" s="1263"/>
      <c r="Y45" s="3429"/>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28"/>
      <c r="Q46" s="1261">
        <f t="shared" si="8"/>
        <v>111</v>
      </c>
      <c r="R46" s="666" t="s">
        <v>14</v>
      </c>
      <c r="S46" s="667">
        <f t="shared" si="9"/>
        <v>100</v>
      </c>
      <c r="T46" s="666" t="s">
        <v>14</v>
      </c>
      <c r="U46" s="667">
        <f t="shared" si="10"/>
        <v>100</v>
      </c>
      <c r="V46" s="666" t="s">
        <v>14</v>
      </c>
      <c r="W46" s="667">
        <f t="shared" si="11"/>
        <v>100</v>
      </c>
      <c r="X46" s="1263"/>
      <c r="Y46" s="3430"/>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23" t="str">
        <f>A47</f>
        <v>成交单价（元/平方米）</v>
      </c>
      <c r="Q47" s="3423"/>
      <c r="R47" s="3418">
        <f>E47</f>
        <v>0</v>
      </c>
      <c r="S47" s="3418"/>
      <c r="T47" s="3418">
        <f>G47</f>
        <v>0</v>
      </c>
      <c r="U47" s="3418"/>
      <c r="V47" s="3418">
        <f>I47</f>
        <v>0</v>
      </c>
      <c r="W47" s="3418"/>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2025-3</v>
      </c>
      <c r="D58" s="1102">
        <f>EDATE(C58,-1)</f>
        <v>45689</v>
      </c>
      <c r="E58" s="1102">
        <f t="shared" ref="E58:N58" si="13">EDATE(D58,-1)</f>
        <v>45658</v>
      </c>
      <c r="F58" s="1102">
        <f t="shared" si="13"/>
        <v>45627</v>
      </c>
      <c r="G58" s="1102">
        <f t="shared" si="13"/>
        <v>45597</v>
      </c>
      <c r="H58" s="1102">
        <f t="shared" si="13"/>
        <v>45566</v>
      </c>
      <c r="I58" s="1102">
        <f t="shared" si="13"/>
        <v>45536</v>
      </c>
      <c r="J58" s="1102">
        <f t="shared" si="13"/>
        <v>45505</v>
      </c>
      <c r="K58" s="1102">
        <f t="shared" si="13"/>
        <v>45474</v>
      </c>
      <c r="L58" s="1102">
        <f t="shared" si="13"/>
        <v>45444</v>
      </c>
      <c r="M58" s="1102">
        <f t="shared" si="13"/>
        <v>45413</v>
      </c>
      <c r="N58" s="1102">
        <f t="shared" si="13"/>
        <v>45383</v>
      </c>
      <c r="O58" s="1102">
        <f>EDATE(N58,-1)</f>
        <v>45352</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109.66</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06" t="s">
        <v>1767</v>
      </c>
      <c r="D4" s="3407"/>
      <c r="E4" s="3408" t="s">
        <v>1768</v>
      </c>
      <c r="F4" s="3409"/>
      <c r="G4" s="3406" t="s">
        <v>1769</v>
      </c>
      <c r="H4" s="3407"/>
      <c r="I4" s="3406" t="s">
        <v>1770</v>
      </c>
      <c r="J4" s="3407"/>
      <c r="K4" s="536" t="s">
        <v>1771</v>
      </c>
      <c r="L4" s="2481"/>
      <c r="M4" s="2482"/>
      <c r="N4" s="2482"/>
      <c r="O4" s="2482"/>
      <c r="P4" s="3461" t="s">
        <v>1772</v>
      </c>
      <c r="Q4" s="3462"/>
      <c r="R4" s="3456" t="s">
        <v>1768</v>
      </c>
      <c r="S4" s="3457"/>
      <c r="T4" s="3456" t="s">
        <v>1769</v>
      </c>
      <c r="U4" s="3457"/>
      <c r="V4" s="3465" t="s">
        <v>1770</v>
      </c>
      <c r="W4" s="3465"/>
      <c r="X4" s="1804"/>
      <c r="Y4" s="3456" t="s">
        <v>1772</v>
      </c>
      <c r="Z4" s="3457"/>
      <c r="AA4" s="3455" t="s">
        <v>1768</v>
      </c>
      <c r="AB4" s="3455" t="s">
        <v>1769</v>
      </c>
      <c r="AC4" s="3458" t="s">
        <v>1770</v>
      </c>
    </row>
    <row r="5" spans="1:29" ht="15">
      <c r="A5" s="347"/>
      <c r="B5" s="348"/>
      <c r="C5" s="3402" t="s">
        <v>1673</v>
      </c>
      <c r="D5" s="3399"/>
      <c r="E5" s="3454" t="s">
        <v>1674</v>
      </c>
      <c r="F5" s="3397"/>
      <c r="G5" s="3402" t="s">
        <v>1675</v>
      </c>
      <c r="H5" s="3399"/>
      <c r="I5" s="3402" t="s">
        <v>1676</v>
      </c>
      <c r="J5" s="3399"/>
      <c r="K5" s="536"/>
      <c r="L5" s="2481"/>
      <c r="M5" s="2482"/>
      <c r="N5" s="2482"/>
      <c r="O5" s="2482"/>
      <c r="P5" s="3463"/>
      <c r="Q5" s="3413"/>
      <c r="R5" s="3394"/>
      <c r="S5" s="3395"/>
      <c r="T5" s="3394"/>
      <c r="U5" s="3395"/>
      <c r="V5" s="3418"/>
      <c r="W5" s="3418"/>
      <c r="X5" s="1263"/>
      <c r="Y5" s="3394"/>
      <c r="Z5" s="3395"/>
      <c r="AA5" s="3388"/>
      <c r="AB5" s="3388"/>
      <c r="AC5" s="3459"/>
    </row>
    <row r="6" spans="1:29" ht="15.75" thickBot="1">
      <c r="A6" s="349"/>
      <c r="B6" s="350"/>
      <c r="C6" s="3400" t="s">
        <v>1677</v>
      </c>
      <c r="D6" s="3401"/>
      <c r="E6" s="3403" t="s">
        <v>1677</v>
      </c>
      <c r="F6" s="3404"/>
      <c r="G6" s="3400" t="s">
        <v>1677</v>
      </c>
      <c r="H6" s="3401"/>
      <c r="I6" s="3400" t="s">
        <v>1677</v>
      </c>
      <c r="J6" s="3401"/>
      <c r="K6" s="536" t="s">
        <v>1678</v>
      </c>
      <c r="L6" s="2481"/>
      <c r="M6" s="2482"/>
      <c r="N6" s="2482"/>
      <c r="O6" s="2482"/>
      <c r="P6" s="3464"/>
      <c r="Q6" s="3415"/>
      <c r="R6" s="3394"/>
      <c r="S6" s="3395"/>
      <c r="T6" s="3416"/>
      <c r="U6" s="3417"/>
      <c r="V6" s="3418"/>
      <c r="W6" s="3418"/>
      <c r="X6" s="1263"/>
      <c r="Y6" s="3416"/>
      <c r="Z6" s="3417"/>
      <c r="AA6" s="3389"/>
      <c r="AB6" s="3389"/>
      <c r="AC6" s="3460"/>
    </row>
    <row r="7" spans="1:29" s="101" customFormat="1" ht="15.75" thickBot="1">
      <c r="A7" s="351" t="s">
        <v>1679</v>
      </c>
      <c r="B7" s="352"/>
      <c r="C7" s="353">
        <f>'数据-取费表'!B2</f>
        <v>45727</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6" t="s">
        <v>1680</v>
      </c>
      <c r="Q7" s="3419"/>
      <c r="R7" s="663" t="s">
        <v>14</v>
      </c>
      <c r="S7" s="664">
        <f t="shared" ref="S7:S15" si="0">F7</f>
        <v>0</v>
      </c>
      <c r="T7" s="663" t="s">
        <v>14</v>
      </c>
      <c r="U7" s="664">
        <f t="shared" ref="U7:U15" si="1">H7</f>
        <v>0</v>
      </c>
      <c r="V7" s="663" t="s">
        <v>14</v>
      </c>
      <c r="W7" s="664">
        <f t="shared" ref="W7:W15" si="2">J7</f>
        <v>0</v>
      </c>
      <c r="X7" s="665"/>
      <c r="Y7" s="3390" t="s">
        <v>1680</v>
      </c>
      <c r="Z7" s="3391"/>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6" t="s">
        <v>1683</v>
      </c>
      <c r="Q8" s="3391"/>
      <c r="R8" s="663" t="s">
        <v>14</v>
      </c>
      <c r="S8" s="664">
        <f t="shared" si="0"/>
        <v>100</v>
      </c>
      <c r="T8" s="663" t="s">
        <v>14</v>
      </c>
      <c r="U8" s="664">
        <f t="shared" si="1"/>
        <v>100</v>
      </c>
      <c r="V8" s="663" t="s">
        <v>14</v>
      </c>
      <c r="W8" s="664">
        <f t="shared" si="2"/>
        <v>100</v>
      </c>
      <c r="X8" s="665"/>
      <c r="Y8" s="3390" t="s">
        <v>1683</v>
      </c>
      <c r="Z8" s="3391"/>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05"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05"/>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05"/>
      <c r="Q11" s="529" t="str">
        <f t="shared" si="6"/>
        <v>容积率</v>
      </c>
      <c r="R11" s="663" t="s">
        <v>14</v>
      </c>
      <c r="S11" s="664">
        <f t="shared" si="0"/>
        <v>100</v>
      </c>
      <c r="T11" s="663" t="s">
        <v>14</v>
      </c>
      <c r="U11" s="664">
        <f t="shared" si="1"/>
        <v>100</v>
      </c>
      <c r="V11" s="663" t="s">
        <v>14</v>
      </c>
      <c r="W11" s="664">
        <f t="shared" si="2"/>
        <v>100</v>
      </c>
      <c r="X11" s="665"/>
      <c r="Y11" s="3355"/>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05"/>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05"/>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05"/>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31" t="s">
        <v>1691</v>
      </c>
      <c r="Q15" s="1261" t="str">
        <f t="shared" si="6"/>
        <v>办公集聚程度</v>
      </c>
      <c r="R15" s="666" t="s">
        <v>14</v>
      </c>
      <c r="S15" s="667">
        <f t="shared" si="0"/>
        <v>100</v>
      </c>
      <c r="T15" s="666" t="s">
        <v>14</v>
      </c>
      <c r="U15" s="667">
        <f t="shared" si="1"/>
        <v>100</v>
      </c>
      <c r="V15" s="666" t="s">
        <v>14</v>
      </c>
      <c r="W15" s="667">
        <f t="shared" si="2"/>
        <v>100</v>
      </c>
      <c r="X15" s="1263"/>
      <c r="Y15" s="3424"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32"/>
      <c r="Q16" s="1261"/>
      <c r="R16" s="666"/>
      <c r="S16" s="667"/>
      <c r="T16" s="666"/>
      <c r="U16" s="667"/>
      <c r="V16" s="666"/>
      <c r="W16" s="667"/>
      <c r="X16" s="1263"/>
      <c r="Y16" s="3425"/>
      <c r="Z16" s="1262"/>
      <c r="AA16" s="1262">
        <v>1</v>
      </c>
      <c r="AB16" s="1262">
        <v>1</v>
      </c>
      <c r="AC16" s="1807">
        <v>1</v>
      </c>
    </row>
    <row r="17" spans="1:29" ht="128.25">
      <c r="A17" s="366"/>
      <c r="B17" s="555" t="s">
        <v>1259</v>
      </c>
      <c r="C17" s="1808" t="str">
        <f>估价对象房地状况!C6</f>
        <v>周边有98路、113路、140路、405路等多条公交线路，地铁1号线与10号线换乘站国贸站，地铁6号线与10号线换乘站呼家楼站，综合评价交通便捷度好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32"/>
      <c r="Q17" s="1261" t="str">
        <f>B17</f>
        <v>交通便捷度</v>
      </c>
      <c r="R17" s="666" t="s">
        <v>14</v>
      </c>
      <c r="S17" s="667">
        <f>F17</f>
        <v>100</v>
      </c>
      <c r="T17" s="666" t="s">
        <v>14</v>
      </c>
      <c r="U17" s="667">
        <f>H17</f>
        <v>100</v>
      </c>
      <c r="V17" s="666" t="s">
        <v>14</v>
      </c>
      <c r="W17" s="667">
        <f>J17</f>
        <v>100</v>
      </c>
      <c r="X17" s="1263"/>
      <c r="Y17" s="3425"/>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32"/>
      <c r="Q18" s="1261"/>
      <c r="R18" s="666"/>
      <c r="S18" s="667"/>
      <c r="T18" s="666"/>
      <c r="U18" s="667"/>
      <c r="V18" s="666"/>
      <c r="W18" s="667"/>
      <c r="X18" s="1263"/>
      <c r="Y18" s="3425"/>
      <c r="Z18" s="1262"/>
      <c r="AA18" s="1262">
        <v>1</v>
      </c>
      <c r="AB18" s="1262">
        <v>1</v>
      </c>
      <c r="AC18" s="1807">
        <v>1</v>
      </c>
    </row>
    <row r="19" spans="1:29" ht="285">
      <c r="A19" s="366"/>
      <c r="B19" s="555" t="s">
        <v>1809</v>
      </c>
      <c r="C19" s="1808"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32"/>
      <c r="Q19" s="1261" t="str">
        <f>B19</f>
        <v>公共配套设施</v>
      </c>
      <c r="R19" s="666" t="s">
        <v>14</v>
      </c>
      <c r="S19" s="667">
        <f>F19</f>
        <v>100</v>
      </c>
      <c r="T19" s="666" t="s">
        <v>14</v>
      </c>
      <c r="U19" s="667">
        <f>H19</f>
        <v>100</v>
      </c>
      <c r="V19" s="666" t="s">
        <v>14</v>
      </c>
      <c r="W19" s="667">
        <f>J19</f>
        <v>100</v>
      </c>
      <c r="X19" s="1263"/>
      <c r="Y19" s="3425"/>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32"/>
      <c r="Q20" s="1261"/>
      <c r="R20" s="666"/>
      <c r="S20" s="667"/>
      <c r="T20" s="666"/>
      <c r="U20" s="667"/>
      <c r="V20" s="666"/>
      <c r="W20" s="667"/>
      <c r="X20" s="1263"/>
      <c r="Y20" s="3425"/>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32"/>
      <c r="Q21" s="1261" t="str">
        <f>B21</f>
        <v>基础设施水平</v>
      </c>
      <c r="R21" s="666" t="s">
        <v>14</v>
      </c>
      <c r="S21" s="667">
        <f>F21</f>
        <v>100</v>
      </c>
      <c r="T21" s="666" t="s">
        <v>14</v>
      </c>
      <c r="U21" s="667">
        <f>H21</f>
        <v>100</v>
      </c>
      <c r="V21" s="666" t="s">
        <v>14</v>
      </c>
      <c r="W21" s="667">
        <f>J21</f>
        <v>100</v>
      </c>
      <c r="X21" s="1263"/>
      <c r="Y21" s="3425"/>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32"/>
      <c r="Q22" s="1261"/>
      <c r="R22" s="666"/>
      <c r="S22" s="667"/>
      <c r="T22" s="666"/>
      <c r="U22" s="667"/>
      <c r="V22" s="666"/>
      <c r="W22" s="667"/>
      <c r="X22" s="1263"/>
      <c r="Y22" s="3425"/>
      <c r="Z22" s="1262"/>
      <c r="AA22" s="1262">
        <v>1</v>
      </c>
      <c r="AB22" s="1262">
        <v>1</v>
      </c>
      <c r="AC22" s="1807">
        <v>1</v>
      </c>
    </row>
    <row r="23" spans="1:29" ht="114">
      <c r="A23" s="366"/>
      <c r="B23" s="555" t="s">
        <v>1811</v>
      </c>
      <c r="C23" s="1808" t="str">
        <f>估价对象房地状况!C9</f>
        <v>自然环境：团结湖公园、日坛公园等自然景观；
人文环境：东岳庙、当代美术馆等人文场所；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32"/>
      <c r="Q23" s="1261" t="str">
        <f>B23</f>
        <v>环境质量</v>
      </c>
      <c r="R23" s="666" t="s">
        <v>14</v>
      </c>
      <c r="S23" s="667">
        <f>F23</f>
        <v>100</v>
      </c>
      <c r="T23" s="666" t="s">
        <v>14</v>
      </c>
      <c r="U23" s="667">
        <f>H23</f>
        <v>100</v>
      </c>
      <c r="V23" s="666" t="s">
        <v>14</v>
      </c>
      <c r="W23" s="667">
        <f>J23</f>
        <v>100</v>
      </c>
      <c r="X23" s="1263"/>
      <c r="Y23" s="3425"/>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32"/>
      <c r="Q24" s="1261"/>
      <c r="R24" s="666"/>
      <c r="S24" s="667"/>
      <c r="T24" s="666"/>
      <c r="U24" s="667"/>
      <c r="V24" s="666"/>
      <c r="W24" s="667"/>
      <c r="X24" s="1263"/>
      <c r="Y24" s="3425"/>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32"/>
      <c r="Q25" s="1261" t="str">
        <f>B25</f>
        <v>毗邻道路的类型与等级</v>
      </c>
      <c r="R25" s="666" t="s">
        <v>14</v>
      </c>
      <c r="S25" s="667">
        <f>F25</f>
        <v>100</v>
      </c>
      <c r="T25" s="666" t="s">
        <v>14</v>
      </c>
      <c r="U25" s="667">
        <f>H25</f>
        <v>100</v>
      </c>
      <c r="V25" s="666" t="s">
        <v>14</v>
      </c>
      <c r="W25" s="667">
        <f>J25</f>
        <v>100</v>
      </c>
      <c r="X25" s="1263"/>
      <c r="Y25" s="3425"/>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32"/>
      <c r="Q26" s="1261"/>
      <c r="R26" s="666"/>
      <c r="S26" s="667"/>
      <c r="T26" s="666"/>
      <c r="U26" s="667"/>
      <c r="V26" s="666"/>
      <c r="W26" s="667"/>
      <c r="X26" s="1263"/>
      <c r="Y26" s="3425"/>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32"/>
      <c r="Q27" s="1261" t="str">
        <f t="shared" ref="Q27:Q47" si="8">B27</f>
        <v>楼层</v>
      </c>
      <c r="R27" s="666" t="s">
        <v>14</v>
      </c>
      <c r="S27" s="667">
        <f>F27</f>
        <v>100</v>
      </c>
      <c r="T27" s="666" t="s">
        <v>14</v>
      </c>
      <c r="U27" s="667">
        <f>H27</f>
        <v>100</v>
      </c>
      <c r="V27" s="666" t="s">
        <v>14</v>
      </c>
      <c r="W27" s="667">
        <f>J27</f>
        <v>100</v>
      </c>
      <c r="X27" s="1263"/>
      <c r="Y27" s="3425"/>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32"/>
      <c r="Q28" s="529" t="str">
        <f t="shared" si="8"/>
        <v>朝向</v>
      </c>
      <c r="R28" s="663" t="s">
        <v>14</v>
      </c>
      <c r="S28" s="664">
        <f>F28</f>
        <v>100</v>
      </c>
      <c r="T28" s="663" t="s">
        <v>14</v>
      </c>
      <c r="U28" s="664">
        <f>H28</f>
        <v>100</v>
      </c>
      <c r="V28" s="663" t="s">
        <v>14</v>
      </c>
      <c r="W28" s="664">
        <f>J28</f>
        <v>100</v>
      </c>
      <c r="X28" s="665"/>
      <c r="Y28" s="3425"/>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32"/>
      <c r="Q29" s="1261">
        <f t="shared" si="8"/>
        <v>111</v>
      </c>
      <c r="R29" s="666" t="s">
        <v>14</v>
      </c>
      <c r="S29" s="667">
        <f t="shared" ref="S29:S47" si="9">F29</f>
        <v>100</v>
      </c>
      <c r="T29" s="666" t="s">
        <v>14</v>
      </c>
      <c r="U29" s="667">
        <f t="shared" ref="U29:U47" si="10">H29</f>
        <v>100</v>
      </c>
      <c r="V29" s="666" t="s">
        <v>14</v>
      </c>
      <c r="W29" s="667">
        <f t="shared" ref="W29:W47" si="11">J29</f>
        <v>100</v>
      </c>
      <c r="X29" s="1263"/>
      <c r="Y29" s="3425"/>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32"/>
      <c r="Q30" s="1261">
        <f t="shared" si="8"/>
        <v>111</v>
      </c>
      <c r="R30" s="666" t="s">
        <v>14</v>
      </c>
      <c r="S30" s="667">
        <f t="shared" si="9"/>
        <v>100</v>
      </c>
      <c r="T30" s="666" t="s">
        <v>14</v>
      </c>
      <c r="U30" s="667">
        <f t="shared" si="10"/>
        <v>100</v>
      </c>
      <c r="V30" s="666" t="s">
        <v>14</v>
      </c>
      <c r="W30" s="667">
        <f t="shared" si="11"/>
        <v>100</v>
      </c>
      <c r="X30" s="1263"/>
      <c r="Y30" s="3425"/>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32"/>
      <c r="Q31" s="1261">
        <f t="shared" si="8"/>
        <v>111</v>
      </c>
      <c r="R31" s="666" t="s">
        <v>14</v>
      </c>
      <c r="S31" s="667">
        <f t="shared" si="9"/>
        <v>100</v>
      </c>
      <c r="T31" s="666" t="s">
        <v>14</v>
      </c>
      <c r="U31" s="667">
        <f t="shared" si="10"/>
        <v>100</v>
      </c>
      <c r="V31" s="666" t="s">
        <v>14</v>
      </c>
      <c r="W31" s="667">
        <f t="shared" si="11"/>
        <v>100</v>
      </c>
      <c r="X31" s="1263"/>
      <c r="Y31" s="3425"/>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32"/>
      <c r="Q32" s="1261">
        <f t="shared" si="8"/>
        <v>111</v>
      </c>
      <c r="R32" s="666" t="s">
        <v>14</v>
      </c>
      <c r="S32" s="667">
        <f t="shared" si="9"/>
        <v>100</v>
      </c>
      <c r="T32" s="666" t="s">
        <v>14</v>
      </c>
      <c r="U32" s="667">
        <f t="shared" si="10"/>
        <v>100</v>
      </c>
      <c r="V32" s="666" t="s">
        <v>14</v>
      </c>
      <c r="W32" s="667">
        <f t="shared" si="11"/>
        <v>100</v>
      </c>
      <c r="X32" s="1263"/>
      <c r="Y32" s="3425"/>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26" t="s">
        <v>1696</v>
      </c>
      <c r="Q33" s="1261" t="str">
        <f t="shared" si="8"/>
        <v>建筑类型</v>
      </c>
      <c r="R33" s="666" t="s">
        <v>14</v>
      </c>
      <c r="S33" s="667">
        <f t="shared" si="9"/>
        <v>100</v>
      </c>
      <c r="T33" s="666" t="s">
        <v>14</v>
      </c>
      <c r="U33" s="667">
        <f t="shared" si="10"/>
        <v>100</v>
      </c>
      <c r="V33" s="666" t="s">
        <v>14</v>
      </c>
      <c r="W33" s="667">
        <f t="shared" si="11"/>
        <v>100</v>
      </c>
      <c r="X33" s="1263"/>
      <c r="Y33" s="3429"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27"/>
      <c r="Q34" s="530" t="str">
        <f t="shared" si="8"/>
        <v>项目建筑规模</v>
      </c>
      <c r="R34" s="668" t="s">
        <v>14</v>
      </c>
      <c r="S34" s="669" t="e">
        <f t="shared" si="9"/>
        <v>#N/A</v>
      </c>
      <c r="T34" s="668" t="s">
        <v>14</v>
      </c>
      <c r="U34" s="669" t="e">
        <f t="shared" si="10"/>
        <v>#N/A</v>
      </c>
      <c r="V34" s="668" t="s">
        <v>14</v>
      </c>
      <c r="W34" s="669" t="e">
        <f t="shared" si="11"/>
        <v>#N/A</v>
      </c>
      <c r="X34" s="670"/>
      <c r="Y34" s="3429"/>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27"/>
      <c r="Q35" s="1261" t="str">
        <f t="shared" si="8"/>
        <v>建筑结构</v>
      </c>
      <c r="R35" s="666" t="s">
        <v>14</v>
      </c>
      <c r="S35" s="667">
        <f t="shared" si="9"/>
        <v>100</v>
      </c>
      <c r="T35" s="666" t="s">
        <v>14</v>
      </c>
      <c r="U35" s="667">
        <f t="shared" si="10"/>
        <v>100</v>
      </c>
      <c r="V35" s="666" t="s">
        <v>14</v>
      </c>
      <c r="W35" s="667">
        <f t="shared" si="11"/>
        <v>100</v>
      </c>
      <c r="X35" s="1263"/>
      <c r="Y35" s="3429"/>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27"/>
      <c r="Q36" s="1261" t="str">
        <f t="shared" si="8"/>
        <v>公共部分装修</v>
      </c>
      <c r="R36" s="666" t="s">
        <v>14</v>
      </c>
      <c r="S36" s="667">
        <f t="shared" si="9"/>
        <v>100</v>
      </c>
      <c r="T36" s="666" t="s">
        <v>14</v>
      </c>
      <c r="U36" s="667">
        <f t="shared" si="10"/>
        <v>100</v>
      </c>
      <c r="V36" s="666" t="s">
        <v>14</v>
      </c>
      <c r="W36" s="667">
        <f t="shared" si="11"/>
        <v>100</v>
      </c>
      <c r="X36" s="1263"/>
      <c r="Y36" s="3429"/>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27"/>
      <c r="Q37" s="1261" t="str">
        <f t="shared" si="8"/>
        <v>成新度</v>
      </c>
      <c r="R37" s="666" t="s">
        <v>14</v>
      </c>
      <c r="S37" s="667" t="e">
        <f t="shared" si="9"/>
        <v>#N/A</v>
      </c>
      <c r="T37" s="666" t="s">
        <v>14</v>
      </c>
      <c r="U37" s="667" t="e">
        <f t="shared" si="10"/>
        <v>#N/A</v>
      </c>
      <c r="V37" s="666" t="s">
        <v>14</v>
      </c>
      <c r="W37" s="667" t="e">
        <f t="shared" si="11"/>
        <v>#N/A</v>
      </c>
      <c r="X37" s="1263"/>
      <c r="Y37" s="3429"/>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27"/>
      <c r="Q38" s="529" t="str">
        <f t="shared" si="8"/>
        <v>写字楼等级</v>
      </c>
      <c r="R38" s="663" t="s">
        <v>14</v>
      </c>
      <c r="S38" s="664">
        <f t="shared" si="9"/>
        <v>100</v>
      </c>
      <c r="T38" s="663" t="s">
        <v>14</v>
      </c>
      <c r="U38" s="664">
        <f t="shared" si="10"/>
        <v>100</v>
      </c>
      <c r="V38" s="663" t="s">
        <v>14</v>
      </c>
      <c r="W38" s="664">
        <f t="shared" si="11"/>
        <v>100</v>
      </c>
      <c r="X38" s="665"/>
      <c r="Y38" s="3429"/>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27" t="s">
        <v>1696</v>
      </c>
      <c r="Q39" s="1261" t="str">
        <f t="shared" si="8"/>
        <v>物业管理</v>
      </c>
      <c r="R39" s="666" t="s">
        <v>14</v>
      </c>
      <c r="S39" s="667">
        <f t="shared" si="9"/>
        <v>100</v>
      </c>
      <c r="T39" s="666" t="s">
        <v>14</v>
      </c>
      <c r="U39" s="667">
        <f t="shared" si="10"/>
        <v>100</v>
      </c>
      <c r="V39" s="666" t="s">
        <v>14</v>
      </c>
      <c r="W39" s="667">
        <f t="shared" si="11"/>
        <v>100</v>
      </c>
      <c r="X39" s="1263"/>
      <c r="Y39" s="3429"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27"/>
      <c r="Q40" s="1261" t="str">
        <f t="shared" si="8"/>
        <v>市政基础设施</v>
      </c>
      <c r="R40" s="666" t="s">
        <v>14</v>
      </c>
      <c r="S40" s="667">
        <f t="shared" si="9"/>
        <v>100</v>
      </c>
      <c r="T40" s="666" t="s">
        <v>14</v>
      </c>
      <c r="U40" s="667">
        <f t="shared" si="10"/>
        <v>100</v>
      </c>
      <c r="V40" s="666" t="s">
        <v>14</v>
      </c>
      <c r="W40" s="667">
        <f t="shared" si="11"/>
        <v>100</v>
      </c>
      <c r="X40" s="1263"/>
      <c r="Y40" s="3429"/>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27"/>
      <c r="Q41" s="1261" t="str">
        <f t="shared" si="8"/>
        <v>层高</v>
      </c>
      <c r="R41" s="666" t="s">
        <v>14</v>
      </c>
      <c r="S41" s="667">
        <f t="shared" si="9"/>
        <v>100</v>
      </c>
      <c r="T41" s="666" t="s">
        <v>14</v>
      </c>
      <c r="U41" s="667">
        <f t="shared" si="10"/>
        <v>100</v>
      </c>
      <c r="V41" s="666" t="s">
        <v>14</v>
      </c>
      <c r="W41" s="667">
        <f t="shared" si="11"/>
        <v>100</v>
      </c>
      <c r="X41" s="1263"/>
      <c r="Y41" s="3429"/>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27"/>
      <c r="Q42" s="530" t="str">
        <f t="shared" si="8"/>
        <v>单套建筑面积</v>
      </c>
      <c r="R42" s="668" t="s">
        <v>14</v>
      </c>
      <c r="S42" s="669">
        <f t="shared" si="9"/>
        <v>100</v>
      </c>
      <c r="T42" s="668" t="s">
        <v>14</v>
      </c>
      <c r="U42" s="669">
        <f t="shared" si="10"/>
        <v>100</v>
      </c>
      <c r="V42" s="668" t="s">
        <v>14</v>
      </c>
      <c r="W42" s="669">
        <f t="shared" si="11"/>
        <v>100</v>
      </c>
      <c r="X42" s="670"/>
      <c r="Y42" s="3429"/>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27"/>
      <c r="Q43" s="1261" t="str">
        <f t="shared" si="8"/>
        <v>内部装修</v>
      </c>
      <c r="R43" s="666" t="s">
        <v>14</v>
      </c>
      <c r="S43" s="667">
        <f t="shared" si="9"/>
        <v>100</v>
      </c>
      <c r="T43" s="666" t="s">
        <v>14</v>
      </c>
      <c r="U43" s="667">
        <f t="shared" si="10"/>
        <v>100</v>
      </c>
      <c r="V43" s="666" t="s">
        <v>14</v>
      </c>
      <c r="W43" s="667">
        <f t="shared" si="11"/>
        <v>100</v>
      </c>
      <c r="X43" s="1263"/>
      <c r="Y43" s="3429"/>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27"/>
      <c r="Q44" s="1261" t="str">
        <f t="shared" si="8"/>
        <v>内部装修维护情况</v>
      </c>
      <c r="R44" s="666" t="s">
        <v>14</v>
      </c>
      <c r="S44" s="667">
        <f t="shared" si="9"/>
        <v>100</v>
      </c>
      <c r="T44" s="666" t="s">
        <v>14</v>
      </c>
      <c r="U44" s="667">
        <f t="shared" si="10"/>
        <v>100</v>
      </c>
      <c r="V44" s="666" t="s">
        <v>14</v>
      </c>
      <c r="W44" s="667">
        <f t="shared" si="11"/>
        <v>100</v>
      </c>
      <c r="X44" s="1263"/>
      <c r="Y44" s="3429"/>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27"/>
      <c r="Q45" s="529">
        <f t="shared" si="8"/>
        <v>111</v>
      </c>
      <c r="R45" s="663" t="s">
        <v>14</v>
      </c>
      <c r="S45" s="664">
        <f t="shared" si="9"/>
        <v>100</v>
      </c>
      <c r="T45" s="663" t="s">
        <v>14</v>
      </c>
      <c r="U45" s="664">
        <f t="shared" si="10"/>
        <v>100</v>
      </c>
      <c r="V45" s="663" t="s">
        <v>14</v>
      </c>
      <c r="W45" s="664">
        <f t="shared" si="11"/>
        <v>100</v>
      </c>
      <c r="X45" s="665"/>
      <c r="Y45" s="3429"/>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27"/>
      <c r="Q46" s="1261">
        <f t="shared" si="8"/>
        <v>111</v>
      </c>
      <c r="R46" s="666" t="s">
        <v>14</v>
      </c>
      <c r="S46" s="667">
        <f t="shared" si="9"/>
        <v>100</v>
      </c>
      <c r="T46" s="666" t="s">
        <v>14</v>
      </c>
      <c r="U46" s="667">
        <f t="shared" si="10"/>
        <v>100</v>
      </c>
      <c r="V46" s="666" t="s">
        <v>14</v>
      </c>
      <c r="W46" s="667">
        <f t="shared" si="11"/>
        <v>100</v>
      </c>
      <c r="X46" s="1263"/>
      <c r="Y46" s="3429"/>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28"/>
      <c r="Q47" s="1261">
        <f t="shared" si="8"/>
        <v>111</v>
      </c>
      <c r="R47" s="666" t="s">
        <v>14</v>
      </c>
      <c r="S47" s="667">
        <f t="shared" si="9"/>
        <v>100</v>
      </c>
      <c r="T47" s="666" t="s">
        <v>14</v>
      </c>
      <c r="U47" s="667">
        <f t="shared" si="10"/>
        <v>100</v>
      </c>
      <c r="V47" s="666" t="s">
        <v>14</v>
      </c>
      <c r="W47" s="667">
        <f t="shared" si="11"/>
        <v>100</v>
      </c>
      <c r="X47" s="1263"/>
      <c r="Y47" s="3430"/>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05" t="str">
        <f>A48</f>
        <v>成交单价（元/平方米）</v>
      </c>
      <c r="Q48" s="3423"/>
      <c r="R48" s="3418">
        <f>E48</f>
        <v>0</v>
      </c>
      <c r="S48" s="3418"/>
      <c r="T48" s="3418">
        <f>G48</f>
        <v>0</v>
      </c>
      <c r="U48" s="3418"/>
      <c r="V48" s="3418">
        <f>I48</f>
        <v>0</v>
      </c>
      <c r="W48" s="3418"/>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05" t="str">
        <f>A49</f>
        <v>比较价值（元/平方米）</v>
      </c>
      <c r="Q49" s="3423"/>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67" t="str">
        <f>A50</f>
        <v>估价对象XX用房的比较价值（楼面单价，元/平方米）</v>
      </c>
      <c r="Q50" s="3468"/>
      <c r="R50" s="3469" t="e">
        <f>IF(F1="售价",ROUND(IF(D49="简单平均",AVERAGE(R49:V49),R49*F49+T49*H49+V49*J49),0),ROUND(IF(D49="简单平均",AVERAGE(R49:V49),R49*F49+T49*H49+V49*J49),1))</f>
        <v>#DIV/0!</v>
      </c>
      <c r="S50" s="3469"/>
      <c r="T50" s="3469"/>
      <c r="U50" s="3469"/>
      <c r="V50" s="3469"/>
      <c r="W50" s="3469"/>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2025-3</v>
      </c>
      <c r="D59" s="1102">
        <f>EDATE(C59,-1)</f>
        <v>45689</v>
      </c>
      <c r="E59" s="1102">
        <f>EDATE(D59,-1)</f>
        <v>45658</v>
      </c>
      <c r="F59" s="1102">
        <f t="shared" ref="F59:O59" si="13">EDATE(E59,-1)</f>
        <v>45627</v>
      </c>
      <c r="G59" s="1102">
        <f t="shared" si="13"/>
        <v>45597</v>
      </c>
      <c r="H59" s="1102">
        <f t="shared" si="13"/>
        <v>45566</v>
      </c>
      <c r="I59" s="1102">
        <f t="shared" si="13"/>
        <v>45536</v>
      </c>
      <c r="J59" s="1102">
        <f t="shared" si="13"/>
        <v>45505</v>
      </c>
      <c r="K59" s="1102">
        <f t="shared" si="13"/>
        <v>45474</v>
      </c>
      <c r="L59" s="1102">
        <f t="shared" si="13"/>
        <v>45444</v>
      </c>
      <c r="M59" s="1102">
        <f t="shared" si="13"/>
        <v>45413</v>
      </c>
      <c r="N59" s="1102">
        <f t="shared" si="13"/>
        <v>45383</v>
      </c>
      <c r="O59" s="1102">
        <f t="shared" si="13"/>
        <v>45352</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109.66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06" t="s">
        <v>1767</v>
      </c>
      <c r="D4" s="3407"/>
      <c r="E4" s="3408" t="s">
        <v>1768</v>
      </c>
      <c r="F4" s="3409"/>
      <c r="G4" s="3406" t="s">
        <v>1769</v>
      </c>
      <c r="H4" s="3407"/>
      <c r="I4" s="3406" t="s">
        <v>1770</v>
      </c>
      <c r="J4" s="3407"/>
      <c r="K4" s="536" t="s">
        <v>1771</v>
      </c>
      <c r="L4" s="859"/>
      <c r="M4" s="860"/>
      <c r="N4" s="860"/>
      <c r="O4" s="860"/>
      <c r="P4" s="3410" t="s">
        <v>1772</v>
      </c>
      <c r="Q4" s="3411"/>
      <c r="R4" s="3392" t="s">
        <v>1768</v>
      </c>
      <c r="S4" s="3393"/>
      <c r="T4" s="3392" t="s">
        <v>1769</v>
      </c>
      <c r="U4" s="3393"/>
      <c r="V4" s="3418" t="s">
        <v>1770</v>
      </c>
      <c r="W4" s="3418"/>
      <c r="X4" s="1263"/>
      <c r="Y4" s="3392" t="s">
        <v>1772</v>
      </c>
      <c r="Z4" s="3393"/>
      <c r="AA4" s="3387" t="s">
        <v>1768</v>
      </c>
      <c r="AB4" s="3388" t="s">
        <v>1769</v>
      </c>
      <c r="AC4" s="3387" t="s">
        <v>1770</v>
      </c>
    </row>
    <row r="5" spans="1:29" ht="15">
      <c r="A5" s="347"/>
      <c r="B5" s="348"/>
      <c r="C5" s="3402" t="s">
        <v>1673</v>
      </c>
      <c r="D5" s="3399"/>
      <c r="E5" s="3454" t="s">
        <v>1674</v>
      </c>
      <c r="F5" s="3397"/>
      <c r="G5" s="3402" t="s">
        <v>1675</v>
      </c>
      <c r="H5" s="3399"/>
      <c r="I5" s="3402" t="s">
        <v>1676</v>
      </c>
      <c r="J5" s="3399"/>
      <c r="K5" s="536"/>
      <c r="L5" s="859"/>
      <c r="M5" s="860"/>
      <c r="N5" s="860"/>
      <c r="O5" s="860"/>
      <c r="P5" s="3412"/>
      <c r="Q5" s="3413"/>
      <c r="R5" s="3394"/>
      <c r="S5" s="3395"/>
      <c r="T5" s="3394"/>
      <c r="U5" s="3395"/>
      <c r="V5" s="3418"/>
      <c r="W5" s="3418"/>
      <c r="X5" s="1263"/>
      <c r="Y5" s="3394"/>
      <c r="Z5" s="3395"/>
      <c r="AA5" s="3388"/>
      <c r="AB5" s="3388"/>
      <c r="AC5" s="3388"/>
    </row>
    <row r="6" spans="1:29" ht="15.75" thickBot="1">
      <c r="A6" s="349"/>
      <c r="B6" s="350"/>
      <c r="C6" s="3400" t="s">
        <v>1677</v>
      </c>
      <c r="D6" s="3401"/>
      <c r="E6" s="3403" t="s">
        <v>1677</v>
      </c>
      <c r="F6" s="3404"/>
      <c r="G6" s="3400" t="s">
        <v>1677</v>
      </c>
      <c r="H6" s="3401"/>
      <c r="I6" s="3400" t="s">
        <v>1677</v>
      </c>
      <c r="J6" s="3401"/>
      <c r="K6" s="536" t="s">
        <v>1678</v>
      </c>
      <c r="L6" s="859"/>
      <c r="M6" s="860"/>
      <c r="N6" s="860"/>
      <c r="O6" s="860"/>
      <c r="P6" s="3414"/>
      <c r="Q6" s="3415"/>
      <c r="R6" s="3394"/>
      <c r="S6" s="3395"/>
      <c r="T6" s="3416"/>
      <c r="U6" s="3417"/>
      <c r="V6" s="3418"/>
      <c r="W6" s="3418"/>
      <c r="X6" s="1263"/>
      <c r="Y6" s="3416"/>
      <c r="Z6" s="3417"/>
      <c r="AA6" s="3389"/>
      <c r="AB6" s="3389"/>
      <c r="AC6" s="3389"/>
    </row>
    <row r="7" spans="1:29" s="101" customFormat="1" ht="15.75" thickBot="1">
      <c r="A7" s="351" t="s">
        <v>1679</v>
      </c>
      <c r="B7" s="352"/>
      <c r="C7" s="353">
        <f>'数据-取费表'!B2</f>
        <v>45727</v>
      </c>
      <c r="D7" s="354">
        <v>100</v>
      </c>
      <c r="E7" s="355"/>
      <c r="F7" s="356">
        <f>SUMIF(52:52,YEAR(E7)&amp;"-"&amp;MONTH(E7),53:53)</f>
        <v>0</v>
      </c>
      <c r="G7" s="355"/>
      <c r="H7" s="354">
        <f>SUMIF(52:52,YEAR(G7)&amp;"-"&amp;MONTH(G7),53:53)</f>
        <v>0</v>
      </c>
      <c r="I7" s="355"/>
      <c r="J7" s="354">
        <f>SUMIF(52:52,YEAR(I7)&amp;"-"&amp;MONTH(I7),53:53)</f>
        <v>0</v>
      </c>
      <c r="K7" s="38"/>
      <c r="L7" s="861"/>
      <c r="M7" s="862"/>
      <c r="N7" s="862"/>
      <c r="O7" s="862"/>
      <c r="P7" s="3390" t="s">
        <v>1680</v>
      </c>
      <c r="Q7" s="3419"/>
      <c r="R7" s="663" t="s">
        <v>14</v>
      </c>
      <c r="S7" s="664">
        <f t="shared" ref="S7:S15" si="0">F7</f>
        <v>0</v>
      </c>
      <c r="T7" s="663" t="s">
        <v>14</v>
      </c>
      <c r="U7" s="664">
        <f t="shared" ref="U7:U15" si="1">H7</f>
        <v>0</v>
      </c>
      <c r="V7" s="663" t="s">
        <v>14</v>
      </c>
      <c r="W7" s="664">
        <f t="shared" ref="W7:W15" si="2">J7</f>
        <v>0</v>
      </c>
      <c r="X7" s="665"/>
      <c r="Y7" s="3390" t="s">
        <v>1680</v>
      </c>
      <c r="Z7" s="3391"/>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90" t="s">
        <v>1683</v>
      </c>
      <c r="Q8" s="3391"/>
      <c r="R8" s="663" t="s">
        <v>14</v>
      </c>
      <c r="S8" s="664">
        <f t="shared" si="0"/>
        <v>100</v>
      </c>
      <c r="T8" s="663" t="s">
        <v>14</v>
      </c>
      <c r="U8" s="664">
        <f t="shared" si="1"/>
        <v>100</v>
      </c>
      <c r="V8" s="663" t="s">
        <v>14</v>
      </c>
      <c r="W8" s="664">
        <f t="shared" si="2"/>
        <v>100</v>
      </c>
      <c r="X8" s="665"/>
      <c r="Y8" s="3390" t="s">
        <v>1683</v>
      </c>
      <c r="Z8" s="3391"/>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23"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23"/>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23"/>
      <c r="Q11" s="529" t="str">
        <f t="shared" si="6"/>
        <v>容积率</v>
      </c>
      <c r="R11" s="663" t="s">
        <v>14</v>
      </c>
      <c r="S11" s="664">
        <f t="shared" si="0"/>
        <v>100</v>
      </c>
      <c r="T11" s="663" t="s">
        <v>14</v>
      </c>
      <c r="U11" s="664">
        <f t="shared" si="1"/>
        <v>100</v>
      </c>
      <c r="V11" s="663" t="s">
        <v>14</v>
      </c>
      <c r="W11" s="664">
        <f t="shared" si="2"/>
        <v>100</v>
      </c>
      <c r="X11" s="665"/>
      <c r="Y11" s="3355"/>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23"/>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23"/>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23"/>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24" t="s">
        <v>1691</v>
      </c>
      <c r="Q15" s="1261" t="str">
        <f t="shared" si="6"/>
        <v>产业集聚程度</v>
      </c>
      <c r="R15" s="666" t="s">
        <v>14</v>
      </c>
      <c r="S15" s="667">
        <f t="shared" si="0"/>
        <v>100</v>
      </c>
      <c r="T15" s="666" t="s">
        <v>14</v>
      </c>
      <c r="U15" s="667">
        <f t="shared" si="1"/>
        <v>100</v>
      </c>
      <c r="V15" s="666" t="s">
        <v>14</v>
      </c>
      <c r="W15" s="667">
        <f t="shared" si="2"/>
        <v>100</v>
      </c>
      <c r="X15" s="1263"/>
      <c r="Y15" s="3424"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25"/>
      <c r="Q16" s="1261"/>
      <c r="R16" s="666"/>
      <c r="S16" s="667"/>
      <c r="T16" s="666"/>
      <c r="U16" s="667"/>
      <c r="V16" s="666"/>
      <c r="W16" s="667"/>
      <c r="X16" s="1263"/>
      <c r="Y16" s="3425"/>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25"/>
      <c r="Q17" s="1261" t="str">
        <f>B17</f>
        <v>交通便捷度</v>
      </c>
      <c r="R17" s="666" t="s">
        <v>14</v>
      </c>
      <c r="S17" s="667">
        <f>F17</f>
        <v>100</v>
      </c>
      <c r="T17" s="666" t="s">
        <v>14</v>
      </c>
      <c r="U17" s="667">
        <f>H17</f>
        <v>100</v>
      </c>
      <c r="V17" s="666" t="s">
        <v>14</v>
      </c>
      <c r="W17" s="667">
        <f>J17</f>
        <v>100</v>
      </c>
      <c r="X17" s="1263"/>
      <c r="Y17" s="3425"/>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25"/>
      <c r="Q18" s="1261"/>
      <c r="R18" s="666"/>
      <c r="S18" s="667"/>
      <c r="T18" s="666"/>
      <c r="U18" s="667"/>
      <c r="V18" s="666"/>
      <c r="W18" s="667"/>
      <c r="X18" s="1263"/>
      <c r="Y18" s="3425"/>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25"/>
      <c r="Q19" s="1261" t="str">
        <f>B19</f>
        <v>公共配套设施</v>
      </c>
      <c r="R19" s="666" t="s">
        <v>14</v>
      </c>
      <c r="S19" s="667">
        <f>F19</f>
        <v>100</v>
      </c>
      <c r="T19" s="666" t="s">
        <v>14</v>
      </c>
      <c r="U19" s="667">
        <f>H19</f>
        <v>100</v>
      </c>
      <c r="V19" s="666" t="s">
        <v>14</v>
      </c>
      <c r="W19" s="667">
        <f>J19</f>
        <v>100</v>
      </c>
      <c r="X19" s="1263"/>
      <c r="Y19" s="3425"/>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25"/>
      <c r="Q20" s="1261"/>
      <c r="R20" s="666"/>
      <c r="S20" s="667"/>
      <c r="T20" s="666"/>
      <c r="U20" s="667"/>
      <c r="V20" s="666"/>
      <c r="W20" s="667"/>
      <c r="X20" s="1263"/>
      <c r="Y20" s="3425"/>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25"/>
      <c r="Q21" s="1261" t="str">
        <f>B21</f>
        <v>基础设施水平</v>
      </c>
      <c r="R21" s="666" t="s">
        <v>14</v>
      </c>
      <c r="S21" s="667">
        <f>F21</f>
        <v>100</v>
      </c>
      <c r="T21" s="666" t="s">
        <v>14</v>
      </c>
      <c r="U21" s="667">
        <f>H21</f>
        <v>100</v>
      </c>
      <c r="V21" s="666" t="s">
        <v>14</v>
      </c>
      <c r="W21" s="667">
        <f>J21</f>
        <v>100</v>
      </c>
      <c r="X21" s="1263"/>
      <c r="Y21" s="3425"/>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25"/>
      <c r="Q22" s="1261"/>
      <c r="R22" s="666"/>
      <c r="S22" s="667"/>
      <c r="T22" s="666"/>
      <c r="U22" s="667"/>
      <c r="V22" s="666"/>
      <c r="W22" s="667"/>
      <c r="X22" s="1263"/>
      <c r="Y22" s="3425"/>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25"/>
      <c r="Q23" s="1261" t="str">
        <f>B23</f>
        <v>环境质量</v>
      </c>
      <c r="R23" s="666" t="s">
        <v>14</v>
      </c>
      <c r="S23" s="667">
        <f>F23</f>
        <v>100</v>
      </c>
      <c r="T23" s="666" t="s">
        <v>14</v>
      </c>
      <c r="U23" s="667">
        <f>H23</f>
        <v>100</v>
      </c>
      <c r="V23" s="666" t="s">
        <v>14</v>
      </c>
      <c r="W23" s="667">
        <f>J23</f>
        <v>100</v>
      </c>
      <c r="X23" s="1263"/>
      <c r="Y23" s="3425"/>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25"/>
      <c r="Q24" s="1261"/>
      <c r="R24" s="666"/>
      <c r="S24" s="667"/>
      <c r="T24" s="666"/>
      <c r="U24" s="667"/>
      <c r="V24" s="666"/>
      <c r="W24" s="667"/>
      <c r="X24" s="1263"/>
      <c r="Y24" s="3425"/>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25"/>
      <c r="Q25" s="1261">
        <f>B25</f>
        <v>111</v>
      </c>
      <c r="R25" s="666" t="s">
        <v>14</v>
      </c>
      <c r="S25" s="667">
        <f>F25</f>
        <v>100</v>
      </c>
      <c r="T25" s="666" t="s">
        <v>14</v>
      </c>
      <c r="U25" s="667">
        <f>H25</f>
        <v>100</v>
      </c>
      <c r="V25" s="666" t="s">
        <v>14</v>
      </c>
      <c r="W25" s="667">
        <f>J25</f>
        <v>100</v>
      </c>
      <c r="X25" s="1263"/>
      <c r="Y25" s="3425"/>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25"/>
      <c r="Q26" s="1261">
        <f t="shared" ref="Q26:Q40" si="8">B26</f>
        <v>111</v>
      </c>
      <c r="R26" s="666" t="s">
        <v>14</v>
      </c>
      <c r="S26" s="667">
        <f>F26</f>
        <v>100</v>
      </c>
      <c r="T26" s="666" t="s">
        <v>14</v>
      </c>
      <c r="U26" s="667">
        <f>H26</f>
        <v>100</v>
      </c>
      <c r="V26" s="666" t="s">
        <v>14</v>
      </c>
      <c r="W26" s="667">
        <f>J26</f>
        <v>100</v>
      </c>
      <c r="X26" s="1263"/>
      <c r="Y26" s="3425"/>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25"/>
      <c r="Q27" s="529">
        <f t="shared" si="8"/>
        <v>111</v>
      </c>
      <c r="R27" s="663" t="s">
        <v>14</v>
      </c>
      <c r="S27" s="664">
        <f>F27</f>
        <v>100</v>
      </c>
      <c r="T27" s="663" t="s">
        <v>14</v>
      </c>
      <c r="U27" s="664">
        <f>H27</f>
        <v>100</v>
      </c>
      <c r="V27" s="663" t="s">
        <v>14</v>
      </c>
      <c r="W27" s="664">
        <f>J27</f>
        <v>100</v>
      </c>
      <c r="X27" s="665"/>
      <c r="Y27" s="3425"/>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25"/>
      <c r="Q28" s="1261">
        <f t="shared" si="8"/>
        <v>111</v>
      </c>
      <c r="R28" s="666" t="s">
        <v>14</v>
      </c>
      <c r="S28" s="667">
        <f t="shared" ref="S28:S40" si="9">F28</f>
        <v>100</v>
      </c>
      <c r="T28" s="666" t="s">
        <v>14</v>
      </c>
      <c r="U28" s="667">
        <f t="shared" ref="U28:U40" si="10">H28</f>
        <v>100</v>
      </c>
      <c r="V28" s="666" t="s">
        <v>14</v>
      </c>
      <c r="W28" s="667">
        <f t="shared" ref="W28:W40" si="11">J28</f>
        <v>100</v>
      </c>
      <c r="X28" s="1263"/>
      <c r="Y28" s="3425"/>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70" t="s">
        <v>1696</v>
      </c>
      <c r="Q29" s="1261" t="str">
        <f t="shared" si="8"/>
        <v>建筑类型</v>
      </c>
      <c r="R29" s="666" t="s">
        <v>14</v>
      </c>
      <c r="S29" s="667">
        <f t="shared" si="9"/>
        <v>100</v>
      </c>
      <c r="T29" s="666" t="s">
        <v>14</v>
      </c>
      <c r="U29" s="667">
        <f t="shared" si="10"/>
        <v>100</v>
      </c>
      <c r="V29" s="666" t="s">
        <v>14</v>
      </c>
      <c r="W29" s="667">
        <f t="shared" si="11"/>
        <v>100</v>
      </c>
      <c r="X29" s="1263"/>
      <c r="Y29" s="3429"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9"/>
      <c r="Q30" s="530" t="str">
        <f t="shared" si="8"/>
        <v>项目建筑规模</v>
      </c>
      <c r="R30" s="668" t="s">
        <v>14</v>
      </c>
      <c r="S30" s="669" t="e">
        <f t="shared" si="9"/>
        <v>#N/A</v>
      </c>
      <c r="T30" s="668" t="s">
        <v>14</v>
      </c>
      <c r="U30" s="669" t="e">
        <f t="shared" si="10"/>
        <v>#N/A</v>
      </c>
      <c r="V30" s="668" t="s">
        <v>14</v>
      </c>
      <c r="W30" s="669" t="e">
        <f t="shared" si="11"/>
        <v>#N/A</v>
      </c>
      <c r="X30" s="670"/>
      <c r="Y30" s="3429"/>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9"/>
      <c r="Q31" s="1261" t="str">
        <f t="shared" si="8"/>
        <v>建筑结构</v>
      </c>
      <c r="R31" s="666" t="s">
        <v>14</v>
      </c>
      <c r="S31" s="667">
        <f t="shared" si="9"/>
        <v>100</v>
      </c>
      <c r="T31" s="666" t="s">
        <v>14</v>
      </c>
      <c r="U31" s="667">
        <f t="shared" si="10"/>
        <v>100</v>
      </c>
      <c r="V31" s="666" t="s">
        <v>14</v>
      </c>
      <c r="W31" s="667">
        <f t="shared" si="11"/>
        <v>100</v>
      </c>
      <c r="X31" s="1263"/>
      <c r="Y31" s="3429"/>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9"/>
      <c r="Q32" s="1261" t="str">
        <f t="shared" si="8"/>
        <v>公共部分装修</v>
      </c>
      <c r="R32" s="666" t="s">
        <v>14</v>
      </c>
      <c r="S32" s="667">
        <f t="shared" si="9"/>
        <v>100</v>
      </c>
      <c r="T32" s="666" t="s">
        <v>14</v>
      </c>
      <c r="U32" s="667">
        <f t="shared" si="10"/>
        <v>100</v>
      </c>
      <c r="V32" s="666" t="s">
        <v>14</v>
      </c>
      <c r="W32" s="667">
        <f t="shared" si="11"/>
        <v>100</v>
      </c>
      <c r="X32" s="1263"/>
      <c r="Y32" s="3429"/>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9"/>
      <c r="Q33" s="1261" t="str">
        <f t="shared" si="8"/>
        <v>成新度</v>
      </c>
      <c r="R33" s="666" t="s">
        <v>14</v>
      </c>
      <c r="S33" s="667" t="e">
        <f t="shared" si="9"/>
        <v>#N/A</v>
      </c>
      <c r="T33" s="666" t="s">
        <v>14</v>
      </c>
      <c r="U33" s="667" t="e">
        <f t="shared" si="10"/>
        <v>#N/A</v>
      </c>
      <c r="V33" s="666" t="s">
        <v>14</v>
      </c>
      <c r="W33" s="667" t="e">
        <f t="shared" si="11"/>
        <v>#N/A</v>
      </c>
      <c r="X33" s="1263"/>
      <c r="Y33" s="3429"/>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9"/>
      <c r="Q34" s="529" t="str">
        <f t="shared" si="8"/>
        <v>物业管理</v>
      </c>
      <c r="R34" s="663" t="s">
        <v>14</v>
      </c>
      <c r="S34" s="664">
        <f t="shared" si="9"/>
        <v>100</v>
      </c>
      <c r="T34" s="663" t="s">
        <v>14</v>
      </c>
      <c r="U34" s="664">
        <f t="shared" si="10"/>
        <v>100</v>
      </c>
      <c r="V34" s="663" t="s">
        <v>14</v>
      </c>
      <c r="W34" s="664">
        <f t="shared" si="11"/>
        <v>100</v>
      </c>
      <c r="X34" s="665"/>
      <c r="Y34" s="3429"/>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9" t="s">
        <v>1696</v>
      </c>
      <c r="Q35" s="1261" t="str">
        <f t="shared" si="8"/>
        <v>市政基础设施</v>
      </c>
      <c r="R35" s="666" t="s">
        <v>14</v>
      </c>
      <c r="S35" s="667">
        <f t="shared" si="9"/>
        <v>100</v>
      </c>
      <c r="T35" s="666" t="s">
        <v>14</v>
      </c>
      <c r="U35" s="667">
        <f t="shared" si="10"/>
        <v>100</v>
      </c>
      <c r="V35" s="666" t="s">
        <v>14</v>
      </c>
      <c r="W35" s="667">
        <f t="shared" si="11"/>
        <v>100</v>
      </c>
      <c r="X35" s="1263"/>
      <c r="Y35" s="3429"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9"/>
      <c r="Q36" s="1261" t="str">
        <f t="shared" si="8"/>
        <v>内部装修</v>
      </c>
      <c r="R36" s="666" t="s">
        <v>14</v>
      </c>
      <c r="S36" s="667">
        <f t="shared" si="9"/>
        <v>100</v>
      </c>
      <c r="T36" s="666" t="s">
        <v>14</v>
      </c>
      <c r="U36" s="667">
        <f t="shared" si="10"/>
        <v>100</v>
      </c>
      <c r="V36" s="666" t="s">
        <v>14</v>
      </c>
      <c r="W36" s="667">
        <f t="shared" si="11"/>
        <v>100</v>
      </c>
      <c r="X36" s="1263"/>
      <c r="Y36" s="3429"/>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9"/>
      <c r="Q37" s="1261" t="str">
        <f t="shared" si="8"/>
        <v>内部装修状况</v>
      </c>
      <c r="R37" s="666" t="s">
        <v>14</v>
      </c>
      <c r="S37" s="667">
        <f t="shared" si="9"/>
        <v>100</v>
      </c>
      <c r="T37" s="666" t="s">
        <v>14</v>
      </c>
      <c r="U37" s="667">
        <f t="shared" si="10"/>
        <v>100</v>
      </c>
      <c r="V37" s="666" t="s">
        <v>14</v>
      </c>
      <c r="W37" s="667">
        <f t="shared" si="11"/>
        <v>100</v>
      </c>
      <c r="X37" s="1263"/>
      <c r="Y37" s="3429"/>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9"/>
      <c r="Q38" s="530">
        <f t="shared" si="8"/>
        <v>111</v>
      </c>
      <c r="R38" s="668" t="s">
        <v>14</v>
      </c>
      <c r="S38" s="669">
        <f t="shared" si="9"/>
        <v>100</v>
      </c>
      <c r="T38" s="668" t="s">
        <v>14</v>
      </c>
      <c r="U38" s="669">
        <f t="shared" si="10"/>
        <v>100</v>
      </c>
      <c r="V38" s="668" t="s">
        <v>14</v>
      </c>
      <c r="W38" s="669">
        <f t="shared" si="11"/>
        <v>100</v>
      </c>
      <c r="X38" s="670"/>
      <c r="Y38" s="3429"/>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9"/>
      <c r="Q39" s="1261">
        <f t="shared" si="8"/>
        <v>111</v>
      </c>
      <c r="R39" s="666" t="s">
        <v>14</v>
      </c>
      <c r="S39" s="667">
        <f t="shared" si="9"/>
        <v>100</v>
      </c>
      <c r="T39" s="666" t="s">
        <v>14</v>
      </c>
      <c r="U39" s="667">
        <f t="shared" si="10"/>
        <v>100</v>
      </c>
      <c r="V39" s="666" t="s">
        <v>14</v>
      </c>
      <c r="W39" s="667">
        <f t="shared" si="11"/>
        <v>100</v>
      </c>
      <c r="X39" s="1263"/>
      <c r="Y39" s="3429"/>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30"/>
      <c r="Q40" s="1261">
        <f t="shared" si="8"/>
        <v>111</v>
      </c>
      <c r="R40" s="666" t="s">
        <v>14</v>
      </c>
      <c r="S40" s="667">
        <f t="shared" si="9"/>
        <v>100</v>
      </c>
      <c r="T40" s="666" t="s">
        <v>14</v>
      </c>
      <c r="U40" s="667">
        <f t="shared" si="10"/>
        <v>100</v>
      </c>
      <c r="V40" s="666" t="s">
        <v>14</v>
      </c>
      <c r="W40" s="667">
        <f t="shared" si="11"/>
        <v>100</v>
      </c>
      <c r="X40" s="1263"/>
      <c r="Y40" s="3430"/>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23" t="str">
        <f>A41</f>
        <v>成交单价（元/平方米）</v>
      </c>
      <c r="Q41" s="3423"/>
      <c r="R41" s="3418">
        <f>E41</f>
        <v>0</v>
      </c>
      <c r="S41" s="3418"/>
      <c r="T41" s="3418">
        <f>G41</f>
        <v>0</v>
      </c>
      <c r="U41" s="3418"/>
      <c r="V41" s="3418">
        <f>I41</f>
        <v>0</v>
      </c>
      <c r="W41" s="3418"/>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23" t="str">
        <f>A42</f>
        <v>比较价值（元/平方米）</v>
      </c>
      <c r="Q42" s="3423"/>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2025-3</v>
      </c>
      <c r="D52" s="1102">
        <f>EDATE(C52,-1)</f>
        <v>45689</v>
      </c>
      <c r="E52" s="1102">
        <f t="shared" ref="E52:O52" si="13">EDATE(D52,-1)</f>
        <v>45658</v>
      </c>
      <c r="F52" s="1102">
        <f t="shared" si="13"/>
        <v>45627</v>
      </c>
      <c r="G52" s="1102">
        <f t="shared" si="13"/>
        <v>45597</v>
      </c>
      <c r="H52" s="1102">
        <f t="shared" si="13"/>
        <v>45566</v>
      </c>
      <c r="I52" s="1102">
        <f t="shared" si="13"/>
        <v>45536</v>
      </c>
      <c r="J52" s="1102">
        <f t="shared" si="13"/>
        <v>45505</v>
      </c>
      <c r="K52" s="1102">
        <f t="shared" si="13"/>
        <v>45474</v>
      </c>
      <c r="L52" s="1102">
        <f t="shared" si="13"/>
        <v>45444</v>
      </c>
      <c r="M52" s="1102">
        <f t="shared" si="13"/>
        <v>45413</v>
      </c>
      <c r="N52" s="1102">
        <f t="shared" si="13"/>
        <v>45383</v>
      </c>
      <c r="O52" s="1102">
        <f t="shared" si="13"/>
        <v>45352</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06" t="s">
        <v>1767</v>
      </c>
      <c r="D4" s="3407"/>
      <c r="E4" s="3408" t="s">
        <v>1768</v>
      </c>
      <c r="F4" s="3409"/>
      <c r="G4" s="3406" t="s">
        <v>1769</v>
      </c>
      <c r="H4" s="3407"/>
      <c r="I4" s="3406" t="s">
        <v>1770</v>
      </c>
      <c r="J4" s="3407"/>
      <c r="K4" s="536" t="s">
        <v>1771</v>
      </c>
      <c r="L4" s="2481"/>
      <c r="M4" s="2482"/>
      <c r="N4" s="2482"/>
      <c r="O4" s="2482"/>
      <c r="P4" s="3410" t="s">
        <v>1772</v>
      </c>
      <c r="Q4" s="3411"/>
      <c r="R4" s="3392" t="s">
        <v>1768</v>
      </c>
      <c r="S4" s="3393"/>
      <c r="T4" s="3392" t="s">
        <v>1769</v>
      </c>
      <c r="U4" s="3393"/>
      <c r="V4" s="3418" t="s">
        <v>1770</v>
      </c>
      <c r="W4" s="3418"/>
      <c r="X4" s="1263"/>
      <c r="Y4" s="3392" t="s">
        <v>1772</v>
      </c>
      <c r="Z4" s="3393"/>
      <c r="AA4" s="3387" t="s">
        <v>1768</v>
      </c>
      <c r="AB4" s="3388" t="s">
        <v>1769</v>
      </c>
      <c r="AC4" s="3387" t="s">
        <v>1770</v>
      </c>
    </row>
    <row r="5" spans="1:29" ht="15">
      <c r="A5" s="347"/>
      <c r="B5" s="348"/>
      <c r="C5" s="3402" t="s">
        <v>1673</v>
      </c>
      <c r="D5" s="3399"/>
      <c r="E5" s="3454" t="s">
        <v>1674</v>
      </c>
      <c r="F5" s="3397"/>
      <c r="G5" s="3402" t="s">
        <v>1675</v>
      </c>
      <c r="H5" s="3399"/>
      <c r="I5" s="3402" t="s">
        <v>1676</v>
      </c>
      <c r="J5" s="3399"/>
      <c r="K5" s="536"/>
      <c r="L5" s="2481"/>
      <c r="M5" s="2482"/>
      <c r="N5" s="2482"/>
      <c r="O5" s="2482"/>
      <c r="P5" s="3412"/>
      <c r="Q5" s="3413"/>
      <c r="R5" s="3394"/>
      <c r="S5" s="3395"/>
      <c r="T5" s="3394"/>
      <c r="U5" s="3395"/>
      <c r="V5" s="3418"/>
      <c r="W5" s="3418"/>
      <c r="X5" s="1263"/>
      <c r="Y5" s="3394"/>
      <c r="Z5" s="3395"/>
      <c r="AA5" s="3388"/>
      <c r="AB5" s="3388"/>
      <c r="AC5" s="3388"/>
    </row>
    <row r="6" spans="1:29" ht="15.75" thickBot="1">
      <c r="A6" s="349"/>
      <c r="B6" s="350"/>
      <c r="C6" s="3400" t="s">
        <v>1677</v>
      </c>
      <c r="D6" s="3401"/>
      <c r="E6" s="3403" t="s">
        <v>1677</v>
      </c>
      <c r="F6" s="3404"/>
      <c r="G6" s="3400" t="s">
        <v>1677</v>
      </c>
      <c r="H6" s="3401"/>
      <c r="I6" s="3400" t="s">
        <v>1677</v>
      </c>
      <c r="J6" s="3401"/>
      <c r="K6" s="536" t="s">
        <v>1678</v>
      </c>
      <c r="L6" s="2481"/>
      <c r="M6" s="2482"/>
      <c r="N6" s="2482"/>
      <c r="O6" s="2482"/>
      <c r="P6" s="3414"/>
      <c r="Q6" s="3415"/>
      <c r="R6" s="3394"/>
      <c r="S6" s="3395"/>
      <c r="T6" s="3416"/>
      <c r="U6" s="3417"/>
      <c r="V6" s="3418"/>
      <c r="W6" s="3418"/>
      <c r="X6" s="1263"/>
      <c r="Y6" s="3416"/>
      <c r="Z6" s="3417"/>
      <c r="AA6" s="3389"/>
      <c r="AB6" s="3389"/>
      <c r="AC6" s="3389"/>
    </row>
    <row r="7" spans="1:29" s="101" customFormat="1" ht="15.75" thickBot="1">
      <c r="A7" s="351" t="s">
        <v>1679</v>
      </c>
      <c r="B7" s="352"/>
      <c r="C7" s="353">
        <f>'数据-取费表'!B2</f>
        <v>45727</v>
      </c>
      <c r="D7" s="354">
        <v>100</v>
      </c>
      <c r="E7" s="355"/>
      <c r="F7" s="356">
        <f>SUMIF(48:48,YEAR(E7)&amp;"-"&amp;MONTH(E7),49:49)</f>
        <v>0</v>
      </c>
      <c r="G7" s="355"/>
      <c r="H7" s="354">
        <f>SUMIF(48:48,YEAR(G7)&amp;"-"&amp;MONTH(G7),49:49)</f>
        <v>0</v>
      </c>
      <c r="I7" s="355"/>
      <c r="J7" s="354">
        <f>SUMIF(48:48,YEAR(I7)&amp;"-"&amp;MONTH(I7),49:49)</f>
        <v>0</v>
      </c>
      <c r="K7" s="38"/>
      <c r="L7" s="2483"/>
      <c r="M7" s="2434"/>
      <c r="N7" s="2434"/>
      <c r="O7" s="2434"/>
      <c r="P7" s="3390" t="s">
        <v>1680</v>
      </c>
      <c r="Q7" s="3419"/>
      <c r="R7" s="663" t="s">
        <v>14</v>
      </c>
      <c r="S7" s="664">
        <f t="shared" ref="S7:S14" si="0">F7</f>
        <v>0</v>
      </c>
      <c r="T7" s="663" t="s">
        <v>14</v>
      </c>
      <c r="U7" s="664">
        <f t="shared" ref="U7:U14" si="1">H7</f>
        <v>0</v>
      </c>
      <c r="V7" s="663" t="s">
        <v>14</v>
      </c>
      <c r="W7" s="664">
        <f t="shared" ref="W7:W14" si="2">J7</f>
        <v>0</v>
      </c>
      <c r="X7" s="665"/>
      <c r="Y7" s="3390" t="s">
        <v>1680</v>
      </c>
      <c r="Z7" s="3391"/>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390" t="s">
        <v>1683</v>
      </c>
      <c r="Q8" s="3391"/>
      <c r="R8" s="663" t="s">
        <v>14</v>
      </c>
      <c r="S8" s="664">
        <f t="shared" si="0"/>
        <v>100</v>
      </c>
      <c r="T8" s="663" t="s">
        <v>14</v>
      </c>
      <c r="U8" s="664">
        <f t="shared" si="1"/>
        <v>100</v>
      </c>
      <c r="V8" s="663" t="s">
        <v>14</v>
      </c>
      <c r="W8" s="664">
        <f t="shared" si="2"/>
        <v>100</v>
      </c>
      <c r="X8" s="665"/>
      <c r="Y8" s="3390" t="s">
        <v>1683</v>
      </c>
      <c r="Z8" s="3391"/>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23" t="s">
        <v>1686</v>
      </c>
      <c r="Q9" s="529" t="str">
        <f t="shared" ref="Q9:Q14" si="6">B9</f>
        <v>用途</v>
      </c>
      <c r="R9" s="663" t="s">
        <v>14</v>
      </c>
      <c r="S9" s="664">
        <f t="shared" si="0"/>
        <v>100</v>
      </c>
      <c r="T9" s="663" t="s">
        <v>14</v>
      </c>
      <c r="U9" s="664">
        <f t="shared" si="1"/>
        <v>100</v>
      </c>
      <c r="V9" s="663" t="s">
        <v>14</v>
      </c>
      <c r="W9" s="664">
        <f t="shared" si="2"/>
        <v>100</v>
      </c>
      <c r="X9" s="665"/>
      <c r="Y9" s="3355"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23"/>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23"/>
      <c r="Q11" s="529">
        <f t="shared" si="6"/>
        <v>111</v>
      </c>
      <c r="R11" s="663" t="s">
        <v>14</v>
      </c>
      <c r="S11" s="664">
        <f t="shared" si="0"/>
        <v>100</v>
      </c>
      <c r="T11" s="663" t="s">
        <v>14</v>
      </c>
      <c r="U11" s="664">
        <f t="shared" si="1"/>
        <v>100</v>
      </c>
      <c r="V11" s="663" t="s">
        <v>14</v>
      </c>
      <c r="W11" s="664">
        <f t="shared" si="2"/>
        <v>100</v>
      </c>
      <c r="X11" s="665"/>
      <c r="Y11" s="3355"/>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23"/>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23"/>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42.5">
      <c r="A14" s="344" t="s">
        <v>1690</v>
      </c>
      <c r="B14" s="553" t="s">
        <v>1830</v>
      </c>
      <c r="C14" s="1814" t="str">
        <f>IF(B1="工业",估价对象房地状况!G4,估价对象房地状况!C6)</f>
        <v>周边有98路、113路、140路、405路等多条公交线路，地铁1号线与10号线换乘站国贸站，地铁6号线与10号线换乘站呼家楼站，综合评价交通便捷度好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24" t="s">
        <v>1691</v>
      </c>
      <c r="Q14" s="1261" t="str">
        <f t="shared" si="6"/>
        <v>交通便捷度</v>
      </c>
      <c r="R14" s="666" t="s">
        <v>14</v>
      </c>
      <c r="S14" s="667">
        <f t="shared" si="0"/>
        <v>100</v>
      </c>
      <c r="T14" s="666" t="s">
        <v>14</v>
      </c>
      <c r="U14" s="667">
        <f t="shared" si="1"/>
        <v>100</v>
      </c>
      <c r="V14" s="666" t="s">
        <v>14</v>
      </c>
      <c r="W14" s="667">
        <f t="shared" si="2"/>
        <v>100</v>
      </c>
      <c r="X14" s="1263"/>
      <c r="Y14" s="3424"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25"/>
      <c r="Q15" s="1261"/>
      <c r="R15" s="666"/>
      <c r="S15" s="667"/>
      <c r="T15" s="666"/>
      <c r="U15" s="667"/>
      <c r="V15" s="666"/>
      <c r="W15" s="667"/>
      <c r="X15" s="1263"/>
      <c r="Y15" s="3425"/>
      <c r="Z15" s="1262"/>
      <c r="AA15" s="1262">
        <v>1</v>
      </c>
      <c r="AB15" s="1262">
        <v>1</v>
      </c>
      <c r="AC15" s="1262">
        <v>1</v>
      </c>
    </row>
    <row r="16" spans="1:29" ht="313.5">
      <c r="A16" s="347"/>
      <c r="B16" s="555" t="s">
        <v>1809</v>
      </c>
      <c r="C16" s="1751" t="str">
        <f>IF(B1="工业",估价对象房地状况!G5,估价对象房地状况!C7)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25"/>
      <c r="Q16" s="1261" t="str">
        <f>B16</f>
        <v>公共配套设施</v>
      </c>
      <c r="R16" s="666" t="s">
        <v>14</v>
      </c>
      <c r="S16" s="667">
        <f>F16</f>
        <v>100</v>
      </c>
      <c r="T16" s="666" t="s">
        <v>14</v>
      </c>
      <c r="U16" s="667">
        <f>H16</f>
        <v>100</v>
      </c>
      <c r="V16" s="666" t="s">
        <v>14</v>
      </c>
      <c r="W16" s="667">
        <f>J16</f>
        <v>100</v>
      </c>
      <c r="X16" s="1263"/>
      <c r="Y16" s="3425"/>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25"/>
      <c r="Q17" s="1261"/>
      <c r="R17" s="666"/>
      <c r="S17" s="667"/>
      <c r="T17" s="666"/>
      <c r="U17" s="667"/>
      <c r="V17" s="666"/>
      <c r="W17" s="667"/>
      <c r="X17" s="1263"/>
      <c r="Y17" s="3425"/>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25"/>
      <c r="Q18" s="1261" t="str">
        <f>B18</f>
        <v>基础设施水平</v>
      </c>
      <c r="R18" s="666" t="s">
        <v>14</v>
      </c>
      <c r="S18" s="667">
        <f>F18</f>
        <v>100</v>
      </c>
      <c r="T18" s="666" t="s">
        <v>14</v>
      </c>
      <c r="U18" s="667">
        <f>H18</f>
        <v>100</v>
      </c>
      <c r="V18" s="666" t="s">
        <v>14</v>
      </c>
      <c r="W18" s="667">
        <f>J18</f>
        <v>100</v>
      </c>
      <c r="X18" s="1263"/>
      <c r="Y18" s="3425"/>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25"/>
      <c r="Q19" s="1261"/>
      <c r="R19" s="666"/>
      <c r="S19" s="667"/>
      <c r="T19" s="666"/>
      <c r="U19" s="667"/>
      <c r="V19" s="666"/>
      <c r="W19" s="667"/>
      <c r="X19" s="1263"/>
      <c r="Y19" s="3425"/>
      <c r="Z19" s="1262"/>
      <c r="AA19" s="1262">
        <v>1</v>
      </c>
      <c r="AB19" s="1262">
        <v>1</v>
      </c>
      <c r="AC19" s="1262">
        <v>1</v>
      </c>
    </row>
    <row r="20" spans="1:29" ht="114">
      <c r="A20" s="347"/>
      <c r="B20" s="555" t="s">
        <v>1831</v>
      </c>
      <c r="C20" s="1751" t="str">
        <f>IF(B1="工业",估价对象房地状况!G7,估价对象房地状况!C9)</f>
        <v>自然环境：团结湖公园、日坛公园等自然景观；
人文环境：东岳庙、当代美术馆等人文场所；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25"/>
      <c r="Q20" s="1261" t="str">
        <f>B20</f>
        <v>自然及人文环境</v>
      </c>
      <c r="R20" s="666" t="s">
        <v>14</v>
      </c>
      <c r="S20" s="667">
        <f>F20</f>
        <v>100</v>
      </c>
      <c r="T20" s="666" t="s">
        <v>14</v>
      </c>
      <c r="U20" s="667">
        <f>H20</f>
        <v>100</v>
      </c>
      <c r="V20" s="666" t="s">
        <v>14</v>
      </c>
      <c r="W20" s="667">
        <f>J20</f>
        <v>100</v>
      </c>
      <c r="X20" s="1263"/>
      <c r="Y20" s="3425"/>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25"/>
      <c r="Q21" s="1261"/>
      <c r="R21" s="666"/>
      <c r="S21" s="667"/>
      <c r="T21" s="666"/>
      <c r="U21" s="667"/>
      <c r="V21" s="666"/>
      <c r="W21" s="667"/>
      <c r="X21" s="1263"/>
      <c r="Y21" s="3425"/>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25"/>
      <c r="Q22" s="1261" t="str">
        <f>B22</f>
        <v>楼层</v>
      </c>
      <c r="R22" s="666" t="s">
        <v>14</v>
      </c>
      <c r="S22" s="667">
        <f>F22</f>
        <v>100</v>
      </c>
      <c r="T22" s="666" t="s">
        <v>14</v>
      </c>
      <c r="U22" s="667">
        <f>H22</f>
        <v>100</v>
      </c>
      <c r="V22" s="666" t="s">
        <v>14</v>
      </c>
      <c r="W22" s="667">
        <f>J22</f>
        <v>100</v>
      </c>
      <c r="X22" s="1263"/>
      <c r="Y22" s="3425"/>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25"/>
      <c r="Q23" s="1261">
        <f>B23</f>
        <v>111</v>
      </c>
      <c r="R23" s="666" t="s">
        <v>14</v>
      </c>
      <c r="S23" s="667">
        <f>F23</f>
        <v>100</v>
      </c>
      <c r="T23" s="666" t="s">
        <v>14</v>
      </c>
      <c r="U23" s="667">
        <f>H23</f>
        <v>100</v>
      </c>
      <c r="V23" s="666" t="s">
        <v>14</v>
      </c>
      <c r="W23" s="667">
        <f>J23</f>
        <v>100</v>
      </c>
      <c r="X23" s="1263"/>
      <c r="Y23" s="3425"/>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25"/>
      <c r="Q24" s="1261">
        <f t="shared" ref="Q24:Q36" si="8">B24</f>
        <v>111</v>
      </c>
      <c r="R24" s="666" t="s">
        <v>14</v>
      </c>
      <c r="S24" s="667">
        <f>F24</f>
        <v>100</v>
      </c>
      <c r="T24" s="666" t="s">
        <v>14</v>
      </c>
      <c r="U24" s="667">
        <f>H24</f>
        <v>100</v>
      </c>
      <c r="V24" s="666" t="s">
        <v>14</v>
      </c>
      <c r="W24" s="667">
        <f>J24</f>
        <v>100</v>
      </c>
      <c r="X24" s="1263"/>
      <c r="Y24" s="3425"/>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25"/>
      <c r="Q25" s="529">
        <f t="shared" si="8"/>
        <v>111</v>
      </c>
      <c r="R25" s="663" t="s">
        <v>14</v>
      </c>
      <c r="S25" s="664">
        <f>F25</f>
        <v>100</v>
      </c>
      <c r="T25" s="663" t="s">
        <v>14</v>
      </c>
      <c r="U25" s="664">
        <f>H25</f>
        <v>100</v>
      </c>
      <c r="V25" s="663" t="s">
        <v>14</v>
      </c>
      <c r="W25" s="664">
        <f>J25</f>
        <v>100</v>
      </c>
      <c r="X25" s="665"/>
      <c r="Y25" s="3425"/>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70"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29"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29"/>
      <c r="Q27" s="530" t="str">
        <f t="shared" si="8"/>
        <v>项目停车位配比</v>
      </c>
      <c r="R27" s="668" t="s">
        <v>14</v>
      </c>
      <c r="S27" s="669">
        <f t="shared" si="9"/>
        <v>100</v>
      </c>
      <c r="T27" s="668" t="s">
        <v>14</v>
      </c>
      <c r="U27" s="669">
        <f t="shared" si="10"/>
        <v>100</v>
      </c>
      <c r="V27" s="668" t="s">
        <v>14</v>
      </c>
      <c r="W27" s="669">
        <f t="shared" si="11"/>
        <v>100</v>
      </c>
      <c r="X27" s="670"/>
      <c r="Y27" s="3429"/>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29"/>
      <c r="Q28" s="1261" t="str">
        <f t="shared" si="8"/>
        <v>公共部分装修</v>
      </c>
      <c r="R28" s="666" t="s">
        <v>14</v>
      </c>
      <c r="S28" s="667">
        <f t="shared" si="9"/>
        <v>100</v>
      </c>
      <c r="T28" s="666" t="s">
        <v>14</v>
      </c>
      <c r="U28" s="667">
        <f t="shared" si="10"/>
        <v>100</v>
      </c>
      <c r="V28" s="666" t="s">
        <v>14</v>
      </c>
      <c r="W28" s="667">
        <f t="shared" si="11"/>
        <v>100</v>
      </c>
      <c r="X28" s="1263"/>
      <c r="Y28" s="3429"/>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29"/>
      <c r="Q29" s="1261" t="str">
        <f t="shared" si="8"/>
        <v>成新率</v>
      </c>
      <c r="R29" s="666" t="s">
        <v>14</v>
      </c>
      <c r="S29" s="667" t="e">
        <f t="shared" si="9"/>
        <v>#N/A</v>
      </c>
      <c r="T29" s="666" t="s">
        <v>14</v>
      </c>
      <c r="U29" s="667" t="e">
        <f t="shared" si="10"/>
        <v>#N/A</v>
      </c>
      <c r="V29" s="666" t="s">
        <v>14</v>
      </c>
      <c r="W29" s="667" t="e">
        <f t="shared" si="11"/>
        <v>#N/A</v>
      </c>
      <c r="X29" s="1263"/>
      <c r="Y29" s="3429"/>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29"/>
      <c r="Q30" s="1261" t="str">
        <f t="shared" si="8"/>
        <v>物业等级</v>
      </c>
      <c r="R30" s="666" t="s">
        <v>14</v>
      </c>
      <c r="S30" s="667">
        <f t="shared" si="9"/>
        <v>100</v>
      </c>
      <c r="T30" s="666" t="s">
        <v>14</v>
      </c>
      <c r="U30" s="667">
        <f t="shared" si="10"/>
        <v>100</v>
      </c>
      <c r="V30" s="666" t="s">
        <v>14</v>
      </c>
      <c r="W30" s="667">
        <f t="shared" si="11"/>
        <v>100</v>
      </c>
      <c r="X30" s="1263"/>
      <c r="Y30" s="3429"/>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29"/>
      <c r="Q31" s="529" t="str">
        <f t="shared" si="8"/>
        <v>停车位面积</v>
      </c>
      <c r="R31" s="663" t="s">
        <v>14</v>
      </c>
      <c r="S31" s="664" t="e">
        <f t="shared" si="9"/>
        <v>#N/A</v>
      </c>
      <c r="T31" s="663" t="s">
        <v>14</v>
      </c>
      <c r="U31" s="664" t="e">
        <f t="shared" si="10"/>
        <v>#N/A</v>
      </c>
      <c r="V31" s="663" t="s">
        <v>14</v>
      </c>
      <c r="W31" s="664" t="e">
        <f t="shared" si="11"/>
        <v>#N/A</v>
      </c>
      <c r="X31" s="665"/>
      <c r="Y31" s="3429"/>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29" t="s">
        <v>1696</v>
      </c>
      <c r="Q32" s="1261" t="str">
        <f t="shared" si="8"/>
        <v>车位类型</v>
      </c>
      <c r="R32" s="666" t="s">
        <v>14</v>
      </c>
      <c r="S32" s="667">
        <f t="shared" si="9"/>
        <v>100</v>
      </c>
      <c r="T32" s="666" t="s">
        <v>14</v>
      </c>
      <c r="U32" s="667">
        <f t="shared" si="10"/>
        <v>100</v>
      </c>
      <c r="V32" s="666" t="s">
        <v>14</v>
      </c>
      <c r="W32" s="667">
        <f t="shared" si="11"/>
        <v>100</v>
      </c>
      <c r="X32" s="1263"/>
      <c r="Y32" s="3429"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29"/>
      <c r="Q33" s="1261" t="str">
        <f t="shared" si="8"/>
        <v>是否直接入户</v>
      </c>
      <c r="R33" s="666" t="s">
        <v>14</v>
      </c>
      <c r="S33" s="667">
        <f t="shared" si="9"/>
        <v>100</v>
      </c>
      <c r="T33" s="666" t="s">
        <v>14</v>
      </c>
      <c r="U33" s="667">
        <f t="shared" si="10"/>
        <v>100</v>
      </c>
      <c r="V33" s="666" t="s">
        <v>14</v>
      </c>
      <c r="W33" s="667">
        <f t="shared" si="11"/>
        <v>100</v>
      </c>
      <c r="X33" s="1263"/>
      <c r="Y33" s="3429"/>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29"/>
      <c r="Q34" s="1261">
        <f t="shared" si="8"/>
        <v>111</v>
      </c>
      <c r="R34" s="666" t="s">
        <v>14</v>
      </c>
      <c r="S34" s="667">
        <f t="shared" si="9"/>
        <v>100</v>
      </c>
      <c r="T34" s="666" t="s">
        <v>14</v>
      </c>
      <c r="U34" s="667">
        <f t="shared" si="10"/>
        <v>100</v>
      </c>
      <c r="V34" s="666" t="s">
        <v>14</v>
      </c>
      <c r="W34" s="667">
        <f t="shared" si="11"/>
        <v>100</v>
      </c>
      <c r="X34" s="1263"/>
      <c r="Y34" s="3429"/>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29"/>
      <c r="Q35" s="530">
        <f t="shared" si="8"/>
        <v>111</v>
      </c>
      <c r="R35" s="668" t="s">
        <v>14</v>
      </c>
      <c r="S35" s="669">
        <f t="shared" si="9"/>
        <v>100</v>
      </c>
      <c r="T35" s="668" t="s">
        <v>14</v>
      </c>
      <c r="U35" s="669">
        <f t="shared" si="10"/>
        <v>100</v>
      </c>
      <c r="V35" s="668" t="s">
        <v>14</v>
      </c>
      <c r="W35" s="669">
        <f t="shared" si="11"/>
        <v>100</v>
      </c>
      <c r="X35" s="670"/>
      <c r="Y35" s="3429"/>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29"/>
      <c r="Q36" s="1261">
        <f t="shared" si="8"/>
        <v>111</v>
      </c>
      <c r="R36" s="666" t="s">
        <v>14</v>
      </c>
      <c r="S36" s="667">
        <f t="shared" si="9"/>
        <v>100</v>
      </c>
      <c r="T36" s="666" t="s">
        <v>14</v>
      </c>
      <c r="U36" s="667">
        <f t="shared" si="10"/>
        <v>100</v>
      </c>
      <c r="V36" s="666" t="s">
        <v>14</v>
      </c>
      <c r="W36" s="667">
        <f t="shared" si="11"/>
        <v>100</v>
      </c>
      <c r="X36" s="1263"/>
      <c r="Y36" s="3429"/>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23" t="str">
        <f>A37</f>
        <v>成交单价</v>
      </c>
      <c r="Q37" s="3423"/>
      <c r="R37" s="3418">
        <f>E37</f>
        <v>0</v>
      </c>
      <c r="S37" s="3418"/>
      <c r="T37" s="3418">
        <f>G37</f>
        <v>0</v>
      </c>
      <c r="U37" s="3418"/>
      <c r="V37" s="3418">
        <f>I37</f>
        <v>0</v>
      </c>
      <c r="W37" s="3418"/>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23" t="str">
        <f>A38</f>
        <v>比较价值（元/平方米）</v>
      </c>
      <c r="Q38" s="3423"/>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20" t="str">
        <f>A39</f>
        <v>估价对象XX用房的比较价值（楼面单价，元/平方米）</v>
      </c>
      <c r="Q39" s="3421"/>
      <c r="R39" s="3471" t="e">
        <f>IF(F1="售价",ROUND(IF(D38="简单平均",AVERAGE(R38:W38),R38*F38+T38*H38+V38*J38),0),ROUND(IF(D38="简单平均",AVERAGE(R38:V38),R38*F38+T38*H38+V38*J38),1))</f>
        <v>#DIV/0!</v>
      </c>
      <c r="S39" s="3471"/>
      <c r="T39" s="3471"/>
      <c r="U39" s="3471"/>
      <c r="V39" s="3471"/>
      <c r="W39" s="3471"/>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2025-3</v>
      </c>
      <c r="D48" s="1102">
        <f>EDATE(C48,-1)</f>
        <v>45689</v>
      </c>
      <c r="E48" s="1102">
        <f t="shared" ref="E48:O48" si="13">EDATE(D48,-1)</f>
        <v>45658</v>
      </c>
      <c r="F48" s="1102">
        <f t="shared" si="13"/>
        <v>45627</v>
      </c>
      <c r="G48" s="1102">
        <f t="shared" si="13"/>
        <v>45597</v>
      </c>
      <c r="H48" s="1102">
        <f t="shared" si="13"/>
        <v>45566</v>
      </c>
      <c r="I48" s="1102">
        <f t="shared" si="13"/>
        <v>45536</v>
      </c>
      <c r="J48" s="1102">
        <f t="shared" si="13"/>
        <v>45505</v>
      </c>
      <c r="K48" s="1102">
        <f t="shared" si="13"/>
        <v>45474</v>
      </c>
      <c r="L48" s="1102">
        <f t="shared" si="13"/>
        <v>45444</v>
      </c>
      <c r="M48" s="1102">
        <f t="shared" si="13"/>
        <v>45413</v>
      </c>
      <c r="N48" s="1102">
        <f t="shared" si="13"/>
        <v>45383</v>
      </c>
      <c r="O48" s="1102">
        <f t="shared" si="13"/>
        <v>45352</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估价对象为北京市房地产，为所有。根据《国有土地使用证》[]，估价对象（分摊）出让国有建设用地使用权面积为0平方米，建筑面积为109.66平方米。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估价对象为北京市房地产,属开发建设的，该项目尚在开发建设中。根据《国有土地使用证》[]，估价对象（分摊）出让国有建设用地使用权面积为0平方米，规划建筑面积为109.66平方米。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2025年3月11日（评估专业人员实地查勘之日）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46，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06" t="s">
        <v>1767</v>
      </c>
      <c r="D4" s="3407"/>
      <c r="E4" s="3408" t="s">
        <v>1768</v>
      </c>
      <c r="F4" s="3409"/>
      <c r="G4" s="3406" t="s">
        <v>1769</v>
      </c>
      <c r="H4" s="3407"/>
      <c r="I4" s="3406" t="s">
        <v>1770</v>
      </c>
      <c r="J4" s="3407"/>
      <c r="K4" s="536" t="s">
        <v>1771</v>
      </c>
      <c r="L4" s="2481"/>
      <c r="M4" s="2482"/>
      <c r="N4" s="2482"/>
      <c r="O4" s="2482"/>
      <c r="P4" s="3410" t="s">
        <v>1772</v>
      </c>
      <c r="Q4" s="3411"/>
      <c r="R4" s="3392" t="s">
        <v>1768</v>
      </c>
      <c r="S4" s="3393"/>
      <c r="T4" s="3392" t="s">
        <v>1769</v>
      </c>
      <c r="U4" s="3393"/>
      <c r="V4" s="3418" t="s">
        <v>1770</v>
      </c>
      <c r="W4" s="3418"/>
      <c r="X4" s="1263"/>
      <c r="Y4" s="3392" t="s">
        <v>1772</v>
      </c>
      <c r="Z4" s="3393"/>
      <c r="AA4" s="3387" t="s">
        <v>1768</v>
      </c>
      <c r="AB4" s="3388" t="s">
        <v>1769</v>
      </c>
      <c r="AC4" s="3387" t="s">
        <v>1770</v>
      </c>
    </row>
    <row r="5" spans="1:29" ht="15">
      <c r="A5" s="347"/>
      <c r="B5" s="348"/>
      <c r="C5" s="3402" t="s">
        <v>1673</v>
      </c>
      <c r="D5" s="3399"/>
      <c r="E5" s="3454" t="s">
        <v>1674</v>
      </c>
      <c r="F5" s="3397"/>
      <c r="G5" s="3402" t="s">
        <v>1675</v>
      </c>
      <c r="H5" s="3399"/>
      <c r="I5" s="3402" t="s">
        <v>1676</v>
      </c>
      <c r="J5" s="3399"/>
      <c r="K5" s="536"/>
      <c r="L5" s="2481"/>
      <c r="M5" s="2482"/>
      <c r="N5" s="2482"/>
      <c r="O5" s="2482"/>
      <c r="P5" s="3412"/>
      <c r="Q5" s="3413"/>
      <c r="R5" s="3394"/>
      <c r="S5" s="3395"/>
      <c r="T5" s="3394"/>
      <c r="U5" s="3395"/>
      <c r="V5" s="3418"/>
      <c r="W5" s="3418"/>
      <c r="X5" s="1263"/>
      <c r="Y5" s="3394"/>
      <c r="Z5" s="3395"/>
      <c r="AA5" s="3388"/>
      <c r="AB5" s="3388"/>
      <c r="AC5" s="3388"/>
    </row>
    <row r="6" spans="1:29" ht="15.75" thickBot="1">
      <c r="A6" s="349"/>
      <c r="B6" s="350"/>
      <c r="C6" s="3400" t="s">
        <v>1677</v>
      </c>
      <c r="D6" s="3401"/>
      <c r="E6" s="3403" t="s">
        <v>1677</v>
      </c>
      <c r="F6" s="3404"/>
      <c r="G6" s="3400" t="s">
        <v>1677</v>
      </c>
      <c r="H6" s="3401"/>
      <c r="I6" s="3400" t="s">
        <v>1677</v>
      </c>
      <c r="J6" s="3401"/>
      <c r="K6" s="536" t="s">
        <v>1678</v>
      </c>
      <c r="L6" s="2481"/>
      <c r="M6" s="2482"/>
      <c r="N6" s="2482"/>
      <c r="O6" s="2482"/>
      <c r="P6" s="3414"/>
      <c r="Q6" s="3415"/>
      <c r="R6" s="3394"/>
      <c r="S6" s="3395"/>
      <c r="T6" s="3416"/>
      <c r="U6" s="3417"/>
      <c r="V6" s="3418"/>
      <c r="W6" s="3418"/>
      <c r="X6" s="1263"/>
      <c r="Y6" s="3416"/>
      <c r="Z6" s="3417"/>
      <c r="AA6" s="3389"/>
      <c r="AB6" s="3389"/>
      <c r="AC6" s="3389"/>
    </row>
    <row r="7" spans="1:29" s="101" customFormat="1" ht="15.75" thickBot="1">
      <c r="A7" s="351" t="s">
        <v>1679</v>
      </c>
      <c r="B7" s="352"/>
      <c r="C7" s="353">
        <f>'数据-取费表'!B2</f>
        <v>45727</v>
      </c>
      <c r="D7" s="354">
        <v>100</v>
      </c>
      <c r="E7" s="355"/>
      <c r="F7" s="356">
        <f>SUMIF(46:46,YEAR(E7)&amp;"-"&amp;MONTH(E7),47:47)</f>
        <v>0</v>
      </c>
      <c r="G7" s="1817"/>
      <c r="H7" s="354">
        <f>SUMIF(46:46,YEAR(G7)&amp;"-"&amp;MONTH(G7),47:47)</f>
        <v>0</v>
      </c>
      <c r="I7" s="355"/>
      <c r="J7" s="354">
        <f>SUMIF(46:46,YEAR(I7)&amp;"-"&amp;MONTH(I7),47:47)</f>
        <v>0</v>
      </c>
      <c r="K7" s="38"/>
      <c r="L7" s="2483"/>
      <c r="M7" s="2434"/>
      <c r="N7" s="2434"/>
      <c r="O7" s="2434"/>
      <c r="P7" s="3390" t="s">
        <v>1680</v>
      </c>
      <c r="Q7" s="3419"/>
      <c r="R7" s="663" t="s">
        <v>14</v>
      </c>
      <c r="S7" s="664">
        <f t="shared" ref="S7:S14" si="0">F7</f>
        <v>0</v>
      </c>
      <c r="T7" s="663" t="s">
        <v>14</v>
      </c>
      <c r="U7" s="664">
        <f t="shared" ref="U7:U14" si="1">H7</f>
        <v>0</v>
      </c>
      <c r="V7" s="663" t="s">
        <v>14</v>
      </c>
      <c r="W7" s="664">
        <f t="shared" ref="W7:W14" si="2">J7</f>
        <v>0</v>
      </c>
      <c r="X7" s="665"/>
      <c r="Y7" s="3390" t="s">
        <v>1680</v>
      </c>
      <c r="Z7" s="3391"/>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390" t="s">
        <v>1683</v>
      </c>
      <c r="Q8" s="3391"/>
      <c r="R8" s="663" t="s">
        <v>14</v>
      </c>
      <c r="S8" s="664">
        <f t="shared" si="0"/>
        <v>100</v>
      </c>
      <c r="T8" s="663" t="s">
        <v>14</v>
      </c>
      <c r="U8" s="664">
        <f t="shared" si="1"/>
        <v>100</v>
      </c>
      <c r="V8" s="663" t="s">
        <v>14</v>
      </c>
      <c r="W8" s="664">
        <f t="shared" si="2"/>
        <v>100</v>
      </c>
      <c r="X8" s="665"/>
      <c r="Y8" s="3390" t="s">
        <v>1683</v>
      </c>
      <c r="Z8" s="3391"/>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23" t="s">
        <v>1686</v>
      </c>
      <c r="Q9" s="529" t="str">
        <f t="shared" ref="Q9:Q14" si="6">B9</f>
        <v>用途</v>
      </c>
      <c r="R9" s="663" t="s">
        <v>14</v>
      </c>
      <c r="S9" s="664">
        <f t="shared" si="0"/>
        <v>100</v>
      </c>
      <c r="T9" s="663" t="s">
        <v>14</v>
      </c>
      <c r="U9" s="664">
        <f t="shared" si="1"/>
        <v>100</v>
      </c>
      <c r="V9" s="663" t="s">
        <v>14</v>
      </c>
      <c r="W9" s="664">
        <f t="shared" si="2"/>
        <v>100</v>
      </c>
      <c r="X9" s="665"/>
      <c r="Y9" s="3355"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23"/>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23"/>
      <c r="Q11" s="529">
        <f t="shared" si="6"/>
        <v>111</v>
      </c>
      <c r="R11" s="663" t="s">
        <v>14</v>
      </c>
      <c r="S11" s="664">
        <f t="shared" si="0"/>
        <v>100</v>
      </c>
      <c r="T11" s="663" t="s">
        <v>14</v>
      </c>
      <c r="U11" s="664">
        <f t="shared" si="1"/>
        <v>100</v>
      </c>
      <c r="V11" s="663" t="s">
        <v>14</v>
      </c>
      <c r="W11" s="664">
        <f t="shared" si="2"/>
        <v>100</v>
      </c>
      <c r="X11" s="665"/>
      <c r="Y11" s="3355"/>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23"/>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23"/>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42.5">
      <c r="A14" s="378" t="s">
        <v>1690</v>
      </c>
      <c r="B14" s="58" t="s">
        <v>1830</v>
      </c>
      <c r="C14" s="1814" t="str">
        <f>IF(B1="工业",估价对象房地状况!G4,估价对象房地状况!C6)</f>
        <v>周边有98路、113路、140路、405路等多条公交线路，地铁1号线与10号线换乘站国贸站，地铁6号线与10号线换乘站呼家楼站，综合评价交通便捷度好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24" t="s">
        <v>1691</v>
      </c>
      <c r="Q14" s="1261" t="str">
        <f t="shared" si="6"/>
        <v>交通便捷度</v>
      </c>
      <c r="R14" s="666" t="s">
        <v>14</v>
      </c>
      <c r="S14" s="667">
        <f t="shared" si="0"/>
        <v>100</v>
      </c>
      <c r="T14" s="666" t="s">
        <v>14</v>
      </c>
      <c r="U14" s="667">
        <f t="shared" si="1"/>
        <v>100</v>
      </c>
      <c r="V14" s="666" t="s">
        <v>14</v>
      </c>
      <c r="W14" s="667">
        <f t="shared" si="2"/>
        <v>100</v>
      </c>
      <c r="X14" s="1263"/>
      <c r="Y14" s="3424"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25"/>
      <c r="Q15" s="1261"/>
      <c r="R15" s="666"/>
      <c r="S15" s="667"/>
      <c r="T15" s="666"/>
      <c r="U15" s="667"/>
      <c r="V15" s="666"/>
      <c r="W15" s="667"/>
      <c r="X15" s="1263"/>
      <c r="Y15" s="3425"/>
      <c r="Z15" s="1262"/>
      <c r="AA15" s="1262">
        <v>1</v>
      </c>
      <c r="AB15" s="1262">
        <v>1</v>
      </c>
      <c r="AC15" s="1262">
        <v>1</v>
      </c>
    </row>
    <row r="16" spans="1:29" ht="313.5">
      <c r="A16" s="366"/>
      <c r="B16" s="389" t="s">
        <v>1809</v>
      </c>
      <c r="C16" s="1751" t="str">
        <f>IF(B1="工业",估价对象房地状况!G5,估价对象房地状况!C7)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25"/>
      <c r="Q16" s="1261" t="str">
        <f>B16</f>
        <v>公共配套设施</v>
      </c>
      <c r="R16" s="666" t="s">
        <v>14</v>
      </c>
      <c r="S16" s="667">
        <f>F16</f>
        <v>100</v>
      </c>
      <c r="T16" s="666" t="s">
        <v>14</v>
      </c>
      <c r="U16" s="667">
        <f>H16</f>
        <v>100</v>
      </c>
      <c r="V16" s="666" t="s">
        <v>14</v>
      </c>
      <c r="W16" s="667">
        <f>J16</f>
        <v>100</v>
      </c>
      <c r="X16" s="1263"/>
      <c r="Y16" s="3425"/>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25"/>
      <c r="Q17" s="1261"/>
      <c r="R17" s="666"/>
      <c r="S17" s="667"/>
      <c r="T17" s="666"/>
      <c r="U17" s="667"/>
      <c r="V17" s="666"/>
      <c r="W17" s="667"/>
      <c r="X17" s="1263"/>
      <c r="Y17" s="3425"/>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25"/>
      <c r="Q18" s="1261" t="str">
        <f>B18</f>
        <v>基础设施水平</v>
      </c>
      <c r="R18" s="666" t="s">
        <v>14</v>
      </c>
      <c r="S18" s="667">
        <f>F18</f>
        <v>100</v>
      </c>
      <c r="T18" s="666" t="s">
        <v>14</v>
      </c>
      <c r="U18" s="667">
        <f>H18</f>
        <v>100</v>
      </c>
      <c r="V18" s="666" t="s">
        <v>14</v>
      </c>
      <c r="W18" s="667">
        <f>J18</f>
        <v>100</v>
      </c>
      <c r="X18" s="1263"/>
      <c r="Y18" s="3425"/>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25"/>
      <c r="Q19" s="1261"/>
      <c r="R19" s="666"/>
      <c r="S19" s="667"/>
      <c r="T19" s="666"/>
      <c r="U19" s="667"/>
      <c r="V19" s="666"/>
      <c r="W19" s="667"/>
      <c r="X19" s="1263"/>
      <c r="Y19" s="3425"/>
      <c r="Z19" s="1262"/>
      <c r="AA19" s="1262">
        <v>1</v>
      </c>
      <c r="AB19" s="1262">
        <v>1</v>
      </c>
      <c r="AC19" s="1262">
        <v>1</v>
      </c>
    </row>
    <row r="20" spans="1:29" ht="114">
      <c r="A20" s="366"/>
      <c r="B20" s="389" t="s">
        <v>1831</v>
      </c>
      <c r="C20" s="1751" t="str">
        <f>IF(B1="工业",估价对象房地状况!G7,估价对象房地状况!C9)</f>
        <v>自然环境：团结湖公园、日坛公园等自然景观；
人文环境：东岳庙、当代美术馆等人文场所；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25"/>
      <c r="Q20" s="1261" t="str">
        <f>B20</f>
        <v>自然及人文环境</v>
      </c>
      <c r="R20" s="666" t="s">
        <v>14</v>
      </c>
      <c r="S20" s="667">
        <f>F20</f>
        <v>100</v>
      </c>
      <c r="T20" s="666" t="s">
        <v>14</v>
      </c>
      <c r="U20" s="667">
        <f>H20</f>
        <v>100</v>
      </c>
      <c r="V20" s="666" t="s">
        <v>14</v>
      </c>
      <c r="W20" s="667">
        <f>J20</f>
        <v>100</v>
      </c>
      <c r="X20" s="1263"/>
      <c r="Y20" s="3425"/>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25"/>
      <c r="Q21" s="1261"/>
      <c r="R21" s="666"/>
      <c r="S21" s="667"/>
      <c r="T21" s="666"/>
      <c r="U21" s="667"/>
      <c r="V21" s="666"/>
      <c r="W21" s="667"/>
      <c r="X21" s="1263"/>
      <c r="Y21" s="3425"/>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25"/>
      <c r="Q22" s="1261" t="str">
        <f>B22</f>
        <v>楼层</v>
      </c>
      <c r="R22" s="666" t="s">
        <v>14</v>
      </c>
      <c r="S22" s="667">
        <f>F22</f>
        <v>100</v>
      </c>
      <c r="T22" s="666" t="s">
        <v>14</v>
      </c>
      <c r="U22" s="667">
        <f>H22</f>
        <v>100</v>
      </c>
      <c r="V22" s="666" t="s">
        <v>14</v>
      </c>
      <c r="W22" s="667">
        <f>J22</f>
        <v>100</v>
      </c>
      <c r="X22" s="1263"/>
      <c r="Y22" s="3425"/>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25"/>
      <c r="Q23" s="1261">
        <f>B23</f>
        <v>111</v>
      </c>
      <c r="R23" s="666" t="s">
        <v>14</v>
      </c>
      <c r="S23" s="667">
        <f>F23</f>
        <v>100</v>
      </c>
      <c r="T23" s="666" t="s">
        <v>14</v>
      </c>
      <c r="U23" s="667">
        <f>H23</f>
        <v>100</v>
      </c>
      <c r="V23" s="666" t="s">
        <v>14</v>
      </c>
      <c r="W23" s="667">
        <f>J23</f>
        <v>100</v>
      </c>
      <c r="X23" s="1263"/>
      <c r="Y23" s="3425"/>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25"/>
      <c r="Q24" s="1261">
        <f t="shared" ref="Q24:Q34" si="8">B24</f>
        <v>111</v>
      </c>
      <c r="R24" s="666" t="s">
        <v>14</v>
      </c>
      <c r="S24" s="667">
        <f>F24</f>
        <v>100</v>
      </c>
      <c r="T24" s="666" t="s">
        <v>14</v>
      </c>
      <c r="U24" s="667">
        <f>H24</f>
        <v>100</v>
      </c>
      <c r="V24" s="666" t="s">
        <v>14</v>
      </c>
      <c r="W24" s="667">
        <f>J24</f>
        <v>100</v>
      </c>
      <c r="X24" s="1263"/>
      <c r="Y24" s="3425"/>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25"/>
      <c r="Q25" s="529">
        <f t="shared" si="8"/>
        <v>111</v>
      </c>
      <c r="R25" s="663" t="s">
        <v>14</v>
      </c>
      <c r="S25" s="664">
        <f>F25</f>
        <v>100</v>
      </c>
      <c r="T25" s="663" t="s">
        <v>14</v>
      </c>
      <c r="U25" s="664">
        <f>H25</f>
        <v>100</v>
      </c>
      <c r="V25" s="663" t="s">
        <v>14</v>
      </c>
      <c r="W25" s="664">
        <f>J25</f>
        <v>100</v>
      </c>
      <c r="X25" s="665"/>
      <c r="Y25" s="3425"/>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70"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29"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29"/>
      <c r="Q27" s="530" t="str">
        <f t="shared" si="8"/>
        <v>成新率</v>
      </c>
      <c r="R27" s="668" t="s">
        <v>14</v>
      </c>
      <c r="S27" s="669" t="e">
        <f t="shared" si="9"/>
        <v>#N/A</v>
      </c>
      <c r="T27" s="668" t="s">
        <v>14</v>
      </c>
      <c r="U27" s="669" t="e">
        <f t="shared" si="10"/>
        <v>#N/A</v>
      </c>
      <c r="V27" s="668" t="s">
        <v>14</v>
      </c>
      <c r="W27" s="669" t="e">
        <f t="shared" si="11"/>
        <v>#N/A</v>
      </c>
      <c r="X27" s="670"/>
      <c r="Y27" s="3429"/>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29"/>
      <c r="Q28" s="1261" t="str">
        <f t="shared" si="8"/>
        <v>物业等级</v>
      </c>
      <c r="R28" s="666" t="s">
        <v>14</v>
      </c>
      <c r="S28" s="667">
        <f t="shared" si="9"/>
        <v>100</v>
      </c>
      <c r="T28" s="666" t="s">
        <v>14</v>
      </c>
      <c r="U28" s="667">
        <f t="shared" si="10"/>
        <v>100</v>
      </c>
      <c r="V28" s="666" t="s">
        <v>14</v>
      </c>
      <c r="W28" s="667">
        <f t="shared" si="11"/>
        <v>100</v>
      </c>
      <c r="X28" s="1263"/>
      <c r="Y28" s="3429"/>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29"/>
      <c r="Q29" s="1261" t="str">
        <f t="shared" si="8"/>
        <v>有无电梯</v>
      </c>
      <c r="R29" s="666" t="s">
        <v>14</v>
      </c>
      <c r="S29" s="667">
        <f t="shared" si="9"/>
        <v>100</v>
      </c>
      <c r="T29" s="666" t="s">
        <v>14</v>
      </c>
      <c r="U29" s="667">
        <f t="shared" si="10"/>
        <v>100</v>
      </c>
      <c r="V29" s="666" t="s">
        <v>14</v>
      </c>
      <c r="W29" s="667">
        <f t="shared" si="11"/>
        <v>100</v>
      </c>
      <c r="X29" s="1263"/>
      <c r="Y29" s="3429"/>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29"/>
      <c r="Q30" s="1261" t="str">
        <f t="shared" si="8"/>
        <v>建筑面积</v>
      </c>
      <c r="R30" s="666" t="s">
        <v>14</v>
      </c>
      <c r="S30" s="667" t="e">
        <f t="shared" si="9"/>
        <v>#N/A</v>
      </c>
      <c r="T30" s="666" t="s">
        <v>14</v>
      </c>
      <c r="U30" s="667" t="e">
        <f t="shared" si="10"/>
        <v>#N/A</v>
      </c>
      <c r="V30" s="666" t="s">
        <v>14</v>
      </c>
      <c r="W30" s="667" t="e">
        <f t="shared" si="11"/>
        <v>#N/A</v>
      </c>
      <c r="X30" s="1263"/>
      <c r="Y30" s="3429"/>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29"/>
      <c r="Q31" s="529" t="str">
        <f t="shared" si="8"/>
        <v>是否封闭</v>
      </c>
      <c r="R31" s="663" t="s">
        <v>14</v>
      </c>
      <c r="S31" s="664">
        <f t="shared" si="9"/>
        <v>100</v>
      </c>
      <c r="T31" s="663" t="s">
        <v>14</v>
      </c>
      <c r="U31" s="664">
        <f t="shared" si="10"/>
        <v>100</v>
      </c>
      <c r="V31" s="663" t="s">
        <v>14</v>
      </c>
      <c r="W31" s="664">
        <f t="shared" si="11"/>
        <v>100</v>
      </c>
      <c r="X31" s="665"/>
      <c r="Y31" s="3429"/>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29" t="s">
        <v>1696</v>
      </c>
      <c r="Q32" s="1261">
        <f t="shared" si="8"/>
        <v>111</v>
      </c>
      <c r="R32" s="666" t="s">
        <v>14</v>
      </c>
      <c r="S32" s="667">
        <f t="shared" si="9"/>
        <v>100</v>
      </c>
      <c r="T32" s="666" t="s">
        <v>14</v>
      </c>
      <c r="U32" s="667">
        <f t="shared" si="10"/>
        <v>100</v>
      </c>
      <c r="V32" s="666" t="s">
        <v>14</v>
      </c>
      <c r="W32" s="667">
        <f t="shared" si="11"/>
        <v>100</v>
      </c>
      <c r="X32" s="1263"/>
      <c r="Y32" s="3429"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29"/>
      <c r="Q33" s="1261">
        <f t="shared" si="8"/>
        <v>111</v>
      </c>
      <c r="R33" s="666" t="s">
        <v>14</v>
      </c>
      <c r="S33" s="667">
        <f t="shared" si="9"/>
        <v>100</v>
      </c>
      <c r="T33" s="666" t="s">
        <v>14</v>
      </c>
      <c r="U33" s="667">
        <f t="shared" si="10"/>
        <v>100</v>
      </c>
      <c r="V33" s="666" t="s">
        <v>14</v>
      </c>
      <c r="W33" s="667">
        <f t="shared" si="11"/>
        <v>100</v>
      </c>
      <c r="X33" s="1263"/>
      <c r="Y33" s="3429"/>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29"/>
      <c r="Q34" s="1261">
        <f t="shared" si="8"/>
        <v>111</v>
      </c>
      <c r="R34" s="666" t="s">
        <v>14</v>
      </c>
      <c r="S34" s="667">
        <f t="shared" si="9"/>
        <v>100</v>
      </c>
      <c r="T34" s="666" t="s">
        <v>14</v>
      </c>
      <c r="U34" s="667">
        <f t="shared" si="10"/>
        <v>100</v>
      </c>
      <c r="V34" s="666" t="s">
        <v>14</v>
      </c>
      <c r="W34" s="667">
        <f t="shared" si="11"/>
        <v>100</v>
      </c>
      <c r="X34" s="1263"/>
      <c r="Y34" s="3429"/>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23" t="str">
        <f>A35</f>
        <v>成交单价（元/平方米）</v>
      </c>
      <c r="Q35" s="3423"/>
      <c r="R35" s="3418">
        <f>E35</f>
        <v>0</v>
      </c>
      <c r="S35" s="3418"/>
      <c r="T35" s="3418">
        <f>G35</f>
        <v>0</v>
      </c>
      <c r="U35" s="3418"/>
      <c r="V35" s="3418">
        <f>I35</f>
        <v>0</v>
      </c>
      <c r="W35" s="3418"/>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23" t="str">
        <f>A36</f>
        <v>比较价值（元/平方米）</v>
      </c>
      <c r="Q36" s="3423"/>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20" t="str">
        <f>A37</f>
        <v>估价对象XX用房的比较价值（楼面单价，元/平方米）</v>
      </c>
      <c r="Q37" s="3421"/>
      <c r="R37" s="3471" t="e">
        <f>IF(F1="售价",ROUND(IF(D36="简单平均",AVERAGE(R36:W36),R36*F36+T36*H36+V36*J36),0),ROUND(IF(D36="简单平均",AVERAGE(R36:V36),R36*F36+T36*H36+V36*J36),1))</f>
        <v>#DIV/0!</v>
      </c>
      <c r="S37" s="3471"/>
      <c r="T37" s="3471"/>
      <c r="U37" s="3471"/>
      <c r="V37" s="3471"/>
      <c r="W37" s="3471"/>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2025-3</v>
      </c>
      <c r="D46" s="1102">
        <f>EDATE(C46,-1)</f>
        <v>45689</v>
      </c>
      <c r="E46" s="1102">
        <f t="shared" ref="E46:O46" si="13">EDATE(D46,-1)</f>
        <v>45658</v>
      </c>
      <c r="F46" s="1102">
        <f t="shared" si="13"/>
        <v>45627</v>
      </c>
      <c r="G46" s="1102">
        <f t="shared" si="13"/>
        <v>45597</v>
      </c>
      <c r="H46" s="1102">
        <f t="shared" si="13"/>
        <v>45566</v>
      </c>
      <c r="I46" s="1102">
        <f t="shared" si="13"/>
        <v>45536</v>
      </c>
      <c r="J46" s="1102">
        <f t="shared" si="13"/>
        <v>45505</v>
      </c>
      <c r="K46" s="1102">
        <f t="shared" si="13"/>
        <v>45474</v>
      </c>
      <c r="L46" s="1102">
        <f t="shared" si="13"/>
        <v>45444</v>
      </c>
      <c r="M46" s="1102">
        <f t="shared" si="13"/>
        <v>45413</v>
      </c>
      <c r="N46" s="1102">
        <f t="shared" si="13"/>
        <v>45383</v>
      </c>
      <c r="O46" s="1102">
        <f t="shared" si="13"/>
        <v>45352</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06" t="s">
        <v>1767</v>
      </c>
      <c r="D4" s="3407"/>
      <c r="E4" s="3408" t="s">
        <v>1768</v>
      </c>
      <c r="F4" s="3409"/>
      <c r="G4" s="3406" t="s">
        <v>1769</v>
      </c>
      <c r="H4" s="3407"/>
      <c r="I4" s="3406" t="s">
        <v>1770</v>
      </c>
      <c r="J4" s="3407"/>
      <c r="K4" s="536" t="s">
        <v>1771</v>
      </c>
      <c r="L4" s="2481"/>
      <c r="M4" s="2482"/>
      <c r="N4" s="2482"/>
      <c r="O4" s="2482"/>
      <c r="P4" s="3410" t="s">
        <v>1772</v>
      </c>
      <c r="Q4" s="3411"/>
      <c r="R4" s="3392" t="s">
        <v>1768</v>
      </c>
      <c r="S4" s="3393"/>
      <c r="T4" s="3392" t="s">
        <v>1769</v>
      </c>
      <c r="U4" s="3393"/>
      <c r="V4" s="3418" t="s">
        <v>1770</v>
      </c>
      <c r="W4" s="3418"/>
      <c r="X4" s="1263"/>
      <c r="Y4" s="3392" t="s">
        <v>1772</v>
      </c>
      <c r="Z4" s="3393"/>
      <c r="AA4" s="3387" t="s">
        <v>1768</v>
      </c>
      <c r="AB4" s="3388" t="s">
        <v>1769</v>
      </c>
      <c r="AC4" s="3387" t="s">
        <v>1770</v>
      </c>
    </row>
    <row r="5" spans="1:29" ht="15">
      <c r="A5" s="347"/>
      <c r="B5" s="348"/>
      <c r="C5" s="3402" t="s">
        <v>1673</v>
      </c>
      <c r="D5" s="3399"/>
      <c r="E5" s="3454" t="s">
        <v>1674</v>
      </c>
      <c r="F5" s="3397"/>
      <c r="G5" s="3402" t="s">
        <v>1675</v>
      </c>
      <c r="H5" s="3399"/>
      <c r="I5" s="3402" t="s">
        <v>1676</v>
      </c>
      <c r="J5" s="3399"/>
      <c r="K5" s="536"/>
      <c r="L5" s="2481"/>
      <c r="M5" s="2482"/>
      <c r="N5" s="2482"/>
      <c r="O5" s="2482"/>
      <c r="P5" s="3412"/>
      <c r="Q5" s="3413"/>
      <c r="R5" s="3394"/>
      <c r="S5" s="3395"/>
      <c r="T5" s="3394"/>
      <c r="U5" s="3395"/>
      <c r="V5" s="3418"/>
      <c r="W5" s="3418"/>
      <c r="X5" s="1263"/>
      <c r="Y5" s="3394"/>
      <c r="Z5" s="3395"/>
      <c r="AA5" s="3388"/>
      <c r="AB5" s="3388"/>
      <c r="AC5" s="3388"/>
    </row>
    <row r="6" spans="1:29" ht="15.75" thickBot="1">
      <c r="A6" s="349"/>
      <c r="B6" s="350"/>
      <c r="C6" s="3400" t="s">
        <v>1677</v>
      </c>
      <c r="D6" s="3401"/>
      <c r="E6" s="3403" t="s">
        <v>1677</v>
      </c>
      <c r="F6" s="3404"/>
      <c r="G6" s="3400" t="s">
        <v>1677</v>
      </c>
      <c r="H6" s="3401"/>
      <c r="I6" s="3400" t="s">
        <v>1677</v>
      </c>
      <c r="J6" s="3401"/>
      <c r="K6" s="536" t="s">
        <v>1678</v>
      </c>
      <c r="L6" s="2481"/>
      <c r="M6" s="2482"/>
      <c r="N6" s="2482"/>
      <c r="O6" s="2482"/>
      <c r="P6" s="3414"/>
      <c r="Q6" s="3415"/>
      <c r="R6" s="3394"/>
      <c r="S6" s="3395"/>
      <c r="T6" s="3416"/>
      <c r="U6" s="3417"/>
      <c r="V6" s="3418"/>
      <c r="W6" s="3418"/>
      <c r="X6" s="1263"/>
      <c r="Y6" s="3416"/>
      <c r="Z6" s="3417"/>
      <c r="AA6" s="3389"/>
      <c r="AB6" s="3389"/>
      <c r="AC6" s="3389"/>
    </row>
    <row r="7" spans="1:29" s="101" customFormat="1" ht="15.75" thickBot="1">
      <c r="A7" s="351" t="s">
        <v>1679</v>
      </c>
      <c r="B7" s="352"/>
      <c r="C7" s="353">
        <f>'数据-取费表'!B2</f>
        <v>45727</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390" t="s">
        <v>1680</v>
      </c>
      <c r="Q7" s="3419"/>
      <c r="R7" s="663" t="s">
        <v>14</v>
      </c>
      <c r="S7" s="664">
        <f t="shared" ref="S7:S15" si="0">F7</f>
        <v>0</v>
      </c>
      <c r="T7" s="663" t="s">
        <v>14</v>
      </c>
      <c r="U7" s="664">
        <f t="shared" ref="U7:U15" si="1">H7</f>
        <v>0</v>
      </c>
      <c r="V7" s="663" t="s">
        <v>14</v>
      </c>
      <c r="W7" s="664">
        <f t="shared" ref="W7:W15" si="2">J7</f>
        <v>0</v>
      </c>
      <c r="X7" s="665"/>
      <c r="Y7" s="3390" t="s">
        <v>1680</v>
      </c>
      <c r="Z7" s="3391"/>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390" t="s">
        <v>1683</v>
      </c>
      <c r="Q8" s="3391"/>
      <c r="R8" s="663" t="s">
        <v>14</v>
      </c>
      <c r="S8" s="664">
        <f t="shared" si="0"/>
        <v>0</v>
      </c>
      <c r="T8" s="663" t="s">
        <v>14</v>
      </c>
      <c r="U8" s="664">
        <f t="shared" si="1"/>
        <v>0</v>
      </c>
      <c r="V8" s="663" t="s">
        <v>14</v>
      </c>
      <c r="W8" s="664">
        <f t="shared" si="2"/>
        <v>0</v>
      </c>
      <c r="X8" s="665"/>
      <c r="Y8" s="3390" t="s">
        <v>1683</v>
      </c>
      <c r="Z8" s="3391"/>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23"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118</v>
      </c>
      <c r="G10" s="401"/>
      <c r="H10" s="118">
        <f>ROUND(100/'数据-取费表'!G16,0)</f>
        <v>118</v>
      </c>
      <c r="I10" s="401"/>
      <c r="J10" s="118">
        <f>ROUND(100/'数据-取费表'!G16,0)</f>
        <v>118</v>
      </c>
      <c r="K10" s="591"/>
      <c r="L10" s="2484"/>
      <c r="M10" s="2485"/>
      <c r="N10" s="2485"/>
      <c r="O10" s="2536"/>
      <c r="P10" s="3423"/>
      <c r="Q10" s="529" t="str">
        <f t="shared" si="6"/>
        <v>土地使用年限（年）</v>
      </c>
      <c r="R10" s="663" t="s">
        <v>14</v>
      </c>
      <c r="S10" s="664">
        <f t="shared" si="0"/>
        <v>118</v>
      </c>
      <c r="T10" s="663" t="s">
        <v>14</v>
      </c>
      <c r="U10" s="664">
        <f t="shared" si="1"/>
        <v>118</v>
      </c>
      <c r="V10" s="663" t="s">
        <v>14</v>
      </c>
      <c r="W10" s="664">
        <f t="shared" si="2"/>
        <v>118</v>
      </c>
      <c r="X10" s="665"/>
      <c r="Y10" s="3355"/>
      <c r="Z10" s="50" t="str">
        <f t="shared" si="7"/>
        <v>土地使用年限（年）</v>
      </c>
      <c r="AA10" s="50">
        <f t="shared" si="3"/>
        <v>0.84745762711864403</v>
      </c>
      <c r="AB10" s="50">
        <f t="shared" si="4"/>
        <v>0.84745762711864403</v>
      </c>
      <c r="AC10" s="50">
        <f t="shared" si="5"/>
        <v>0.84745762711864403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23"/>
      <c r="Q11" s="529" t="str">
        <f t="shared" si="6"/>
        <v>容积率</v>
      </c>
      <c r="R11" s="663" t="s">
        <v>14</v>
      </c>
      <c r="S11" s="664" t="e">
        <f t="shared" si="0"/>
        <v>#N/A</v>
      </c>
      <c r="T11" s="663" t="s">
        <v>14</v>
      </c>
      <c r="U11" s="664" t="e">
        <f t="shared" si="1"/>
        <v>#N/A</v>
      </c>
      <c r="V11" s="663" t="s">
        <v>14</v>
      </c>
      <c r="W11" s="664" t="e">
        <f t="shared" si="2"/>
        <v>#N/A</v>
      </c>
      <c r="X11" s="665"/>
      <c r="Y11" s="3355"/>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23"/>
      <c r="Q12" s="529" t="str">
        <f t="shared" si="6"/>
        <v>配建</v>
      </c>
      <c r="R12" s="663" t="s">
        <v>14</v>
      </c>
      <c r="S12" s="664">
        <f t="shared" si="0"/>
        <v>100</v>
      </c>
      <c r="T12" s="663" t="s">
        <v>14</v>
      </c>
      <c r="U12" s="664">
        <f t="shared" si="1"/>
        <v>100</v>
      </c>
      <c r="V12" s="663" t="s">
        <v>14</v>
      </c>
      <c r="W12" s="664">
        <f t="shared" si="2"/>
        <v>100</v>
      </c>
      <c r="X12" s="665"/>
      <c r="Y12" s="335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23"/>
      <c r="Q13" s="529">
        <f t="shared" si="6"/>
        <v>111</v>
      </c>
      <c r="R13" s="663" t="s">
        <v>14</v>
      </c>
      <c r="S13" s="664">
        <f t="shared" si="0"/>
        <v>100</v>
      </c>
      <c r="T13" s="663" t="s">
        <v>14</v>
      </c>
      <c r="U13" s="664">
        <f t="shared" si="1"/>
        <v>100</v>
      </c>
      <c r="V13" s="663" t="s">
        <v>14</v>
      </c>
      <c r="W13" s="664">
        <f t="shared" si="2"/>
        <v>100</v>
      </c>
      <c r="X13" s="665"/>
      <c r="Y13" s="3355"/>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23"/>
      <c r="Q14" s="529">
        <f t="shared" si="6"/>
        <v>111</v>
      </c>
      <c r="R14" s="663" t="s">
        <v>14</v>
      </c>
      <c r="S14" s="664">
        <f t="shared" si="0"/>
        <v>100</v>
      </c>
      <c r="T14" s="663" t="s">
        <v>14</v>
      </c>
      <c r="U14" s="664">
        <f t="shared" si="1"/>
        <v>100</v>
      </c>
      <c r="V14" s="663" t="s">
        <v>14</v>
      </c>
      <c r="W14" s="664">
        <f t="shared" si="2"/>
        <v>100</v>
      </c>
      <c r="X14" s="665"/>
      <c r="Y14" s="3355"/>
      <c r="Z14" s="50">
        <f t="shared" si="7"/>
        <v>111</v>
      </c>
      <c r="AA14" s="50">
        <f>D14/F14</f>
        <v>1</v>
      </c>
      <c r="AB14" s="50">
        <f>D14/H14</f>
        <v>1</v>
      </c>
      <c r="AC14" s="50">
        <f>D14/J14</f>
        <v>1</v>
      </c>
    </row>
    <row r="15" spans="1:29" ht="85.5">
      <c r="A15" s="378" t="s">
        <v>1690</v>
      </c>
      <c r="B15" s="58" t="s">
        <v>1257</v>
      </c>
      <c r="C15" s="1747" t="str">
        <f>估价对象房地状况!C15</f>
        <v>周边有财富中心、新城国际、金茂公寓、建外SOHO等住宅小区，居住社区成熟度较好。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24" t="s">
        <v>1691</v>
      </c>
      <c r="Q15" s="1261" t="str">
        <f t="shared" si="6"/>
        <v>居住社区成熟度</v>
      </c>
      <c r="R15" s="666" t="s">
        <v>14</v>
      </c>
      <c r="S15" s="667">
        <f t="shared" si="0"/>
        <v>100</v>
      </c>
      <c r="T15" s="666" t="s">
        <v>14</v>
      </c>
      <c r="U15" s="667">
        <f t="shared" si="1"/>
        <v>100</v>
      </c>
      <c r="V15" s="666" t="s">
        <v>14</v>
      </c>
      <c r="W15" s="667">
        <f t="shared" si="2"/>
        <v>100</v>
      </c>
      <c r="X15" s="1263"/>
      <c r="Y15" s="3424"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25"/>
      <c r="Q16" s="1261"/>
      <c r="R16" s="666"/>
      <c r="S16" s="667"/>
      <c r="T16" s="666"/>
      <c r="U16" s="667"/>
      <c r="V16" s="666"/>
      <c r="W16" s="667"/>
      <c r="X16" s="1263"/>
      <c r="Y16" s="3425"/>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25"/>
      <c r="Q17" s="1261" t="str">
        <f>B17</f>
        <v>商业繁华度</v>
      </c>
      <c r="R17" s="666" t="s">
        <v>14</v>
      </c>
      <c r="S17" s="667">
        <f>F17</f>
        <v>100</v>
      </c>
      <c r="T17" s="666" t="s">
        <v>14</v>
      </c>
      <c r="U17" s="667">
        <f>H17</f>
        <v>100</v>
      </c>
      <c r="V17" s="666" t="s">
        <v>14</v>
      </c>
      <c r="W17" s="667">
        <f>J17</f>
        <v>100</v>
      </c>
      <c r="X17" s="1263"/>
      <c r="Y17" s="3425"/>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25"/>
      <c r="Q18" s="1261"/>
      <c r="R18" s="666"/>
      <c r="S18" s="667"/>
      <c r="T18" s="666"/>
      <c r="U18" s="667"/>
      <c r="V18" s="666"/>
      <c r="W18" s="667"/>
      <c r="X18" s="1263"/>
      <c r="Y18" s="3425"/>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25"/>
      <c r="Q19" s="1261" t="str">
        <f>B19</f>
        <v>办公集聚程度</v>
      </c>
      <c r="R19" s="666" t="s">
        <v>14</v>
      </c>
      <c r="S19" s="667">
        <f>F19</f>
        <v>100</v>
      </c>
      <c r="T19" s="666" t="s">
        <v>14</v>
      </c>
      <c r="U19" s="667">
        <f>H19</f>
        <v>100</v>
      </c>
      <c r="V19" s="666" t="s">
        <v>14</v>
      </c>
      <c r="W19" s="667">
        <f>J19</f>
        <v>100</v>
      </c>
      <c r="X19" s="1263"/>
      <c r="Y19" s="3425"/>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25"/>
      <c r="Q20" s="1261"/>
      <c r="R20" s="666"/>
      <c r="S20" s="667"/>
      <c r="T20" s="666"/>
      <c r="U20" s="667"/>
      <c r="V20" s="666"/>
      <c r="W20" s="667"/>
      <c r="X20" s="1263"/>
      <c r="Y20" s="3425"/>
      <c r="Z20" s="1262"/>
      <c r="AA20" s="1262">
        <v>1</v>
      </c>
      <c r="AB20" s="1262">
        <v>1</v>
      </c>
      <c r="AC20" s="1262">
        <v>1</v>
      </c>
    </row>
    <row r="21" spans="1:29" ht="142.5">
      <c r="A21" s="366"/>
      <c r="B21" s="389" t="s">
        <v>1830</v>
      </c>
      <c r="C21" s="1751" t="str">
        <f>估价对象房地状况!C18</f>
        <v>周边有98路、113路、140路、405路等多条公交线路，地铁1号线与10号线换乘站国贸站，地铁6号线与10号线换乘站呼家楼站，综合评价交通便捷度好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25"/>
      <c r="Q21" s="1261" t="str">
        <f>B21</f>
        <v>交通便捷度</v>
      </c>
      <c r="R21" s="666" t="s">
        <v>14</v>
      </c>
      <c r="S21" s="667">
        <f>F21</f>
        <v>100</v>
      </c>
      <c r="T21" s="666" t="s">
        <v>14</v>
      </c>
      <c r="U21" s="667">
        <f>H21</f>
        <v>100</v>
      </c>
      <c r="V21" s="666" t="s">
        <v>14</v>
      </c>
      <c r="W21" s="667">
        <f>J21</f>
        <v>100</v>
      </c>
      <c r="X21" s="1263"/>
      <c r="Y21" s="3425"/>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25"/>
      <c r="Q22" s="1261"/>
      <c r="R22" s="666"/>
      <c r="S22" s="667"/>
      <c r="T22" s="666"/>
      <c r="U22" s="667"/>
      <c r="V22" s="666"/>
      <c r="W22" s="667"/>
      <c r="X22" s="1263"/>
      <c r="Y22" s="3425"/>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25"/>
      <c r="Q23" s="1261" t="str">
        <f t="shared" ref="Q23:Q37" si="8">B23</f>
        <v>区域土地利用方向</v>
      </c>
      <c r="R23" s="666" t="s">
        <v>14</v>
      </c>
      <c r="S23" s="667">
        <f>F23</f>
        <v>100</v>
      </c>
      <c r="T23" s="666" t="s">
        <v>14</v>
      </c>
      <c r="U23" s="667">
        <f>H23</f>
        <v>100</v>
      </c>
      <c r="V23" s="666" t="s">
        <v>14</v>
      </c>
      <c r="W23" s="667">
        <f>J23</f>
        <v>100</v>
      </c>
      <c r="X23" s="1263"/>
      <c r="Y23" s="3425"/>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25"/>
      <c r="Q24" s="1261"/>
      <c r="R24" s="666"/>
      <c r="S24" s="667"/>
      <c r="T24" s="666"/>
      <c r="U24" s="667"/>
      <c r="V24" s="666"/>
      <c r="W24" s="667"/>
      <c r="X24" s="1263"/>
      <c r="Y24" s="3425"/>
      <c r="Z24" s="1262"/>
      <c r="AA24" s="1262"/>
      <c r="AB24" s="1262"/>
      <c r="AC24" s="1262"/>
    </row>
    <row r="25" spans="1:29" ht="114">
      <c r="A25" s="347"/>
      <c r="B25" s="585" t="s">
        <v>1869</v>
      </c>
      <c r="C25" s="1801" t="str">
        <f>估价对象房地状况!C20</f>
        <v>自然环境：团结湖公园、日坛公园等自然景观；
人文环境：东岳庙、当代美术馆等人文场所；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25"/>
      <c r="Q25" s="1261" t="str">
        <f t="shared" si="8"/>
        <v>自然及人文环境状况</v>
      </c>
      <c r="R25" s="666" t="s">
        <v>14</v>
      </c>
      <c r="S25" s="667">
        <f>F25</f>
        <v>100</v>
      </c>
      <c r="T25" s="666" t="s">
        <v>14</v>
      </c>
      <c r="U25" s="667">
        <f>H25</f>
        <v>100</v>
      </c>
      <c r="V25" s="666" t="s">
        <v>14</v>
      </c>
      <c r="W25" s="667">
        <f>J25</f>
        <v>100</v>
      </c>
      <c r="X25" s="1263"/>
      <c r="Y25" s="3425"/>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25"/>
      <c r="Q26" s="1261"/>
      <c r="R26" s="666"/>
      <c r="S26" s="667"/>
      <c r="T26" s="666"/>
      <c r="U26" s="667"/>
      <c r="V26" s="666"/>
      <c r="W26" s="667"/>
      <c r="X26" s="1263"/>
      <c r="Y26" s="3425"/>
      <c r="Z26" s="1262"/>
      <c r="AA26" s="1262">
        <v>1</v>
      </c>
      <c r="AB26" s="1262">
        <v>1</v>
      </c>
      <c r="AC26" s="1262">
        <v>1</v>
      </c>
    </row>
    <row r="27" spans="1:29" s="101" customFormat="1" ht="313.5">
      <c r="A27" s="442"/>
      <c r="B27" s="585" t="s">
        <v>1775</v>
      </c>
      <c r="C27" s="1751"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25"/>
      <c r="Q27" s="529" t="str">
        <f t="shared" si="8"/>
        <v>公共配套设施</v>
      </c>
      <c r="R27" s="663" t="s">
        <v>14</v>
      </c>
      <c r="S27" s="664">
        <f>F27</f>
        <v>100</v>
      </c>
      <c r="T27" s="663" t="s">
        <v>14</v>
      </c>
      <c r="U27" s="664">
        <f>H27</f>
        <v>100</v>
      </c>
      <c r="V27" s="663" t="s">
        <v>14</v>
      </c>
      <c r="W27" s="664">
        <f>J27</f>
        <v>100</v>
      </c>
      <c r="X27" s="665"/>
      <c r="Y27" s="3425"/>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25"/>
      <c r="Q28" s="529"/>
      <c r="R28" s="663"/>
      <c r="S28" s="664"/>
      <c r="T28" s="663"/>
      <c r="U28" s="664"/>
      <c r="V28" s="663"/>
      <c r="W28" s="664"/>
      <c r="X28" s="665"/>
      <c r="Y28" s="3425"/>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25"/>
      <c r="Q29" s="529" t="str">
        <f>B29</f>
        <v>基础设施水平</v>
      </c>
      <c r="R29" s="663" t="s">
        <v>14</v>
      </c>
      <c r="S29" s="664">
        <f>F29</f>
        <v>100</v>
      </c>
      <c r="T29" s="663" t="s">
        <v>14</v>
      </c>
      <c r="U29" s="664">
        <f>H29</f>
        <v>100</v>
      </c>
      <c r="V29" s="663" t="s">
        <v>14</v>
      </c>
      <c r="W29" s="664">
        <f>J29</f>
        <v>100</v>
      </c>
      <c r="X29" s="665"/>
      <c r="Y29" s="3425"/>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25"/>
      <c r="Q30" s="529"/>
      <c r="R30" s="663"/>
      <c r="S30" s="664"/>
      <c r="T30" s="663"/>
      <c r="U30" s="664"/>
      <c r="V30" s="663"/>
      <c r="W30" s="664"/>
      <c r="X30" s="665"/>
      <c r="Y30" s="3425"/>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25"/>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25"/>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25"/>
      <c r="Q32" s="1261" t="str">
        <f t="shared" si="8"/>
        <v>毗邻道路的类型与等级</v>
      </c>
      <c r="R32" s="666" t="s">
        <v>14</v>
      </c>
      <c r="S32" s="667">
        <f t="shared" si="9"/>
        <v>100</v>
      </c>
      <c r="T32" s="666" t="s">
        <v>14</v>
      </c>
      <c r="U32" s="667">
        <f t="shared" si="10"/>
        <v>100</v>
      </c>
      <c r="V32" s="666" t="s">
        <v>14</v>
      </c>
      <c r="W32" s="667">
        <f t="shared" si="11"/>
        <v>100</v>
      </c>
      <c r="X32" s="1263"/>
      <c r="Y32" s="3425"/>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25"/>
      <c r="Q33" s="1261"/>
      <c r="R33" s="666"/>
      <c r="S33" s="667"/>
      <c r="T33" s="666"/>
      <c r="U33" s="667"/>
      <c r="V33" s="666"/>
      <c r="W33" s="667"/>
      <c r="X33" s="1263"/>
      <c r="Y33" s="3425"/>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25"/>
      <c r="Q34" s="1261" t="str">
        <f t="shared" si="8"/>
        <v>土地级别</v>
      </c>
      <c r="R34" s="666" t="s">
        <v>14</v>
      </c>
      <c r="S34" s="667">
        <f t="shared" si="9"/>
        <v>100</v>
      </c>
      <c r="T34" s="666" t="s">
        <v>14</v>
      </c>
      <c r="U34" s="667">
        <f t="shared" si="10"/>
        <v>100</v>
      </c>
      <c r="V34" s="666" t="s">
        <v>14</v>
      </c>
      <c r="W34" s="667">
        <f t="shared" si="11"/>
        <v>100</v>
      </c>
      <c r="X34" s="1263"/>
      <c r="Y34" s="3425"/>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25"/>
      <c r="Q35" s="1261">
        <f t="shared" si="8"/>
        <v>111</v>
      </c>
      <c r="R35" s="666" t="s">
        <v>14</v>
      </c>
      <c r="S35" s="667">
        <f t="shared" si="9"/>
        <v>100</v>
      </c>
      <c r="T35" s="666" t="s">
        <v>14</v>
      </c>
      <c r="U35" s="667">
        <f t="shared" si="10"/>
        <v>100</v>
      </c>
      <c r="V35" s="666" t="s">
        <v>14</v>
      </c>
      <c r="W35" s="667">
        <f t="shared" si="11"/>
        <v>100</v>
      </c>
      <c r="X35" s="1263"/>
      <c r="Y35" s="3425"/>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70" t="s">
        <v>1696</v>
      </c>
      <c r="Q36" s="1261">
        <f t="shared" si="8"/>
        <v>111</v>
      </c>
      <c r="R36" s="666" t="s">
        <v>14</v>
      </c>
      <c r="S36" s="667">
        <f t="shared" si="9"/>
        <v>100</v>
      </c>
      <c r="T36" s="666" t="s">
        <v>14</v>
      </c>
      <c r="U36" s="667">
        <f t="shared" si="10"/>
        <v>100</v>
      </c>
      <c r="V36" s="666" t="s">
        <v>14</v>
      </c>
      <c r="W36" s="667">
        <f t="shared" si="11"/>
        <v>100</v>
      </c>
      <c r="X36" s="1263"/>
      <c r="Y36" s="3429"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29"/>
      <c r="Q37" s="1261">
        <f t="shared" si="8"/>
        <v>111</v>
      </c>
      <c r="R37" s="668" t="s">
        <v>14</v>
      </c>
      <c r="S37" s="669">
        <f t="shared" si="9"/>
        <v>100</v>
      </c>
      <c r="T37" s="668" t="s">
        <v>14</v>
      </c>
      <c r="U37" s="669">
        <f t="shared" si="10"/>
        <v>100</v>
      </c>
      <c r="V37" s="668" t="s">
        <v>14</v>
      </c>
      <c r="W37" s="669">
        <f t="shared" si="11"/>
        <v>100</v>
      </c>
      <c r="X37" s="670"/>
      <c r="Y37" s="3429"/>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29"/>
      <c r="Q38" s="1261" t="str">
        <f>B38</f>
        <v>宗地面积</v>
      </c>
      <c r="R38" s="666" t="s">
        <v>14</v>
      </c>
      <c r="S38" s="667" t="e">
        <f t="shared" si="9"/>
        <v>#N/A</v>
      </c>
      <c r="T38" s="666" t="s">
        <v>14</v>
      </c>
      <c r="U38" s="667" t="e">
        <f t="shared" si="10"/>
        <v>#N/A</v>
      </c>
      <c r="V38" s="666" t="s">
        <v>14</v>
      </c>
      <c r="W38" s="667" t="e">
        <f t="shared" si="11"/>
        <v>#N/A</v>
      </c>
      <c r="X38" s="1263"/>
      <c r="Y38" s="3429"/>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29"/>
      <c r="Q39" s="1261" t="str">
        <f t="shared" ref="Q39:Q45" si="13">B39</f>
        <v>宗地形状</v>
      </c>
      <c r="R39" s="666" t="s">
        <v>14</v>
      </c>
      <c r="S39" s="667">
        <f t="shared" si="9"/>
        <v>100</v>
      </c>
      <c r="T39" s="666" t="s">
        <v>14</v>
      </c>
      <c r="U39" s="667">
        <f t="shared" si="10"/>
        <v>100</v>
      </c>
      <c r="V39" s="666" t="s">
        <v>14</v>
      </c>
      <c r="W39" s="667">
        <f t="shared" si="11"/>
        <v>100</v>
      </c>
      <c r="X39" s="1263"/>
      <c r="Y39" s="3429"/>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29"/>
      <c r="Q40" s="1261" t="str">
        <f t="shared" si="13"/>
        <v>临街宽度及深度</v>
      </c>
      <c r="R40" s="666" t="s">
        <v>14</v>
      </c>
      <c r="S40" s="667">
        <f t="shared" si="9"/>
        <v>100</v>
      </c>
      <c r="T40" s="666" t="s">
        <v>14</v>
      </c>
      <c r="U40" s="667">
        <f t="shared" si="10"/>
        <v>100</v>
      </c>
      <c r="V40" s="666" t="s">
        <v>14</v>
      </c>
      <c r="W40" s="667">
        <f t="shared" si="11"/>
        <v>100</v>
      </c>
      <c r="X40" s="1263"/>
      <c r="Y40" s="3429"/>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29"/>
      <c r="Q41" s="1261" t="str">
        <f t="shared" si="13"/>
        <v>宗地开发程度</v>
      </c>
      <c r="R41" s="663" t="s">
        <v>14</v>
      </c>
      <c r="S41" s="664">
        <f t="shared" si="9"/>
        <v>100</v>
      </c>
      <c r="T41" s="663" t="s">
        <v>14</v>
      </c>
      <c r="U41" s="664">
        <f t="shared" si="10"/>
        <v>100</v>
      </c>
      <c r="V41" s="663" t="s">
        <v>14</v>
      </c>
      <c r="W41" s="664">
        <f t="shared" si="11"/>
        <v>100</v>
      </c>
      <c r="X41" s="665"/>
      <c r="Y41" s="3429"/>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29" t="s">
        <v>1696</v>
      </c>
      <c r="Q42" s="1261" t="str">
        <f t="shared" si="13"/>
        <v>工程地质条件</v>
      </c>
      <c r="R42" s="666" t="s">
        <v>14</v>
      </c>
      <c r="S42" s="667">
        <f t="shared" si="9"/>
        <v>100</v>
      </c>
      <c r="T42" s="666" t="s">
        <v>14</v>
      </c>
      <c r="U42" s="667">
        <f t="shared" si="10"/>
        <v>100</v>
      </c>
      <c r="V42" s="666" t="s">
        <v>14</v>
      </c>
      <c r="W42" s="667">
        <f t="shared" si="11"/>
        <v>100</v>
      </c>
      <c r="X42" s="1263"/>
      <c r="Y42" s="3429"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29"/>
      <c r="Q43" s="1261">
        <f t="shared" si="13"/>
        <v>111</v>
      </c>
      <c r="R43" s="666" t="s">
        <v>14</v>
      </c>
      <c r="S43" s="667">
        <f t="shared" si="9"/>
        <v>100</v>
      </c>
      <c r="T43" s="666" t="s">
        <v>14</v>
      </c>
      <c r="U43" s="667">
        <f t="shared" si="10"/>
        <v>100</v>
      </c>
      <c r="V43" s="666" t="s">
        <v>14</v>
      </c>
      <c r="W43" s="667">
        <f t="shared" si="11"/>
        <v>100</v>
      </c>
      <c r="X43" s="1263"/>
      <c r="Y43" s="3429"/>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29"/>
      <c r="Q44" s="1261">
        <f t="shared" si="13"/>
        <v>111</v>
      </c>
      <c r="R44" s="666" t="s">
        <v>14</v>
      </c>
      <c r="S44" s="667">
        <f t="shared" si="9"/>
        <v>100</v>
      </c>
      <c r="T44" s="666" t="s">
        <v>14</v>
      </c>
      <c r="U44" s="667">
        <f t="shared" si="10"/>
        <v>100</v>
      </c>
      <c r="V44" s="666" t="s">
        <v>14</v>
      </c>
      <c r="W44" s="667">
        <f t="shared" si="11"/>
        <v>100</v>
      </c>
      <c r="X44" s="1263"/>
      <c r="Y44" s="3429"/>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29"/>
      <c r="Q45" s="1261">
        <f t="shared" si="13"/>
        <v>111</v>
      </c>
      <c r="R45" s="668" t="s">
        <v>14</v>
      </c>
      <c r="S45" s="669">
        <f t="shared" si="9"/>
        <v>100</v>
      </c>
      <c r="T45" s="668" t="s">
        <v>14</v>
      </c>
      <c r="U45" s="669">
        <f t="shared" si="10"/>
        <v>100</v>
      </c>
      <c r="V45" s="668" t="s">
        <v>14</v>
      </c>
      <c r="W45" s="669">
        <f t="shared" si="11"/>
        <v>100</v>
      </c>
      <c r="X45" s="670"/>
      <c r="Y45" s="3429"/>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23" t="str">
        <f>A46</f>
        <v>成交单价</v>
      </c>
      <c r="Q46" s="3423"/>
      <c r="R46" s="3418">
        <f>E46</f>
        <v>0</v>
      </c>
      <c r="S46" s="3418"/>
      <c r="T46" s="3418">
        <f>G46</f>
        <v>0</v>
      </c>
      <c r="U46" s="3418"/>
      <c r="V46" s="3418">
        <f>I46</f>
        <v>0</v>
      </c>
      <c r="W46" s="3418"/>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23" t="str">
        <f>A47</f>
        <v>比较价值（元/平方米）</v>
      </c>
      <c r="Q47" s="3423"/>
      <c r="R47" s="3472" t="e">
        <f>ROUND(PRODUCT(R46,AA7:AA45),0)</f>
        <v>#DIV/0!</v>
      </c>
      <c r="S47" s="3472"/>
      <c r="T47" s="3472" t="e">
        <f>ROUND(PRODUCT(T46,AB7:AB45),0)</f>
        <v>#DIV/0!</v>
      </c>
      <c r="U47" s="3472"/>
      <c r="V47" s="3472" t="e">
        <f>ROUND(PRODUCT(V46,AC7:AC45),0)</f>
        <v>#DIV/0!</v>
      </c>
      <c r="W47" s="3472"/>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20" t="str">
        <f>A48</f>
        <v>估价对象XX用房的比较价值（楼面单价，元/平方米）</v>
      </c>
      <c r="Q48" s="3421"/>
      <c r="R48" s="3473" t="e">
        <f>ROUND(IF(D47="简单平均",AVERAGE(R47:W47),R47*F47+T47*H47+V47*J47),0)</f>
        <v>#DIV/0!</v>
      </c>
      <c r="S48" s="3473"/>
      <c r="T48" s="3473"/>
      <c r="U48" s="3473"/>
      <c r="V48" s="3473"/>
      <c r="W48" s="3473"/>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06" t="s">
        <v>1884</v>
      </c>
      <c r="H55" s="3474"/>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109.66</v>
      </c>
      <c r="F56" s="832" t="e">
        <f t="shared" ref="F56:F64" si="14">ROUND(B56*E56/10000,0)</f>
        <v>#DIV/0!</v>
      </c>
      <c r="G56" s="3405"/>
      <c r="H56" s="3423"/>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109.66</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2025-3-1</v>
      </c>
      <c r="D67" s="655">
        <f>EDATE(C67,-3)</f>
        <v>45627</v>
      </c>
      <c r="E67" s="655">
        <f>EDATE(D67,-3)</f>
        <v>45536</v>
      </c>
      <c r="F67" s="655">
        <f t="shared" ref="F67:O67" si="17">EDATE(E67,-3)</f>
        <v>45444</v>
      </c>
      <c r="G67" s="655">
        <f t="shared" si="17"/>
        <v>45352</v>
      </c>
      <c r="H67" s="655">
        <f t="shared" si="17"/>
        <v>45261</v>
      </c>
      <c r="I67" s="655">
        <f t="shared" si="17"/>
        <v>45170</v>
      </c>
      <c r="J67" s="655">
        <f t="shared" si="17"/>
        <v>45078</v>
      </c>
      <c r="K67" s="655">
        <f t="shared" si="17"/>
        <v>44986</v>
      </c>
      <c r="L67" s="655">
        <f t="shared" si="17"/>
        <v>44896</v>
      </c>
      <c r="M67" s="655">
        <f t="shared" si="17"/>
        <v>44805</v>
      </c>
      <c r="N67" s="655">
        <f t="shared" si="17"/>
        <v>44713</v>
      </c>
      <c r="O67" s="655">
        <f t="shared" si="17"/>
        <v>44621</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2025-1</v>
      </c>
      <c r="D69" s="1099" t="str">
        <f>YEAR(D67)&amp;"-"&amp;ROUNDUP(MONTH(D67)/3,0)</f>
        <v>2024-4</v>
      </c>
      <c r="E69" s="1099" t="str">
        <f t="shared" ref="E69:O69" si="18">YEAR(E67)&amp;"-"&amp;ROUNDUP(MONTH(E67)/3,0)</f>
        <v>2024-3</v>
      </c>
      <c r="F69" s="1099" t="str">
        <f t="shared" si="18"/>
        <v>2024-2</v>
      </c>
      <c r="G69" s="1099" t="str">
        <f t="shared" si="18"/>
        <v>2024-1</v>
      </c>
      <c r="H69" s="1099" t="str">
        <f t="shared" si="18"/>
        <v>2023-4</v>
      </c>
      <c r="I69" s="1099" t="str">
        <f t="shared" si="18"/>
        <v>2023-3</v>
      </c>
      <c r="J69" s="1099" t="str">
        <f t="shared" si="18"/>
        <v>2023-2</v>
      </c>
      <c r="K69" s="1099" t="str">
        <f t="shared" si="18"/>
        <v>2023-1</v>
      </c>
      <c r="L69" s="1099" t="str">
        <f t="shared" si="18"/>
        <v>2022-4</v>
      </c>
      <c r="M69" s="1099" t="str">
        <f t="shared" si="18"/>
        <v>2022-3</v>
      </c>
      <c r="N69" s="1099" t="str">
        <f t="shared" si="18"/>
        <v>2022-2</v>
      </c>
      <c r="O69" s="1099" t="str">
        <f t="shared" si="18"/>
        <v>2022-1</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06" t="s">
        <v>1767</v>
      </c>
      <c r="D4" s="3407"/>
      <c r="E4" s="3408" t="s">
        <v>1768</v>
      </c>
      <c r="F4" s="3409"/>
      <c r="G4" s="3406" t="s">
        <v>1769</v>
      </c>
      <c r="H4" s="3407"/>
      <c r="I4" s="3406" t="s">
        <v>1770</v>
      </c>
      <c r="J4" s="3407"/>
      <c r="K4" s="536" t="s">
        <v>1771</v>
      </c>
      <c r="L4" s="2481"/>
      <c r="M4" s="2482"/>
      <c r="N4" s="2482"/>
      <c r="O4" s="2482"/>
      <c r="P4" s="3410" t="s">
        <v>1772</v>
      </c>
      <c r="Q4" s="3411"/>
      <c r="R4" s="3392" t="s">
        <v>1768</v>
      </c>
      <c r="S4" s="3393"/>
      <c r="T4" s="3392" t="s">
        <v>1769</v>
      </c>
      <c r="U4" s="3393"/>
      <c r="V4" s="3418" t="s">
        <v>1770</v>
      </c>
      <c r="W4" s="3418"/>
      <c r="X4" s="1263"/>
      <c r="Y4" s="3392" t="s">
        <v>1772</v>
      </c>
      <c r="Z4" s="3393"/>
      <c r="AA4" s="3387" t="s">
        <v>1768</v>
      </c>
      <c r="AB4" s="3388" t="s">
        <v>1769</v>
      </c>
      <c r="AC4" s="3387" t="s">
        <v>1770</v>
      </c>
    </row>
    <row r="5" spans="1:29" ht="15">
      <c r="A5" s="347"/>
      <c r="B5" s="348"/>
      <c r="C5" s="3402" t="s">
        <v>1673</v>
      </c>
      <c r="D5" s="3399"/>
      <c r="E5" s="3454" t="s">
        <v>1674</v>
      </c>
      <c r="F5" s="3397"/>
      <c r="G5" s="3402" t="s">
        <v>1675</v>
      </c>
      <c r="H5" s="3399"/>
      <c r="I5" s="3402" t="s">
        <v>1676</v>
      </c>
      <c r="J5" s="3399"/>
      <c r="K5" s="536"/>
      <c r="L5" s="2481"/>
      <c r="M5" s="2482"/>
      <c r="N5" s="2482"/>
      <c r="O5" s="2482"/>
      <c r="P5" s="3412"/>
      <c r="Q5" s="3413"/>
      <c r="R5" s="3394"/>
      <c r="S5" s="3395"/>
      <c r="T5" s="3394"/>
      <c r="U5" s="3395"/>
      <c r="V5" s="3418"/>
      <c r="W5" s="3418"/>
      <c r="X5" s="1263"/>
      <c r="Y5" s="3394"/>
      <c r="Z5" s="3395"/>
      <c r="AA5" s="3388"/>
      <c r="AB5" s="3388"/>
      <c r="AC5" s="3388"/>
    </row>
    <row r="6" spans="1:29" ht="15.75" thickBot="1">
      <c r="A6" s="349"/>
      <c r="B6" s="350"/>
      <c r="C6" s="3475" t="s">
        <v>1916</v>
      </c>
      <c r="D6" s="3476"/>
      <c r="E6" s="3477" t="s">
        <v>1916</v>
      </c>
      <c r="F6" s="3478"/>
      <c r="G6" s="3475" t="s">
        <v>1916</v>
      </c>
      <c r="H6" s="3476"/>
      <c r="I6" s="3475" t="s">
        <v>1916</v>
      </c>
      <c r="J6" s="3476"/>
      <c r="K6" s="536" t="s">
        <v>1678</v>
      </c>
      <c r="L6" s="2481"/>
      <c r="M6" s="2482"/>
      <c r="N6" s="2482"/>
      <c r="O6" s="2482"/>
      <c r="P6" s="3414"/>
      <c r="Q6" s="3415"/>
      <c r="R6" s="3394"/>
      <c r="S6" s="3395"/>
      <c r="T6" s="3416"/>
      <c r="U6" s="3417"/>
      <c r="V6" s="3418"/>
      <c r="W6" s="3418"/>
      <c r="X6" s="1263"/>
      <c r="Y6" s="3416"/>
      <c r="Z6" s="3417"/>
      <c r="AA6" s="3389"/>
      <c r="AB6" s="3389"/>
      <c r="AC6" s="3389"/>
    </row>
    <row r="7" spans="1:29" s="101" customFormat="1" ht="15.75" thickBot="1">
      <c r="A7" s="351" t="s">
        <v>1679</v>
      </c>
      <c r="B7" s="352"/>
      <c r="C7" s="353">
        <f>'数据-取费表'!B2</f>
        <v>45727</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390" t="s">
        <v>1680</v>
      </c>
      <c r="Q7" s="3419"/>
      <c r="R7" s="663" t="s">
        <v>14</v>
      </c>
      <c r="S7" s="664">
        <f t="shared" ref="S7:S15" si="0">F7</f>
        <v>0</v>
      </c>
      <c r="T7" s="663" t="s">
        <v>14</v>
      </c>
      <c r="U7" s="664">
        <f t="shared" ref="U7:U15" si="1">H7</f>
        <v>0</v>
      </c>
      <c r="V7" s="663" t="s">
        <v>14</v>
      </c>
      <c r="W7" s="664">
        <f t="shared" ref="W7:W15" si="2">J7</f>
        <v>0</v>
      </c>
      <c r="X7" s="665"/>
      <c r="Y7" s="3390" t="s">
        <v>1680</v>
      </c>
      <c r="Z7" s="3391"/>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390" t="s">
        <v>1683</v>
      </c>
      <c r="Q8" s="3391"/>
      <c r="R8" s="663" t="s">
        <v>14</v>
      </c>
      <c r="S8" s="664">
        <f t="shared" si="0"/>
        <v>0</v>
      </c>
      <c r="T8" s="663" t="s">
        <v>14</v>
      </c>
      <c r="U8" s="664">
        <f t="shared" si="1"/>
        <v>0</v>
      </c>
      <c r="V8" s="663" t="s">
        <v>14</v>
      </c>
      <c r="W8" s="664">
        <f t="shared" si="2"/>
        <v>0</v>
      </c>
      <c r="X8" s="665"/>
      <c r="Y8" s="3390" t="s">
        <v>1683</v>
      </c>
      <c r="Z8" s="3391"/>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23"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118</v>
      </c>
      <c r="G10" s="370"/>
      <c r="H10" s="118">
        <f>ROUND(100/'数据-取费表'!G16,0)</f>
        <v>118</v>
      </c>
      <c r="I10" s="370"/>
      <c r="J10" s="118">
        <f>ROUND(100/'数据-取费表'!G16,0)</f>
        <v>118</v>
      </c>
      <c r="K10" s="591"/>
      <c r="L10" s="2484"/>
      <c r="M10" s="2485"/>
      <c r="N10" s="2485"/>
      <c r="O10" s="2536"/>
      <c r="P10" s="3423"/>
      <c r="Q10" s="529" t="str">
        <f t="shared" si="6"/>
        <v>土地使用年限（年）</v>
      </c>
      <c r="R10" s="663" t="s">
        <v>14</v>
      </c>
      <c r="S10" s="664">
        <f t="shared" si="0"/>
        <v>118</v>
      </c>
      <c r="T10" s="663" t="s">
        <v>14</v>
      </c>
      <c r="U10" s="664">
        <f t="shared" si="1"/>
        <v>118</v>
      </c>
      <c r="V10" s="663" t="s">
        <v>14</v>
      </c>
      <c r="W10" s="664">
        <f t="shared" si="2"/>
        <v>118</v>
      </c>
      <c r="X10" s="665"/>
      <c r="Y10" s="3355"/>
      <c r="Z10" s="50" t="str">
        <f t="shared" si="7"/>
        <v>土地使用年限（年）</v>
      </c>
      <c r="AA10" s="50">
        <f t="shared" si="3"/>
        <v>0.84745762711864403</v>
      </c>
      <c r="AB10" s="50">
        <f t="shared" si="4"/>
        <v>0.84745762711864403</v>
      </c>
      <c r="AC10" s="50">
        <f t="shared" si="5"/>
        <v>0.84745762711864403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23"/>
      <c r="Q11" s="529" t="str">
        <f t="shared" si="6"/>
        <v>容积率</v>
      </c>
      <c r="R11" s="663" t="s">
        <v>14</v>
      </c>
      <c r="S11" s="664" t="e">
        <f t="shared" si="0"/>
        <v>#N/A</v>
      </c>
      <c r="T11" s="663" t="s">
        <v>14</v>
      </c>
      <c r="U11" s="664" t="e">
        <f t="shared" si="1"/>
        <v>#N/A</v>
      </c>
      <c r="V11" s="663" t="s">
        <v>14</v>
      </c>
      <c r="W11" s="664" t="e">
        <f t="shared" si="2"/>
        <v>#N/A</v>
      </c>
      <c r="X11" s="665"/>
      <c r="Y11" s="3355"/>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23"/>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23"/>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23"/>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24" t="s">
        <v>1691</v>
      </c>
      <c r="Q15" s="1261" t="str">
        <f t="shared" si="6"/>
        <v>产业集聚程度</v>
      </c>
      <c r="R15" s="666" t="s">
        <v>14</v>
      </c>
      <c r="S15" s="667">
        <f t="shared" si="0"/>
        <v>100</v>
      </c>
      <c r="T15" s="666" t="s">
        <v>14</v>
      </c>
      <c r="U15" s="667">
        <f t="shared" si="1"/>
        <v>100</v>
      </c>
      <c r="V15" s="666" t="s">
        <v>14</v>
      </c>
      <c r="W15" s="667">
        <f t="shared" si="2"/>
        <v>100</v>
      </c>
      <c r="X15" s="1263"/>
      <c r="Y15" s="3424"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25"/>
      <c r="Q16" s="1261"/>
      <c r="R16" s="666"/>
      <c r="S16" s="667"/>
      <c r="T16" s="666"/>
      <c r="U16" s="667"/>
      <c r="V16" s="666"/>
      <c r="W16" s="667"/>
      <c r="X16" s="1263"/>
      <c r="Y16" s="3425"/>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25"/>
      <c r="Q17" s="1261" t="str">
        <f>B17</f>
        <v>交通便捷度</v>
      </c>
      <c r="R17" s="666" t="s">
        <v>14</v>
      </c>
      <c r="S17" s="667">
        <f>F17</f>
        <v>100</v>
      </c>
      <c r="T17" s="666" t="s">
        <v>14</v>
      </c>
      <c r="U17" s="667">
        <f>H17</f>
        <v>100</v>
      </c>
      <c r="V17" s="666" t="s">
        <v>14</v>
      </c>
      <c r="W17" s="667">
        <f>J17</f>
        <v>100</v>
      </c>
      <c r="X17" s="1263"/>
      <c r="Y17" s="3425"/>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25"/>
      <c r="Q18" s="1261"/>
      <c r="R18" s="666"/>
      <c r="S18" s="667"/>
      <c r="T18" s="666"/>
      <c r="U18" s="667"/>
      <c r="V18" s="666"/>
      <c r="W18" s="667"/>
      <c r="X18" s="1263"/>
      <c r="Y18" s="3425"/>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25"/>
      <c r="Q19" s="1261" t="str">
        <f t="shared" ref="Q19:Q33" si="8">B19</f>
        <v>区域土地利用方向</v>
      </c>
      <c r="R19" s="666" t="s">
        <v>14</v>
      </c>
      <c r="S19" s="667">
        <f>F19</f>
        <v>100</v>
      </c>
      <c r="T19" s="666" t="s">
        <v>14</v>
      </c>
      <c r="U19" s="667">
        <f>H19</f>
        <v>100</v>
      </c>
      <c r="V19" s="666" t="s">
        <v>14</v>
      </c>
      <c r="W19" s="667">
        <f>J19</f>
        <v>100</v>
      </c>
      <c r="X19" s="1263"/>
      <c r="Y19" s="3425"/>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25"/>
      <c r="Q20" s="1261"/>
      <c r="R20" s="666"/>
      <c r="S20" s="667"/>
      <c r="T20" s="666"/>
      <c r="U20" s="667"/>
      <c r="V20" s="666"/>
      <c r="W20" s="667"/>
      <c r="X20" s="1263"/>
      <c r="Y20" s="3425"/>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25"/>
      <c r="Q21" s="1261" t="str">
        <f t="shared" si="8"/>
        <v>环境状况</v>
      </c>
      <c r="R21" s="666" t="s">
        <v>14</v>
      </c>
      <c r="S21" s="667">
        <f>F21</f>
        <v>100</v>
      </c>
      <c r="T21" s="666" t="s">
        <v>14</v>
      </c>
      <c r="U21" s="667">
        <f>H21</f>
        <v>100</v>
      </c>
      <c r="V21" s="666" t="s">
        <v>14</v>
      </c>
      <c r="W21" s="667">
        <f>J21</f>
        <v>100</v>
      </c>
      <c r="X21" s="1263"/>
      <c r="Y21" s="3425"/>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25"/>
      <c r="Q22" s="1261"/>
      <c r="R22" s="666"/>
      <c r="S22" s="667"/>
      <c r="T22" s="666"/>
      <c r="U22" s="667"/>
      <c r="V22" s="666"/>
      <c r="W22" s="667"/>
      <c r="X22" s="1263"/>
      <c r="Y22" s="3425"/>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25"/>
      <c r="Q23" s="529" t="str">
        <f t="shared" si="8"/>
        <v>公共配套设施</v>
      </c>
      <c r="R23" s="663" t="s">
        <v>14</v>
      </c>
      <c r="S23" s="664">
        <f>F23</f>
        <v>100</v>
      </c>
      <c r="T23" s="663" t="s">
        <v>14</v>
      </c>
      <c r="U23" s="664">
        <f>H23</f>
        <v>100</v>
      </c>
      <c r="V23" s="663" t="s">
        <v>14</v>
      </c>
      <c r="W23" s="664">
        <f>J23</f>
        <v>100</v>
      </c>
      <c r="X23" s="665"/>
      <c r="Y23" s="3425"/>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25"/>
      <c r="Q24" s="529"/>
      <c r="R24" s="663"/>
      <c r="S24" s="664"/>
      <c r="T24" s="663"/>
      <c r="U24" s="664"/>
      <c r="V24" s="663"/>
      <c r="W24" s="664"/>
      <c r="X24" s="665"/>
      <c r="Y24" s="3425"/>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25"/>
      <c r="Q25" s="529" t="str">
        <f>B25</f>
        <v>基础设施水平</v>
      </c>
      <c r="R25" s="663" t="s">
        <v>14</v>
      </c>
      <c r="S25" s="664">
        <f>F25</f>
        <v>100</v>
      </c>
      <c r="T25" s="663" t="s">
        <v>14</v>
      </c>
      <c r="U25" s="664">
        <f>H25</f>
        <v>100</v>
      </c>
      <c r="V25" s="663" t="s">
        <v>14</v>
      </c>
      <c r="W25" s="664">
        <f>J25</f>
        <v>100</v>
      </c>
      <c r="X25" s="665"/>
      <c r="Y25" s="3425"/>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25"/>
      <c r="Q26" s="529"/>
      <c r="R26" s="663"/>
      <c r="S26" s="664"/>
      <c r="T26" s="663"/>
      <c r="U26" s="664"/>
      <c r="V26" s="663"/>
      <c r="W26" s="664"/>
      <c r="X26" s="665"/>
      <c r="Y26" s="3425"/>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25"/>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25"/>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25"/>
      <c r="Q28" s="1261" t="str">
        <f t="shared" si="8"/>
        <v>毗邻道路的类型与等级</v>
      </c>
      <c r="R28" s="666" t="s">
        <v>14</v>
      </c>
      <c r="S28" s="667">
        <f t="shared" si="9"/>
        <v>100</v>
      </c>
      <c r="T28" s="666" t="s">
        <v>14</v>
      </c>
      <c r="U28" s="667">
        <f t="shared" si="10"/>
        <v>100</v>
      </c>
      <c r="V28" s="666" t="s">
        <v>14</v>
      </c>
      <c r="W28" s="667">
        <f t="shared" si="11"/>
        <v>100</v>
      </c>
      <c r="X28" s="1263"/>
      <c r="Y28" s="3425"/>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25"/>
      <c r="Q29" s="1261"/>
      <c r="R29" s="666"/>
      <c r="S29" s="667"/>
      <c r="T29" s="666"/>
      <c r="U29" s="667"/>
      <c r="V29" s="666"/>
      <c r="W29" s="667"/>
      <c r="X29" s="1263"/>
      <c r="Y29" s="3425"/>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25"/>
      <c r="Q30" s="1261" t="str">
        <f t="shared" si="8"/>
        <v>土地级别</v>
      </c>
      <c r="R30" s="666" t="s">
        <v>14</v>
      </c>
      <c r="S30" s="667">
        <f t="shared" si="9"/>
        <v>100</v>
      </c>
      <c r="T30" s="666" t="s">
        <v>14</v>
      </c>
      <c r="U30" s="667">
        <f t="shared" si="10"/>
        <v>100</v>
      </c>
      <c r="V30" s="666" t="s">
        <v>14</v>
      </c>
      <c r="W30" s="667">
        <f t="shared" si="11"/>
        <v>100</v>
      </c>
      <c r="X30" s="1263"/>
      <c r="Y30" s="3425"/>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25"/>
      <c r="Q31" s="1261">
        <f t="shared" si="8"/>
        <v>111</v>
      </c>
      <c r="R31" s="666" t="s">
        <v>14</v>
      </c>
      <c r="S31" s="667">
        <f t="shared" si="9"/>
        <v>100</v>
      </c>
      <c r="T31" s="666" t="s">
        <v>14</v>
      </c>
      <c r="U31" s="667">
        <f t="shared" si="10"/>
        <v>100</v>
      </c>
      <c r="V31" s="666" t="s">
        <v>14</v>
      </c>
      <c r="W31" s="667">
        <f t="shared" si="11"/>
        <v>100</v>
      </c>
      <c r="X31" s="1263"/>
      <c r="Y31" s="3425"/>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70" t="s">
        <v>1696</v>
      </c>
      <c r="Q32" s="1261">
        <f t="shared" si="8"/>
        <v>111</v>
      </c>
      <c r="R32" s="666" t="s">
        <v>14</v>
      </c>
      <c r="S32" s="667">
        <f t="shared" si="9"/>
        <v>100</v>
      </c>
      <c r="T32" s="666" t="s">
        <v>14</v>
      </c>
      <c r="U32" s="667">
        <f t="shared" si="10"/>
        <v>100</v>
      </c>
      <c r="V32" s="666" t="s">
        <v>14</v>
      </c>
      <c r="W32" s="667">
        <f t="shared" si="11"/>
        <v>100</v>
      </c>
      <c r="X32" s="1263"/>
      <c r="Y32" s="3429"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29"/>
      <c r="Q33" s="1261">
        <f t="shared" si="8"/>
        <v>111</v>
      </c>
      <c r="R33" s="668" t="s">
        <v>14</v>
      </c>
      <c r="S33" s="669">
        <f t="shared" si="9"/>
        <v>100</v>
      </c>
      <c r="T33" s="668" t="s">
        <v>14</v>
      </c>
      <c r="U33" s="669">
        <f t="shared" si="10"/>
        <v>100</v>
      </c>
      <c r="V33" s="668" t="s">
        <v>14</v>
      </c>
      <c r="W33" s="669">
        <f t="shared" si="11"/>
        <v>100</v>
      </c>
      <c r="X33" s="670"/>
      <c r="Y33" s="3429"/>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29"/>
      <c r="Q34" s="1261" t="str">
        <f>B34</f>
        <v>宗地面积</v>
      </c>
      <c r="R34" s="666" t="s">
        <v>14</v>
      </c>
      <c r="S34" s="667" t="e">
        <f t="shared" si="9"/>
        <v>#N/A</v>
      </c>
      <c r="T34" s="666" t="s">
        <v>14</v>
      </c>
      <c r="U34" s="667" t="e">
        <f t="shared" si="10"/>
        <v>#N/A</v>
      </c>
      <c r="V34" s="666" t="s">
        <v>14</v>
      </c>
      <c r="W34" s="667" t="e">
        <f t="shared" si="11"/>
        <v>#N/A</v>
      </c>
      <c r="X34" s="1263"/>
      <c r="Y34" s="3429"/>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29"/>
      <c r="Q35" s="1261" t="str">
        <f t="shared" ref="Q35:Q40" si="13">B35</f>
        <v>宗地形状</v>
      </c>
      <c r="R35" s="666" t="s">
        <v>14</v>
      </c>
      <c r="S35" s="667">
        <f t="shared" si="9"/>
        <v>100</v>
      </c>
      <c r="T35" s="666" t="s">
        <v>14</v>
      </c>
      <c r="U35" s="667">
        <f t="shared" si="10"/>
        <v>100</v>
      </c>
      <c r="V35" s="666" t="s">
        <v>14</v>
      </c>
      <c r="W35" s="667">
        <f t="shared" si="11"/>
        <v>100</v>
      </c>
      <c r="X35" s="1263"/>
      <c r="Y35" s="3429"/>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29"/>
      <c r="Q36" s="1261" t="str">
        <f t="shared" si="13"/>
        <v>宗地开发程度</v>
      </c>
      <c r="R36" s="663" t="s">
        <v>14</v>
      </c>
      <c r="S36" s="664">
        <f t="shared" si="9"/>
        <v>100</v>
      </c>
      <c r="T36" s="663" t="s">
        <v>14</v>
      </c>
      <c r="U36" s="664">
        <f t="shared" si="10"/>
        <v>100</v>
      </c>
      <c r="V36" s="663" t="s">
        <v>14</v>
      </c>
      <c r="W36" s="664">
        <f t="shared" si="11"/>
        <v>100</v>
      </c>
      <c r="X36" s="665"/>
      <c r="Y36" s="3429"/>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29" t="s">
        <v>1696</v>
      </c>
      <c r="Q37" s="1261" t="str">
        <f t="shared" si="13"/>
        <v>工程地质条件</v>
      </c>
      <c r="R37" s="666" t="s">
        <v>14</v>
      </c>
      <c r="S37" s="667">
        <f t="shared" si="9"/>
        <v>100</v>
      </c>
      <c r="T37" s="666" t="s">
        <v>14</v>
      </c>
      <c r="U37" s="667">
        <f t="shared" si="10"/>
        <v>100</v>
      </c>
      <c r="V37" s="666" t="s">
        <v>14</v>
      </c>
      <c r="W37" s="667">
        <f t="shared" si="11"/>
        <v>100</v>
      </c>
      <c r="X37" s="1263"/>
      <c r="Y37" s="3429"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29"/>
      <c r="Q38" s="1261">
        <f t="shared" si="13"/>
        <v>111</v>
      </c>
      <c r="R38" s="666" t="s">
        <v>14</v>
      </c>
      <c r="S38" s="667">
        <f t="shared" si="9"/>
        <v>100</v>
      </c>
      <c r="T38" s="666" t="s">
        <v>14</v>
      </c>
      <c r="U38" s="667">
        <f t="shared" si="10"/>
        <v>100</v>
      </c>
      <c r="V38" s="666" t="s">
        <v>14</v>
      </c>
      <c r="W38" s="667">
        <f t="shared" si="11"/>
        <v>100</v>
      </c>
      <c r="X38" s="1263"/>
      <c r="Y38" s="3429"/>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29"/>
      <c r="Q39" s="1261">
        <f t="shared" si="13"/>
        <v>111</v>
      </c>
      <c r="R39" s="666" t="s">
        <v>14</v>
      </c>
      <c r="S39" s="667">
        <f t="shared" si="9"/>
        <v>100</v>
      </c>
      <c r="T39" s="666" t="s">
        <v>14</v>
      </c>
      <c r="U39" s="667">
        <f t="shared" si="10"/>
        <v>100</v>
      </c>
      <c r="V39" s="666" t="s">
        <v>14</v>
      </c>
      <c r="W39" s="667">
        <f t="shared" si="11"/>
        <v>100</v>
      </c>
      <c r="X39" s="1263"/>
      <c r="Y39" s="3429"/>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29"/>
      <c r="Q40" s="1261">
        <f t="shared" si="13"/>
        <v>111</v>
      </c>
      <c r="R40" s="668" t="s">
        <v>14</v>
      </c>
      <c r="S40" s="669">
        <f t="shared" si="9"/>
        <v>100</v>
      </c>
      <c r="T40" s="668" t="s">
        <v>14</v>
      </c>
      <c r="U40" s="669">
        <f t="shared" si="10"/>
        <v>100</v>
      </c>
      <c r="V40" s="668" t="s">
        <v>14</v>
      </c>
      <c r="W40" s="669">
        <f t="shared" si="11"/>
        <v>100</v>
      </c>
      <c r="X40" s="670"/>
      <c r="Y40" s="3429"/>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23" t="str">
        <f>A41</f>
        <v>成交单价</v>
      </c>
      <c r="Q41" s="3423"/>
      <c r="R41" s="3418">
        <f>E41</f>
        <v>0</v>
      </c>
      <c r="S41" s="3418"/>
      <c r="T41" s="3418">
        <f>G41</f>
        <v>0</v>
      </c>
      <c r="U41" s="3418"/>
      <c r="V41" s="3418">
        <f>I41</f>
        <v>0</v>
      </c>
      <c r="W41" s="3418"/>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23" t="str">
        <f>A42</f>
        <v>比较价值（元/平方米）</v>
      </c>
      <c r="Q42" s="3423"/>
      <c r="R42" s="3472" t="e">
        <f>ROUND(PRODUCT(R41,AA7:AA40),0)</f>
        <v>#DIV/0!</v>
      </c>
      <c r="S42" s="3472"/>
      <c r="T42" s="3472" t="e">
        <f>ROUND(PRODUCT(T41,AB7:AB40),0)</f>
        <v>#DIV/0!</v>
      </c>
      <c r="U42" s="3472"/>
      <c r="V42" s="3472" t="e">
        <f>ROUND(PRODUCT(V41,AC7:AC40),0)</f>
        <v>#DIV/0!</v>
      </c>
      <c r="W42" s="3472"/>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20" t="str">
        <f>A43</f>
        <v>估价对象XX用房的比较价值（楼面单价，元/平方米）</v>
      </c>
      <c r="Q43" s="3421"/>
      <c r="R43" s="3473" t="e">
        <f>ROUND(IF(D42="简单平均",AVERAGE(R42:W42),R42*F42+T42*H42+V42*J42),0)</f>
        <v>#DIV/0!</v>
      </c>
      <c r="S43" s="3473"/>
      <c r="T43" s="3473"/>
      <c r="U43" s="3473"/>
      <c r="V43" s="3473"/>
      <c r="W43" s="3473"/>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06" t="s">
        <v>1884</v>
      </c>
      <c r="H50" s="3474"/>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109.66</v>
      </c>
      <c r="F51" s="610" t="e">
        <f t="shared" ref="F51:F60" si="14">ROUND(B51*E51/10000,0)</f>
        <v>#DIV/0!</v>
      </c>
      <c r="G51" s="3405"/>
      <c r="H51" s="3423"/>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2025-3-1</v>
      </c>
      <c r="D63" s="655">
        <f>EDATE(C63,-3)</f>
        <v>45627</v>
      </c>
      <c r="E63" s="655">
        <f>EDATE(D63,-3)</f>
        <v>45536</v>
      </c>
      <c r="F63" s="655">
        <f t="shared" ref="F63:O63" si="17">EDATE(E63,-3)</f>
        <v>45444</v>
      </c>
      <c r="G63" s="655">
        <f t="shared" si="17"/>
        <v>45352</v>
      </c>
      <c r="H63" s="655">
        <f t="shared" si="17"/>
        <v>45261</v>
      </c>
      <c r="I63" s="655">
        <f t="shared" si="17"/>
        <v>45170</v>
      </c>
      <c r="J63" s="655">
        <f t="shared" si="17"/>
        <v>45078</v>
      </c>
      <c r="K63" s="655">
        <f t="shared" si="17"/>
        <v>44986</v>
      </c>
      <c r="L63" s="655">
        <f t="shared" si="17"/>
        <v>44896</v>
      </c>
      <c r="M63" s="655">
        <f t="shared" si="17"/>
        <v>44805</v>
      </c>
      <c r="N63" s="655">
        <f t="shared" si="17"/>
        <v>44713</v>
      </c>
      <c r="O63" s="655">
        <f t="shared" si="17"/>
        <v>44621</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2025-1</v>
      </c>
      <c r="D65" s="1099" t="str">
        <f t="shared" ref="D65:O65" si="18">YEAR(D63)&amp;"-"&amp;ROUNDUP(MONTH(D63)/3,0)</f>
        <v>2024-4</v>
      </c>
      <c r="E65" s="1099" t="str">
        <f t="shared" si="18"/>
        <v>2024-3</v>
      </c>
      <c r="F65" s="1099" t="str">
        <f t="shared" si="18"/>
        <v>2024-2</v>
      </c>
      <c r="G65" s="1099" t="str">
        <f t="shared" si="18"/>
        <v>2024-1</v>
      </c>
      <c r="H65" s="1099" t="str">
        <f t="shared" si="18"/>
        <v>2023-4</v>
      </c>
      <c r="I65" s="1099" t="str">
        <f t="shared" si="18"/>
        <v>2023-3</v>
      </c>
      <c r="J65" s="1099" t="str">
        <f t="shared" si="18"/>
        <v>2023-2</v>
      </c>
      <c r="K65" s="1099" t="str">
        <f t="shared" si="18"/>
        <v>2023-1</v>
      </c>
      <c r="L65" s="1099" t="str">
        <f t="shared" si="18"/>
        <v>2022-4</v>
      </c>
      <c r="M65" s="1099" t="str">
        <f t="shared" si="18"/>
        <v>2022-3</v>
      </c>
      <c r="N65" s="1099" t="str">
        <f t="shared" si="18"/>
        <v>2022-2</v>
      </c>
      <c r="O65" s="1099" t="str">
        <f t="shared" si="18"/>
        <v>2022-1</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82" t="s">
        <v>2081</v>
      </c>
      <c r="D1" s="3483"/>
      <c r="E1" s="3483"/>
      <c r="F1" s="3483"/>
      <c r="G1" s="3483"/>
      <c r="H1" s="3483"/>
      <c r="I1" s="3483"/>
      <c r="J1" s="3483"/>
      <c r="K1" s="3483"/>
      <c r="L1" s="3483"/>
      <c r="M1" s="3483"/>
      <c r="N1" s="3483"/>
      <c r="O1" s="3483"/>
      <c r="P1" s="3483"/>
      <c r="Q1" s="3483"/>
      <c r="R1" s="3483"/>
      <c r="S1" s="3484"/>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9" t="s">
        <v>27</v>
      </c>
      <c r="D22" s="3480"/>
      <c r="E22" s="3480"/>
      <c r="F22" s="3480"/>
      <c r="G22" s="3480"/>
      <c r="H22" s="3480"/>
      <c r="I22" s="3480"/>
      <c r="J22" s="3480"/>
      <c r="K22" s="3480"/>
      <c r="L22" s="3480"/>
      <c r="M22" s="3480"/>
      <c r="N22" s="3480"/>
      <c r="O22" s="3480"/>
      <c r="P22" s="3480"/>
      <c r="Q22" s="3481"/>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109.66</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109.66</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3"/>
  <sheetViews>
    <sheetView workbookViewId="0">
      <selection activeCell="AC21" sqref="AC21"/>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45727</v>
      </c>
      <c r="D1" s="1215" t="s">
        <v>603</v>
      </c>
      <c r="E1" s="1210">
        <f>'数据-取费表'!B22</f>
        <v>2</v>
      </c>
      <c r="F1" s="1215" t="s">
        <v>604</v>
      </c>
      <c r="G1" s="1211">
        <f ca="1">INDIRECT("d"&amp;$K$1)/100</f>
        <v>3.1E-2</v>
      </c>
      <c r="H1" s="1215" t="s">
        <v>634</v>
      </c>
      <c r="I1" s="1211">
        <f ca="1">F4/100</f>
        <v>1.4999999999999999E-2</v>
      </c>
      <c r="J1" s="1216">
        <f>IF(C1&gt;C13,0,MATCH(C1,C$13:C$110,-1))+IF(SUMIF(C13:C110,C1,D13:D110)=0,13,12)</f>
        <v>13</v>
      </c>
      <c r="K1" s="1216">
        <f>MATCH(E1,C3:C7,1)+IF(SUMIF(C3:C7,E1,D3:D7)=0,2,1)</f>
        <v>5</v>
      </c>
      <c r="L1" s="1216">
        <f>IF(C1&gt;M13,0,MATCH(C1,M$13:M$101,-1))+IF(SUMIF(M13:M101,C1,N13:N101)=0,13,12)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3194">
        <v>45586</v>
      </c>
      <c r="D14" s="3195">
        <v>3.1</v>
      </c>
      <c r="E14" s="3195">
        <f>D14</f>
        <v>3.1</v>
      </c>
      <c r="F14" s="3195">
        <f>D14</f>
        <v>3.1</v>
      </c>
      <c r="G14" s="3195">
        <f>D14</f>
        <v>3.1</v>
      </c>
      <c r="H14" s="3195">
        <v>3.6</v>
      </c>
      <c r="I14" s="1199"/>
      <c r="J14" s="1199"/>
      <c r="K14" s="1197"/>
      <c r="L14" s="1198"/>
      <c r="M14" s="3196">
        <v>42301</v>
      </c>
      <c r="N14" s="3195">
        <v>0.35</v>
      </c>
      <c r="O14" s="3195">
        <v>1.1000000000000001</v>
      </c>
      <c r="P14" s="3195">
        <v>1.3</v>
      </c>
      <c r="Q14" s="3195">
        <v>1.5</v>
      </c>
      <c r="R14" s="3195">
        <v>2.1</v>
      </c>
      <c r="S14" s="3195">
        <v>2.75</v>
      </c>
      <c r="T14" s="1199"/>
      <c r="U14" s="1199"/>
      <c r="V14" s="1199"/>
      <c r="W14" s="1199"/>
      <c r="X14" s="1199"/>
      <c r="Y14" s="1199"/>
      <c r="Z14" s="1199"/>
      <c r="AA14" s="1201"/>
      <c r="AB14" s="1201"/>
      <c r="AC14" s="1201"/>
      <c r="AD14" s="1201"/>
      <c r="AE14" s="1201"/>
      <c r="AF14" s="1201"/>
      <c r="AG14" s="1201"/>
      <c r="AH14" s="1201"/>
      <c r="AI14" s="1201"/>
      <c r="AJ14" s="1201"/>
      <c r="AK14" s="1201"/>
      <c r="AL14" s="1201"/>
      <c r="AM14" s="1201"/>
      <c r="AN14" s="1201"/>
      <c r="AO14" s="1201"/>
      <c r="AP14" s="1201"/>
      <c r="AQ14" s="1201"/>
      <c r="AR14" s="1201"/>
      <c r="AS14" s="1201"/>
      <c r="AT14" s="1201"/>
      <c r="AU14" s="1201"/>
      <c r="AV14" s="1201"/>
      <c r="AW14" s="1201"/>
      <c r="AX14" s="1201"/>
      <c r="AY14" s="1201"/>
      <c r="AZ14" s="1201"/>
      <c r="BA14" s="1201"/>
      <c r="BB14" s="1201"/>
      <c r="BC14" s="1201"/>
      <c r="BD14" s="1201"/>
      <c r="BE14" s="1201"/>
      <c r="BF14" s="1201"/>
      <c r="BG14" s="1201"/>
      <c r="BH14" s="1201"/>
      <c r="BI14" s="1201"/>
      <c r="BJ14" s="1201"/>
      <c r="BK14" s="1201"/>
      <c r="BL14" s="1201"/>
      <c r="BM14" s="1201"/>
      <c r="BN14" s="1201"/>
      <c r="BO14" s="1201"/>
      <c r="BP14" s="1201"/>
      <c r="BQ14" s="1201"/>
      <c r="BR14" s="1201"/>
      <c r="BS14" s="1201"/>
      <c r="BT14" s="1201"/>
      <c r="BU14" s="1201"/>
      <c r="BV14" s="1201"/>
      <c r="BW14" s="1201"/>
      <c r="BX14" s="1201"/>
      <c r="BY14" s="1201"/>
      <c r="BZ14" s="1201"/>
      <c r="CA14" s="1201"/>
      <c r="CB14" s="1201"/>
      <c r="CC14" s="1201"/>
      <c r="CD14" s="1201"/>
      <c r="CE14" s="1201"/>
      <c r="CF14" s="1201"/>
      <c r="CG14" s="1201"/>
      <c r="CH14" s="1201"/>
      <c r="CI14" s="1201"/>
      <c r="CJ14" s="1201"/>
      <c r="CK14" s="1201"/>
      <c r="CL14" s="1201"/>
      <c r="CM14" s="1201"/>
      <c r="CN14" s="1201"/>
      <c r="CO14" s="1201"/>
      <c r="CP14" s="1201"/>
      <c r="CQ14" s="1201"/>
      <c r="CR14" s="1201"/>
      <c r="CS14" s="1201"/>
      <c r="CT14" s="1201"/>
      <c r="CU14" s="1201"/>
      <c r="CV14" s="1201"/>
      <c r="CW14" s="1201"/>
      <c r="CX14" s="1201"/>
      <c r="CY14" s="1201"/>
      <c r="CZ14" s="1201"/>
      <c r="DA14" s="1201"/>
      <c r="DB14" s="1201"/>
      <c r="DC14" s="1201"/>
      <c r="DD14" s="1201"/>
      <c r="DE14" s="1201"/>
      <c r="DF14" s="1201"/>
      <c r="DG14" s="1201"/>
      <c r="DH14" s="1201"/>
      <c r="DI14" s="1201"/>
      <c r="DJ14" s="1201"/>
      <c r="DK14" s="1201"/>
      <c r="DL14" s="1201"/>
      <c r="DM14" s="1201"/>
      <c r="DN14" s="1201"/>
      <c r="DO14" s="1201"/>
      <c r="DP14" s="1201"/>
      <c r="DQ14" s="1201"/>
      <c r="DR14" s="1201"/>
      <c r="DS14" s="1201"/>
      <c r="DT14" s="1201"/>
      <c r="DU14" s="1201"/>
      <c r="DV14" s="1201"/>
      <c r="DW14" s="1201"/>
      <c r="DX14" s="1201"/>
      <c r="DY14" s="1201"/>
      <c r="DZ14" s="1201"/>
      <c r="EA14" s="1201"/>
      <c r="EB14" s="1201"/>
      <c r="EC14" s="1201"/>
      <c r="ED14" s="1201"/>
      <c r="EE14" s="1201"/>
      <c r="EF14" s="1201"/>
      <c r="EG14" s="1201"/>
      <c r="EH14" s="1201"/>
      <c r="EI14" s="1201"/>
      <c r="EJ14" s="1201"/>
      <c r="EK14" s="1201"/>
      <c r="EL14" s="1201"/>
      <c r="EM14" s="1201"/>
      <c r="EN14" s="1201"/>
      <c r="EO14" s="1201"/>
      <c r="EP14" s="1201"/>
      <c r="EQ14" s="1201"/>
      <c r="ER14" s="1201"/>
      <c r="ES14" s="1201"/>
      <c r="ET14" s="1201"/>
      <c r="EU14" s="1201"/>
      <c r="EV14" s="1201"/>
      <c r="EW14" s="1201"/>
      <c r="EX14" s="1201"/>
      <c r="EY14" s="1201"/>
      <c r="EZ14" s="1201"/>
      <c r="FA14" s="1201"/>
      <c r="FB14" s="1201"/>
      <c r="FC14" s="1201"/>
      <c r="FD14" s="1201"/>
      <c r="FE14" s="1201"/>
      <c r="FF14" s="1201"/>
      <c r="FG14" s="1201"/>
      <c r="FH14" s="1201"/>
      <c r="FI14" s="1201"/>
      <c r="FJ14" s="1201"/>
      <c r="FK14" s="1201"/>
      <c r="FL14" s="1201"/>
      <c r="FM14" s="1201"/>
      <c r="FN14" s="1201"/>
      <c r="FO14" s="1201"/>
      <c r="FP14" s="1201"/>
      <c r="FQ14" s="1201"/>
      <c r="FR14" s="1201"/>
      <c r="FS14" s="1201"/>
      <c r="FT14" s="1201"/>
      <c r="FU14" s="1201"/>
      <c r="FV14" s="1201"/>
      <c r="FW14" s="1201"/>
      <c r="FX14" s="1201"/>
      <c r="FY14" s="1201"/>
      <c r="FZ14" s="1201"/>
      <c r="GA14" s="1201"/>
      <c r="GB14" s="1201"/>
      <c r="GC14" s="1201"/>
      <c r="GD14" s="1201"/>
      <c r="GE14" s="1201"/>
      <c r="GF14" s="1201"/>
      <c r="GG14" s="1201"/>
      <c r="GH14" s="1201"/>
      <c r="GI14" s="1201"/>
      <c r="GJ14" s="1201"/>
      <c r="GK14" s="1201"/>
      <c r="GL14" s="1201"/>
      <c r="GM14" s="1201"/>
      <c r="GN14" s="1201"/>
      <c r="GO14" s="1201"/>
      <c r="GP14" s="1201"/>
      <c r="GQ14" s="1201"/>
      <c r="GR14" s="1201"/>
      <c r="GS14" s="1201"/>
      <c r="GT14" s="1201"/>
      <c r="GU14" s="1201"/>
      <c r="GV14" s="1201"/>
      <c r="GW14" s="1201"/>
      <c r="GX14" s="1201"/>
      <c r="GY14" s="1201"/>
      <c r="GZ14" s="1201"/>
      <c r="HA14" s="1201"/>
      <c r="HB14" s="1201"/>
      <c r="HC14" s="1201"/>
      <c r="HD14" s="1201"/>
      <c r="HE14" s="1201"/>
      <c r="HF14" s="1201"/>
      <c r="HG14" s="1201"/>
      <c r="HH14" s="1201"/>
      <c r="HI14" s="1201"/>
      <c r="HJ14" s="1201"/>
      <c r="HK14" s="1201"/>
      <c r="HL14" s="1201"/>
      <c r="HM14" s="1201"/>
      <c r="HN14" s="1201"/>
      <c r="HO14" s="1201"/>
      <c r="HP14" s="1201"/>
      <c r="HQ14" s="1201"/>
      <c r="HR14" s="1201"/>
      <c r="HS14" s="1201"/>
      <c r="HT14" s="1201"/>
      <c r="HU14" s="1201"/>
      <c r="HV14" s="1201"/>
      <c r="HW14" s="1201"/>
      <c r="HX14" s="1201"/>
      <c r="HY14" s="1201"/>
      <c r="HZ14" s="1201"/>
      <c r="IA14" s="1201"/>
      <c r="IB14" s="1201"/>
      <c r="IC14" s="1201"/>
      <c r="ID14" s="1201"/>
      <c r="IE14" s="1201"/>
      <c r="IF14" s="1201"/>
      <c r="IG14" s="1201"/>
      <c r="IH14" s="1201"/>
      <c r="II14" s="1201"/>
      <c r="IJ14" s="1201"/>
      <c r="IK14" s="1201"/>
      <c r="IL14" s="1201"/>
      <c r="IM14" s="1201"/>
      <c r="IN14" s="1201"/>
      <c r="IO14" s="1201"/>
      <c r="IP14" s="1201"/>
      <c r="IQ14" s="1201"/>
      <c r="IR14" s="1201"/>
      <c r="IS14" s="1201"/>
      <c r="IT14" s="1201"/>
      <c r="IU14" s="1201"/>
      <c r="IV14" s="1201"/>
      <c r="IW14" s="1202"/>
    </row>
    <row r="15" spans="1:257" ht="14.25">
      <c r="A15" s="1197"/>
      <c r="B15" s="1198"/>
      <c r="C15" s="1204">
        <v>44701</v>
      </c>
      <c r="D15" s="1203">
        <v>3.7</v>
      </c>
      <c r="E15" s="1203">
        <f>D15</f>
        <v>3.7</v>
      </c>
      <c r="F15" s="1203">
        <f>D15</f>
        <v>3.7</v>
      </c>
      <c r="G15" s="1203">
        <f>D15</f>
        <v>3.7</v>
      </c>
      <c r="H15" s="1203">
        <v>4.45</v>
      </c>
      <c r="I15" s="1199"/>
      <c r="J15" s="1199"/>
      <c r="K15" s="1197"/>
      <c r="L15" s="1203"/>
      <c r="M15" s="1204">
        <v>42242</v>
      </c>
      <c r="N15" s="1203">
        <v>0.35</v>
      </c>
      <c r="O15" s="1203">
        <v>1.35</v>
      </c>
      <c r="P15" s="1203">
        <v>1.55</v>
      </c>
      <c r="Q15" s="1203">
        <v>1.75</v>
      </c>
      <c r="R15" s="1203">
        <v>2.35</v>
      </c>
      <c r="S15" s="1203">
        <v>3</v>
      </c>
      <c r="T15" s="1203"/>
      <c r="U15" s="1203"/>
      <c r="V15" s="1203"/>
      <c r="W15" s="1203"/>
      <c r="X15" s="1203"/>
      <c r="Y15" s="1203"/>
      <c r="Z15" s="1203"/>
    </row>
    <row r="16" spans="1:257" ht="14.25">
      <c r="A16" s="1197"/>
      <c r="B16" s="1198"/>
      <c r="C16" s="1204">
        <v>44581</v>
      </c>
      <c r="D16" s="1203">
        <v>3.7</v>
      </c>
      <c r="E16" s="1203">
        <f>D16</f>
        <v>3.7</v>
      </c>
      <c r="F16" s="1203">
        <f>D16</f>
        <v>3.7</v>
      </c>
      <c r="G16" s="1203">
        <f>D16</f>
        <v>3.7</v>
      </c>
      <c r="H16" s="1203">
        <v>4.5999999999999996</v>
      </c>
      <c r="I16" s="1199"/>
      <c r="J16" s="1199"/>
      <c r="K16" s="1197"/>
      <c r="L16" s="1203"/>
      <c r="M16" s="1204">
        <v>42183</v>
      </c>
      <c r="N16" s="1203">
        <v>0.35</v>
      </c>
      <c r="O16" s="1203">
        <v>1.6</v>
      </c>
      <c r="P16" s="1203">
        <v>1.8</v>
      </c>
      <c r="Q16" s="1203">
        <v>2</v>
      </c>
      <c r="R16" s="1203">
        <v>2.6</v>
      </c>
      <c r="S16" s="1203">
        <v>3.25</v>
      </c>
      <c r="T16" s="1203"/>
      <c r="U16" s="1203"/>
      <c r="V16" s="1203"/>
      <c r="W16" s="1203"/>
      <c r="X16" s="1203"/>
      <c r="Y16" s="1203"/>
      <c r="Z16" s="1203"/>
    </row>
    <row r="17" spans="1:256" ht="14.25">
      <c r="A17" s="1197"/>
      <c r="B17" s="1203"/>
      <c r="C17" s="1204">
        <v>44550</v>
      </c>
      <c r="D17" s="1203">
        <v>3.8</v>
      </c>
      <c r="E17" s="1203">
        <f>D17</f>
        <v>3.8</v>
      </c>
      <c r="F17" s="1203">
        <f>D17</f>
        <v>3.8</v>
      </c>
      <c r="G17" s="1203">
        <f>D17</f>
        <v>3.8</v>
      </c>
      <c r="H17" s="1203">
        <v>4.6500000000000004</v>
      </c>
      <c r="I17" s="1203"/>
      <c r="J17" s="1199"/>
      <c r="L17" s="1203"/>
      <c r="M17" s="1204">
        <v>42135</v>
      </c>
      <c r="N17" s="1203">
        <v>0.35</v>
      </c>
      <c r="O17" s="1203">
        <v>1.85</v>
      </c>
      <c r="P17" s="1203">
        <v>2.0499999999999998</v>
      </c>
      <c r="Q17" s="1203">
        <v>2.25</v>
      </c>
      <c r="R17" s="1203">
        <v>2.85</v>
      </c>
      <c r="S17" s="1203">
        <v>3.5</v>
      </c>
      <c r="T17" s="1203"/>
      <c r="U17" s="1203"/>
      <c r="V17" s="1203"/>
      <c r="W17" s="1203"/>
      <c r="X17" s="1203"/>
      <c r="Y17" s="1203"/>
      <c r="Z17" s="1203"/>
    </row>
    <row r="18" spans="1:256" ht="14.25">
      <c r="A18" s="1197"/>
      <c r="B18" s="1203"/>
      <c r="C18" s="1204">
        <v>43941</v>
      </c>
      <c r="D18" s="1203">
        <v>3.85</v>
      </c>
      <c r="E18" s="1203">
        <v>3.85</v>
      </c>
      <c r="F18" s="1203">
        <v>3.85</v>
      </c>
      <c r="G18" s="1203">
        <v>3.85</v>
      </c>
      <c r="H18" s="1203">
        <v>4.6500000000000004</v>
      </c>
      <c r="I18" s="1203"/>
      <c r="J18" s="1203"/>
      <c r="L18" s="1203"/>
      <c r="M18" s="1204">
        <v>42064</v>
      </c>
      <c r="N18" s="1203">
        <v>0.35</v>
      </c>
      <c r="O18" s="1203">
        <v>2.1</v>
      </c>
      <c r="P18" s="1203">
        <v>2.2999999999999998</v>
      </c>
      <c r="Q18" s="1203">
        <v>2.5</v>
      </c>
      <c r="R18" s="1203">
        <v>3.1</v>
      </c>
      <c r="S18" s="1203">
        <v>3.75</v>
      </c>
      <c r="T18" s="1203">
        <v>4.5</v>
      </c>
      <c r="U18" s="1203">
        <v>2.35</v>
      </c>
      <c r="V18" s="1203">
        <v>2.5499999999999998</v>
      </c>
      <c r="W18" s="1203">
        <v>2.75</v>
      </c>
      <c r="X18" s="1203"/>
      <c r="Y18" s="1203">
        <v>0.8</v>
      </c>
      <c r="Z18" s="1203">
        <v>1.35</v>
      </c>
    </row>
    <row r="19" spans="1:256" ht="15">
      <c r="A19" s="1197"/>
      <c r="B19" s="1203"/>
      <c r="C19" s="1204">
        <v>43881</v>
      </c>
      <c r="D19" s="1203">
        <v>4.05</v>
      </c>
      <c r="E19" s="1203">
        <v>4.05</v>
      </c>
      <c r="F19" s="1203">
        <v>4.05</v>
      </c>
      <c r="G19" s="1203">
        <v>4.05</v>
      </c>
      <c r="H19" s="1203">
        <v>4.75</v>
      </c>
      <c r="I19" s="1203"/>
      <c r="J19" s="1203"/>
      <c r="L19" s="2573"/>
      <c r="M19" s="2572">
        <v>41965</v>
      </c>
      <c r="N19" s="2573">
        <v>0.35</v>
      </c>
      <c r="O19" s="2573">
        <v>2.35</v>
      </c>
      <c r="P19" s="2573">
        <v>2.5499999999999998</v>
      </c>
      <c r="Q19" s="2573">
        <v>2.75</v>
      </c>
      <c r="R19" s="2573">
        <v>3.35</v>
      </c>
      <c r="S19" s="2573">
        <v>4</v>
      </c>
      <c r="T19" s="2573">
        <v>4.75</v>
      </c>
      <c r="U19" s="2574">
        <v>2.35</v>
      </c>
      <c r="V19" s="2574">
        <v>2.5499999999999998</v>
      </c>
      <c r="W19" s="2574">
        <v>2.75</v>
      </c>
      <c r="X19" s="2573"/>
      <c r="Y19" s="2574">
        <v>0.8</v>
      </c>
      <c r="Z19" s="2574">
        <v>1.35</v>
      </c>
    </row>
    <row r="20" spans="1:256" s="2575" customFormat="1" ht="14.25">
      <c r="A20" s="1197"/>
      <c r="B20" s="1203"/>
      <c r="C20" s="1204">
        <v>43789</v>
      </c>
      <c r="D20" s="1203">
        <v>4.1500000000000004</v>
      </c>
      <c r="E20" s="1203">
        <v>4.1500000000000004</v>
      </c>
      <c r="F20" s="1203">
        <v>4.1500000000000004</v>
      </c>
      <c r="G20" s="1203">
        <v>4.1500000000000004</v>
      </c>
      <c r="H20" s="1203">
        <v>4.8</v>
      </c>
      <c r="I20" s="1203"/>
      <c r="J20" s="1203"/>
      <c r="K20" s="1157"/>
      <c r="L20" s="1203"/>
      <c r="M20" s="1204">
        <v>41096</v>
      </c>
      <c r="N20" s="1203">
        <v>0.35</v>
      </c>
      <c r="O20" s="1203">
        <v>2.6</v>
      </c>
      <c r="P20" s="1203">
        <v>2.8</v>
      </c>
      <c r="Q20" s="1203">
        <v>3</v>
      </c>
      <c r="R20" s="1203">
        <v>3.75</v>
      </c>
      <c r="S20" s="1203">
        <v>4.25</v>
      </c>
      <c r="T20" s="1203">
        <v>4.75</v>
      </c>
      <c r="U20" s="1203">
        <v>2.85</v>
      </c>
      <c r="V20" s="1203">
        <v>2.9</v>
      </c>
      <c r="W20" s="1203">
        <v>3</v>
      </c>
      <c r="X20" s="1203">
        <v>1.1499999999999999</v>
      </c>
      <c r="Y20" s="1203">
        <v>0.8</v>
      </c>
      <c r="Z20" s="1203">
        <v>1.35</v>
      </c>
      <c r="AA20" s="1192"/>
      <c r="AB20" s="1192"/>
      <c r="AC20" s="1192"/>
      <c r="AD20" s="1192"/>
      <c r="AE20" s="1192"/>
      <c r="AF20" s="1192"/>
      <c r="AG20" s="1192"/>
      <c r="AH20" s="1192"/>
      <c r="AI20" s="1192"/>
      <c r="AJ20" s="1192"/>
      <c r="AK20" s="1192"/>
      <c r="AL20" s="1192"/>
      <c r="AM20" s="1192"/>
      <c r="AN20" s="1192"/>
      <c r="AO20" s="1192"/>
      <c r="AP20" s="1192"/>
      <c r="AQ20" s="1192"/>
      <c r="AR20" s="1192"/>
      <c r="AS20" s="1192"/>
      <c r="AT20" s="1192"/>
      <c r="AU20" s="1192"/>
      <c r="AV20" s="1192"/>
      <c r="AW20" s="1192"/>
      <c r="AX20" s="1192"/>
      <c r="AY20" s="1192"/>
      <c r="AZ20" s="1192"/>
      <c r="BA20" s="1192"/>
      <c r="BB20" s="1192"/>
      <c r="BC20" s="1192"/>
      <c r="BD20" s="1192"/>
      <c r="BE20" s="1192"/>
      <c r="BF20" s="1192"/>
      <c r="BG20" s="1192"/>
      <c r="BH20" s="1192"/>
      <c r="BI20" s="1192"/>
      <c r="BJ20" s="1192"/>
      <c r="BK20" s="1192"/>
      <c r="BL20" s="1192"/>
      <c r="BM20" s="1192"/>
      <c r="BN20" s="1192"/>
      <c r="BO20" s="1192"/>
      <c r="BP20" s="1192"/>
      <c r="BQ20" s="1192"/>
      <c r="BR20" s="1192"/>
      <c r="BS20" s="1192"/>
      <c r="BT20" s="1192"/>
      <c r="BU20" s="1192"/>
      <c r="BV20" s="1192"/>
      <c r="BW20" s="1192"/>
      <c r="BX20" s="1192"/>
      <c r="BY20" s="1192"/>
      <c r="BZ20" s="1192"/>
      <c r="CA20" s="1192"/>
      <c r="CB20" s="1192"/>
      <c r="CC20" s="1192"/>
      <c r="CD20" s="1192"/>
      <c r="CE20" s="1192"/>
      <c r="CF20" s="1192"/>
      <c r="CG20" s="1192"/>
      <c r="CH20" s="1192"/>
      <c r="CI20" s="1192"/>
      <c r="CJ20" s="1192"/>
      <c r="CK20" s="1192"/>
      <c r="CL20" s="1192"/>
      <c r="CM20" s="1192"/>
      <c r="CN20" s="1192"/>
      <c r="CO20" s="1192"/>
      <c r="CP20" s="1192"/>
      <c r="CQ20" s="1192"/>
      <c r="CR20" s="1192"/>
      <c r="CS20" s="1192"/>
      <c r="CT20" s="1192"/>
      <c r="CU20" s="1192"/>
      <c r="CV20" s="1192"/>
      <c r="CW20" s="1192"/>
      <c r="CX20" s="1192"/>
      <c r="CY20" s="1192"/>
      <c r="CZ20" s="1192"/>
      <c r="DA20" s="1192"/>
      <c r="DB20" s="1192"/>
      <c r="DC20" s="1192"/>
      <c r="DD20" s="1192"/>
      <c r="DE20" s="1192"/>
      <c r="DF20" s="1192"/>
      <c r="DG20" s="1192"/>
      <c r="DH20" s="1192"/>
      <c r="DI20" s="1192"/>
      <c r="DJ20" s="1192"/>
      <c r="DK20" s="1192"/>
      <c r="DL20" s="1192"/>
      <c r="DM20" s="1192"/>
      <c r="DN20" s="1192"/>
      <c r="DO20" s="1192"/>
      <c r="DP20" s="1192"/>
      <c r="DQ20" s="1192"/>
      <c r="DR20" s="1192"/>
      <c r="DS20" s="1192"/>
      <c r="DT20" s="1192"/>
      <c r="DU20" s="1192"/>
      <c r="DV20" s="1192"/>
      <c r="DW20" s="1192"/>
      <c r="DX20" s="1192"/>
      <c r="DY20" s="1192"/>
      <c r="DZ20" s="1192"/>
      <c r="EA20" s="1192"/>
      <c r="EB20" s="1192"/>
      <c r="EC20" s="1192"/>
      <c r="ED20" s="1192"/>
      <c r="EE20" s="1192"/>
      <c r="EF20" s="1192"/>
      <c r="EG20" s="1192"/>
      <c r="EH20" s="1192"/>
      <c r="EI20" s="1192"/>
      <c r="EJ20" s="1192"/>
      <c r="EK20" s="1192"/>
      <c r="EL20" s="1192"/>
      <c r="EM20" s="1192"/>
      <c r="EN20" s="1192"/>
      <c r="EO20" s="1192"/>
      <c r="EP20" s="1192"/>
      <c r="EQ20" s="1192"/>
      <c r="ER20" s="1192"/>
      <c r="ES20" s="1192"/>
      <c r="ET20" s="1192"/>
      <c r="EU20" s="1192"/>
      <c r="EV20" s="1192"/>
      <c r="EW20" s="1192"/>
      <c r="EX20" s="1192"/>
      <c r="EY20" s="1192"/>
      <c r="EZ20" s="1192"/>
      <c r="FA20" s="1192"/>
      <c r="FB20" s="1192"/>
      <c r="FC20" s="1192"/>
      <c r="FD20" s="1192"/>
      <c r="FE20" s="1192"/>
      <c r="FF20" s="1192"/>
      <c r="FG20" s="1192"/>
      <c r="FH20" s="1192"/>
      <c r="FI20" s="1192"/>
      <c r="FJ20" s="1192"/>
      <c r="FK20" s="1192"/>
      <c r="FL20" s="1192"/>
      <c r="FM20" s="1192"/>
      <c r="FN20" s="1192"/>
      <c r="FO20" s="1192"/>
      <c r="FP20" s="1192"/>
      <c r="FQ20" s="1192"/>
      <c r="FR20" s="1192"/>
      <c r="FS20" s="1192"/>
      <c r="FT20" s="1192"/>
      <c r="FU20" s="1192"/>
      <c r="FV20" s="1192"/>
      <c r="FW20" s="1192"/>
      <c r="FX20" s="1192"/>
      <c r="FY20" s="1192"/>
      <c r="FZ20" s="1192"/>
      <c r="GA20" s="1192"/>
      <c r="GB20" s="1192"/>
      <c r="GC20" s="1192"/>
      <c r="GD20" s="1192"/>
      <c r="GE20" s="1192"/>
      <c r="GF20" s="1192"/>
      <c r="GG20" s="1192"/>
      <c r="GH20" s="1192"/>
      <c r="GI20" s="1192"/>
      <c r="GJ20" s="1192"/>
      <c r="GK20" s="1192"/>
      <c r="GL20" s="1192"/>
      <c r="GM20" s="1192"/>
      <c r="GN20" s="1192"/>
      <c r="GO20" s="1192"/>
      <c r="GP20" s="1192"/>
      <c r="GQ20" s="1192"/>
      <c r="GR20" s="1192"/>
      <c r="GS20" s="1192"/>
      <c r="GT20" s="1192"/>
      <c r="GU20" s="1192"/>
      <c r="GV20" s="1192"/>
      <c r="GW20" s="1192"/>
      <c r="GX20" s="1192"/>
      <c r="GY20" s="1192"/>
      <c r="GZ20" s="1192"/>
      <c r="HA20" s="1192"/>
      <c r="HB20" s="1192"/>
      <c r="HC20" s="1192"/>
      <c r="HD20" s="1192"/>
      <c r="HE20" s="1192"/>
      <c r="HF20" s="1192"/>
      <c r="HG20" s="1192"/>
      <c r="HH20" s="1192"/>
      <c r="HI20" s="1192"/>
      <c r="HJ20" s="1192"/>
      <c r="HK20" s="1192"/>
      <c r="HL20" s="1192"/>
      <c r="HM20" s="1192"/>
      <c r="HN20" s="1192"/>
      <c r="HO20" s="1192"/>
      <c r="HP20" s="1192"/>
      <c r="HQ20" s="1192"/>
      <c r="HR20" s="1192"/>
      <c r="HS20" s="1192"/>
      <c r="HT20" s="1192"/>
      <c r="HU20" s="1192"/>
      <c r="HV20" s="1192"/>
      <c r="HW20" s="1192"/>
      <c r="HX20" s="1192"/>
      <c r="HY20" s="1192"/>
      <c r="HZ20" s="1192"/>
      <c r="IA20" s="1192"/>
      <c r="IB20" s="1192"/>
      <c r="IC20" s="1192"/>
      <c r="ID20" s="1192"/>
      <c r="IE20" s="1192"/>
      <c r="IF20" s="1192"/>
      <c r="IG20" s="1192"/>
      <c r="IH20" s="1192"/>
      <c r="II20" s="1192"/>
      <c r="IJ20" s="1192"/>
      <c r="IK20" s="1192"/>
      <c r="IL20" s="1192"/>
      <c r="IM20" s="1192"/>
      <c r="IN20" s="1192"/>
      <c r="IO20" s="1192"/>
      <c r="IP20" s="1192"/>
      <c r="IQ20" s="1192"/>
      <c r="IR20" s="1192"/>
      <c r="IS20" s="1192"/>
      <c r="IT20" s="1192"/>
      <c r="IU20" s="1192"/>
      <c r="IV20" s="1192"/>
    </row>
    <row r="21" spans="1:256" ht="14.25">
      <c r="A21" s="1197"/>
      <c r="B21" s="1203"/>
      <c r="C21" s="1204">
        <v>43728</v>
      </c>
      <c r="D21" s="1203">
        <v>4.2</v>
      </c>
      <c r="E21" s="1203">
        <v>4.2</v>
      </c>
      <c r="F21" s="1203">
        <v>4.2</v>
      </c>
      <c r="G21" s="1203">
        <v>4.2</v>
      </c>
      <c r="H21" s="1203">
        <v>4.8499999999999996</v>
      </c>
      <c r="I21" s="1203"/>
      <c r="J21" s="1203"/>
      <c r="L21" s="1203"/>
      <c r="M21" s="1204">
        <v>41068</v>
      </c>
      <c r="N21" s="1203">
        <v>0.4</v>
      </c>
      <c r="O21" s="1203">
        <v>2.85</v>
      </c>
      <c r="P21" s="1203">
        <v>3.05</v>
      </c>
      <c r="Q21" s="1203">
        <v>3.25</v>
      </c>
      <c r="R21" s="1203">
        <v>4.0999999999999996</v>
      </c>
      <c r="S21" s="1203">
        <v>4.6500000000000004</v>
      </c>
      <c r="T21" s="1203">
        <v>5.0999999999999996</v>
      </c>
      <c r="U21" s="1203">
        <v>3.1</v>
      </c>
      <c r="V21" s="1203">
        <v>3.15</v>
      </c>
      <c r="W21" s="1203">
        <v>3.25</v>
      </c>
      <c r="X21" s="1203">
        <v>1.31</v>
      </c>
      <c r="Y21" s="1203">
        <v>0.94</v>
      </c>
      <c r="Z21" s="1203">
        <v>1.49</v>
      </c>
    </row>
    <row r="22" spans="1:256" ht="14.25">
      <c r="A22" s="1197"/>
      <c r="B22" s="1198" t="s">
        <v>2308</v>
      </c>
      <c r="C22" s="1205">
        <v>43697</v>
      </c>
      <c r="D22" s="2568">
        <v>4.25</v>
      </c>
      <c r="E22" s="2568">
        <v>4.25</v>
      </c>
      <c r="F22" s="2568">
        <v>4.25</v>
      </c>
      <c r="G22" s="2568">
        <v>4.25</v>
      </c>
      <c r="H22" s="2568">
        <v>4.8499999999999996</v>
      </c>
      <c r="I22" s="2568"/>
      <c r="J22" s="2568"/>
      <c r="K22" s="1186"/>
      <c r="L22" s="1203"/>
      <c r="M22" s="1204">
        <v>40731</v>
      </c>
      <c r="N22" s="1203">
        <v>0.5</v>
      </c>
      <c r="O22" s="1203">
        <v>3.1</v>
      </c>
      <c r="P22" s="1203">
        <v>3.3</v>
      </c>
      <c r="Q22" s="1203">
        <v>3.5</v>
      </c>
      <c r="R22" s="1203">
        <v>4.4000000000000004</v>
      </c>
      <c r="S22" s="1203">
        <v>5</v>
      </c>
      <c r="T22" s="1203">
        <v>5.5</v>
      </c>
      <c r="U22" s="1203">
        <v>3.1</v>
      </c>
      <c r="V22" s="1203">
        <v>3.3</v>
      </c>
      <c r="W22" s="1203">
        <v>3.5</v>
      </c>
      <c r="X22" s="1203">
        <v>1.31</v>
      </c>
      <c r="Y22" s="1203">
        <v>0.95</v>
      </c>
      <c r="Z22" s="1203">
        <v>1.49</v>
      </c>
    </row>
    <row r="23" spans="1:256" ht="14.25">
      <c r="A23" s="2570"/>
      <c r="B23" s="2571"/>
      <c r="C23" s="2572">
        <v>42301</v>
      </c>
      <c r="D23" s="2573">
        <v>4.3499999999999996</v>
      </c>
      <c r="E23" s="2573">
        <v>4.3499999999999996</v>
      </c>
      <c r="F23" s="2573">
        <v>4.75</v>
      </c>
      <c r="G23" s="2573">
        <v>4.75</v>
      </c>
      <c r="H23" s="2573">
        <v>4.9000000000000004</v>
      </c>
      <c r="I23" s="2573"/>
      <c r="J23" s="2573"/>
      <c r="L23" s="1203"/>
      <c r="M23" s="1204">
        <v>40639</v>
      </c>
      <c r="N23" s="1203">
        <v>0.5</v>
      </c>
      <c r="O23" s="1203">
        <v>2.85</v>
      </c>
      <c r="P23" s="1203">
        <v>3.05</v>
      </c>
      <c r="Q23" s="1203">
        <v>3.25</v>
      </c>
      <c r="R23" s="1203">
        <v>4.1500000000000004</v>
      </c>
      <c r="S23" s="1203">
        <v>4.75</v>
      </c>
      <c r="T23" s="1203">
        <v>5.25</v>
      </c>
      <c r="U23" s="1203">
        <v>2.85</v>
      </c>
      <c r="V23" s="1203">
        <v>3.05</v>
      </c>
      <c r="W23" s="1203">
        <v>3.25</v>
      </c>
      <c r="X23" s="1203">
        <v>1.31</v>
      </c>
      <c r="Y23" s="1203">
        <v>0.95</v>
      </c>
      <c r="Z23" s="1203">
        <v>1.49</v>
      </c>
    </row>
    <row r="24" spans="1:256">
      <c r="B24" s="1203"/>
      <c r="C24" s="1204">
        <v>42242</v>
      </c>
      <c r="D24" s="1203">
        <v>4.5999999999999996</v>
      </c>
      <c r="E24" s="1203">
        <v>4.5999999999999996</v>
      </c>
      <c r="F24" s="1203">
        <v>5</v>
      </c>
      <c r="G24" s="1203">
        <v>5</v>
      </c>
      <c r="H24" s="1203">
        <v>5.15</v>
      </c>
      <c r="I24" s="1203">
        <v>2.75</v>
      </c>
      <c r="J24" s="1203">
        <v>3.25</v>
      </c>
      <c r="L24" s="1203"/>
      <c r="M24" s="1204">
        <v>40583</v>
      </c>
      <c r="N24" s="1203">
        <v>0.4</v>
      </c>
      <c r="O24" s="1203">
        <v>2.6</v>
      </c>
      <c r="P24" s="1203">
        <v>2.8</v>
      </c>
      <c r="Q24" s="1203">
        <v>3</v>
      </c>
      <c r="R24" s="1203">
        <v>3.9</v>
      </c>
      <c r="S24" s="1203">
        <v>4.5</v>
      </c>
      <c r="T24" s="1203">
        <v>5</v>
      </c>
      <c r="U24" s="1203">
        <v>2.6</v>
      </c>
      <c r="V24" s="1203">
        <v>2.8</v>
      </c>
      <c r="W24" s="1203">
        <v>3</v>
      </c>
      <c r="X24" s="1203">
        <v>1.21</v>
      </c>
      <c r="Y24" s="1203">
        <v>0.85</v>
      </c>
      <c r="Z24" s="1203">
        <v>1.39</v>
      </c>
    </row>
    <row r="25" spans="1:256">
      <c r="B25" s="1203"/>
      <c r="C25" s="1204">
        <v>42183</v>
      </c>
      <c r="D25" s="1203">
        <v>4.8499999999999996</v>
      </c>
      <c r="E25" s="1203">
        <v>4.8499999999999996</v>
      </c>
      <c r="F25" s="1203">
        <v>5.25</v>
      </c>
      <c r="G25" s="1203">
        <v>5.25</v>
      </c>
      <c r="H25" s="1203">
        <v>5.4</v>
      </c>
      <c r="I25" s="1203">
        <v>3</v>
      </c>
      <c r="J25" s="1203">
        <v>3.5</v>
      </c>
      <c r="L25" s="1203"/>
      <c r="M25" s="1204">
        <v>40538</v>
      </c>
      <c r="N25" s="1203">
        <v>0.36</v>
      </c>
      <c r="O25" s="1203">
        <v>2.25</v>
      </c>
      <c r="P25" s="1203">
        <v>2.5</v>
      </c>
      <c r="Q25" s="1203">
        <v>2.75</v>
      </c>
      <c r="R25" s="1203">
        <v>3.55</v>
      </c>
      <c r="S25" s="1203">
        <v>4.1500000000000004</v>
      </c>
      <c r="T25" s="1203">
        <v>4.55</v>
      </c>
      <c r="U25" s="1203">
        <v>2.16</v>
      </c>
      <c r="V25" s="1203">
        <v>2.5</v>
      </c>
      <c r="W25" s="1203">
        <v>2.85</v>
      </c>
      <c r="X25" s="1203">
        <v>1.17</v>
      </c>
      <c r="Y25" s="1203">
        <v>0.81</v>
      </c>
      <c r="Z25" s="1203">
        <v>1.35</v>
      </c>
    </row>
    <row r="26" spans="1:256">
      <c r="B26" s="1203"/>
      <c r="C26" s="1204">
        <v>42135</v>
      </c>
      <c r="D26" s="1203">
        <v>5.0999999999999996</v>
      </c>
      <c r="E26" s="1203">
        <v>5.0999999999999996</v>
      </c>
      <c r="F26" s="1203">
        <v>5.5</v>
      </c>
      <c r="G26" s="1203">
        <v>5.5</v>
      </c>
      <c r="H26" s="1203">
        <v>5.65</v>
      </c>
      <c r="I26" s="1203">
        <v>3.25</v>
      </c>
      <c r="J26" s="1203">
        <v>3.75</v>
      </c>
      <c r="L26" s="1203"/>
      <c r="M26" s="1204">
        <v>40471</v>
      </c>
      <c r="N26" s="1203">
        <v>0.36</v>
      </c>
      <c r="O26" s="1203">
        <v>1.91</v>
      </c>
      <c r="P26" s="1203">
        <v>2.2000000000000002</v>
      </c>
      <c r="Q26" s="1203">
        <v>2.5</v>
      </c>
      <c r="R26" s="1203">
        <v>3.25</v>
      </c>
      <c r="S26" s="1203">
        <v>3.85</v>
      </c>
      <c r="T26" s="1203">
        <v>4.2</v>
      </c>
      <c r="U26" s="1203">
        <v>1.91</v>
      </c>
      <c r="V26" s="1203">
        <v>2.2000000000000002</v>
      </c>
      <c r="W26" s="1203">
        <v>2.5</v>
      </c>
      <c r="X26" s="1203">
        <v>1.17</v>
      </c>
      <c r="Y26" s="1203">
        <v>0.81</v>
      </c>
      <c r="Z26" s="1203">
        <v>1.35</v>
      </c>
    </row>
    <row r="27" spans="1:256">
      <c r="B27" s="1203"/>
      <c r="C27" s="1204">
        <v>42064</v>
      </c>
      <c r="D27" s="1203">
        <v>5.35</v>
      </c>
      <c r="E27" s="1203">
        <v>5.35</v>
      </c>
      <c r="F27" s="1203">
        <v>5.75</v>
      </c>
      <c r="G27" s="1203">
        <v>5.75</v>
      </c>
      <c r="H27" s="1203">
        <v>5.9</v>
      </c>
      <c r="I27" s="1203"/>
      <c r="J27" s="1203"/>
      <c r="L27" s="1203"/>
      <c r="M27" s="1204">
        <v>39805</v>
      </c>
      <c r="N27" s="1203">
        <v>0.36</v>
      </c>
      <c r="O27" s="1203">
        <v>1.71</v>
      </c>
      <c r="P27" s="1203">
        <v>1.98</v>
      </c>
      <c r="Q27" s="1203">
        <v>2.25</v>
      </c>
      <c r="R27" s="1203">
        <v>2.79</v>
      </c>
      <c r="S27" s="1203">
        <v>3.33</v>
      </c>
      <c r="T27" s="1203">
        <v>3.6</v>
      </c>
      <c r="U27" s="1203">
        <v>1.71</v>
      </c>
      <c r="V27" s="1203">
        <v>1.98</v>
      </c>
      <c r="W27" s="1203">
        <v>2.25</v>
      </c>
      <c r="X27" s="1203">
        <v>1.17</v>
      </c>
      <c r="Y27" s="1203">
        <v>0.81</v>
      </c>
      <c r="Z27" s="1203">
        <v>1.35</v>
      </c>
    </row>
    <row r="28" spans="1:256">
      <c r="B28" s="1203"/>
      <c r="C28" s="1204">
        <v>41965</v>
      </c>
      <c r="D28" s="1203">
        <v>5.6</v>
      </c>
      <c r="E28" s="1203">
        <v>5.6</v>
      </c>
      <c r="F28" s="1203">
        <v>6</v>
      </c>
      <c r="G28" s="1203">
        <v>6</v>
      </c>
      <c r="H28" s="1203">
        <v>6.15</v>
      </c>
      <c r="I28" s="1203"/>
      <c r="J28" s="1203"/>
      <c r="L28" s="1203"/>
      <c r="M28" s="1204">
        <v>39779</v>
      </c>
      <c r="N28" s="1203">
        <v>0.36</v>
      </c>
      <c r="O28" s="1203">
        <v>1.98</v>
      </c>
      <c r="P28" s="1203">
        <v>2.25</v>
      </c>
      <c r="Q28" s="1203">
        <v>2.52</v>
      </c>
      <c r="R28" s="1203">
        <v>3.06</v>
      </c>
      <c r="S28" s="1203">
        <v>3.6</v>
      </c>
      <c r="T28" s="1203">
        <v>3.87</v>
      </c>
      <c r="U28" s="1203">
        <v>1.98</v>
      </c>
      <c r="V28" s="1203">
        <v>2.25</v>
      </c>
      <c r="W28" s="1203">
        <v>2.52</v>
      </c>
      <c r="X28" s="1203">
        <v>1.17</v>
      </c>
      <c r="Y28" s="1203">
        <v>0.81</v>
      </c>
      <c r="Z28" s="1203">
        <v>1.35</v>
      </c>
    </row>
    <row r="29" spans="1:256">
      <c r="B29" s="1203"/>
      <c r="C29" s="1204">
        <v>41096</v>
      </c>
      <c r="D29" s="1203">
        <v>5.6</v>
      </c>
      <c r="E29" s="1203">
        <v>6</v>
      </c>
      <c r="F29" s="1203">
        <v>6.15</v>
      </c>
      <c r="G29" s="1203">
        <v>6.4</v>
      </c>
      <c r="H29" s="1203">
        <v>6.55</v>
      </c>
      <c r="I29" s="1203">
        <v>4</v>
      </c>
      <c r="J29" s="1203">
        <v>4.5</v>
      </c>
      <c r="L29" s="1203"/>
      <c r="M29" s="1204">
        <v>39751</v>
      </c>
      <c r="N29" s="1203">
        <v>0.72</v>
      </c>
      <c r="O29" s="1203">
        <v>2.88</v>
      </c>
      <c r="P29" s="1203">
        <v>3.24</v>
      </c>
      <c r="Q29" s="1203">
        <v>3.6</v>
      </c>
      <c r="R29" s="1203">
        <v>4.1399999999999997</v>
      </c>
      <c r="S29" s="1203">
        <v>4.7699999999999996</v>
      </c>
      <c r="T29" s="1203">
        <v>5.13</v>
      </c>
      <c r="U29" s="1203">
        <v>2.88</v>
      </c>
      <c r="V29" s="1203">
        <v>3.24</v>
      </c>
      <c r="W29" s="1203">
        <v>3.6</v>
      </c>
      <c r="X29" s="1203">
        <v>1.53</v>
      </c>
      <c r="Y29" s="1203">
        <v>1.17</v>
      </c>
      <c r="Z29" s="1203">
        <v>1.71</v>
      </c>
    </row>
    <row r="30" spans="1:256">
      <c r="B30" s="1203"/>
      <c r="C30" s="1204">
        <v>41068</v>
      </c>
      <c r="D30" s="1203">
        <v>5.85</v>
      </c>
      <c r="E30" s="1203">
        <v>6.31</v>
      </c>
      <c r="F30" s="1203">
        <v>6.4</v>
      </c>
      <c r="G30" s="1203">
        <v>6.65</v>
      </c>
      <c r="H30" s="1203">
        <v>6.8</v>
      </c>
      <c r="I30" s="1203">
        <v>4.2</v>
      </c>
      <c r="J30" s="1203">
        <v>4.7</v>
      </c>
      <c r="L30" s="1203"/>
      <c r="M30" s="1205">
        <v>39736</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40731</v>
      </c>
      <c r="D31" s="1203">
        <v>6.1</v>
      </c>
      <c r="E31" s="1203">
        <v>6.56</v>
      </c>
      <c r="F31" s="1203">
        <v>6.65</v>
      </c>
      <c r="G31" s="1203">
        <v>6.9</v>
      </c>
      <c r="H31" s="1203">
        <v>7.05</v>
      </c>
      <c r="I31" s="1203">
        <v>4.45</v>
      </c>
      <c r="J31" s="1203">
        <v>4.9000000000000004</v>
      </c>
      <c r="L31" s="1203"/>
      <c r="M31" s="1204">
        <v>39730</v>
      </c>
      <c r="N31" s="1203">
        <v>0.72</v>
      </c>
      <c r="O31" s="1203">
        <v>3.15</v>
      </c>
      <c r="P31" s="1203">
        <v>3.51</v>
      </c>
      <c r="Q31" s="1203">
        <v>3.87</v>
      </c>
      <c r="R31" s="1203">
        <v>4.41</v>
      </c>
      <c r="S31" s="1203">
        <v>5.13</v>
      </c>
      <c r="T31" s="1203">
        <v>5.58</v>
      </c>
      <c r="U31" s="1203">
        <v>3.15</v>
      </c>
      <c r="V31" s="1203">
        <v>3.51</v>
      </c>
      <c r="W31" s="1203">
        <v>3.87</v>
      </c>
      <c r="X31" s="1203">
        <v>1.53</v>
      </c>
      <c r="Y31" s="1203">
        <v>1.17</v>
      </c>
      <c r="Z31" s="1203">
        <v>1.71</v>
      </c>
    </row>
    <row r="32" spans="1:256">
      <c r="B32" s="1203"/>
      <c r="C32" s="1204">
        <v>40639</v>
      </c>
      <c r="D32" s="1203">
        <v>5.85</v>
      </c>
      <c r="E32" s="1203">
        <v>6.31</v>
      </c>
      <c r="F32" s="1203">
        <v>6.4</v>
      </c>
      <c r="G32" s="1203">
        <v>6.65</v>
      </c>
      <c r="H32" s="1203">
        <v>6.8</v>
      </c>
      <c r="I32" s="1203">
        <v>4.2</v>
      </c>
      <c r="J32" s="1203">
        <v>4.7</v>
      </c>
      <c r="L32" s="1203"/>
      <c r="M32" s="1204">
        <v>39437</v>
      </c>
      <c r="N32" s="1203">
        <v>0.72</v>
      </c>
      <c r="O32" s="1203">
        <v>3.33</v>
      </c>
      <c r="P32" s="1203">
        <v>3.78</v>
      </c>
      <c r="Q32" s="1203">
        <v>4.1399999999999997</v>
      </c>
      <c r="R32" s="1203">
        <v>4.68</v>
      </c>
      <c r="S32" s="1203">
        <v>5.4</v>
      </c>
      <c r="T32" s="1203">
        <v>5.85</v>
      </c>
      <c r="U32" s="1203">
        <v>3.33</v>
      </c>
      <c r="V32" s="1203">
        <v>3.78</v>
      </c>
      <c r="W32" s="1203">
        <v>4.1399999999999997</v>
      </c>
      <c r="X32" s="1203">
        <v>1.53</v>
      </c>
      <c r="Y32" s="1203">
        <v>1.17</v>
      </c>
      <c r="Z32" s="1203">
        <v>1.71</v>
      </c>
    </row>
    <row r="33" spans="2:26">
      <c r="B33" s="1203"/>
      <c r="C33" s="1204">
        <v>40583</v>
      </c>
      <c r="D33" s="1203">
        <v>5.6</v>
      </c>
      <c r="E33" s="1203">
        <v>6.06</v>
      </c>
      <c r="F33" s="1203">
        <v>6.1</v>
      </c>
      <c r="G33" s="1203">
        <v>6.45</v>
      </c>
      <c r="H33" s="1203">
        <v>6.6</v>
      </c>
      <c r="I33" s="1203">
        <v>4</v>
      </c>
      <c r="J33" s="1203">
        <v>4.5</v>
      </c>
      <c r="L33" s="1203"/>
      <c r="M33" s="1204">
        <v>39340</v>
      </c>
      <c r="N33" s="1203">
        <v>0.81</v>
      </c>
      <c r="O33" s="1203">
        <v>2.88</v>
      </c>
      <c r="P33" s="1203">
        <v>3.42</v>
      </c>
      <c r="Q33" s="1203">
        <v>3.87</v>
      </c>
      <c r="R33" s="1203">
        <v>4.5</v>
      </c>
      <c r="S33" s="1203">
        <v>5.22</v>
      </c>
      <c r="T33" s="1203">
        <v>5.76</v>
      </c>
      <c r="U33" s="1203">
        <v>2.88</v>
      </c>
      <c r="V33" s="1203">
        <v>3.42</v>
      </c>
      <c r="W33" s="1203">
        <v>3.87</v>
      </c>
      <c r="X33" s="1203">
        <v>1.53</v>
      </c>
      <c r="Y33" s="1203">
        <v>1.17</v>
      </c>
      <c r="Z33" s="1203">
        <v>1.71</v>
      </c>
    </row>
    <row r="34" spans="2:26">
      <c r="B34" s="1203"/>
      <c r="C34" s="1204">
        <v>40538</v>
      </c>
      <c r="D34" s="1203">
        <v>5.35</v>
      </c>
      <c r="E34" s="1203">
        <v>5.81</v>
      </c>
      <c r="F34" s="1203">
        <v>5.85</v>
      </c>
      <c r="G34" s="1203">
        <v>6.22</v>
      </c>
      <c r="H34" s="1203">
        <v>6.4</v>
      </c>
      <c r="I34" s="1203">
        <v>3.75</v>
      </c>
      <c r="J34" s="1203">
        <v>4.3</v>
      </c>
      <c r="L34" s="1203"/>
      <c r="M34" s="1204">
        <v>39316</v>
      </c>
      <c r="N34" s="1203">
        <v>0.81</v>
      </c>
      <c r="O34" s="1203">
        <v>2.61</v>
      </c>
      <c r="P34" s="1203">
        <v>3.15</v>
      </c>
      <c r="Q34" s="1203">
        <v>3.6</v>
      </c>
      <c r="R34" s="1203">
        <v>4.2300000000000004</v>
      </c>
      <c r="S34" s="1203">
        <v>4.95</v>
      </c>
      <c r="T34" s="1203">
        <v>5.49</v>
      </c>
      <c r="U34" s="1203">
        <v>2.61</v>
      </c>
      <c r="V34" s="1203">
        <v>3.15</v>
      </c>
      <c r="W34" s="1203">
        <v>3.6</v>
      </c>
      <c r="X34" s="1203">
        <v>1.53</v>
      </c>
      <c r="Y34" s="1203">
        <v>1.17</v>
      </c>
      <c r="Z34" s="1203">
        <v>1.71</v>
      </c>
    </row>
    <row r="35" spans="2:26">
      <c r="B35" s="1203"/>
      <c r="C35" s="1204">
        <v>40471</v>
      </c>
      <c r="D35" s="1203">
        <v>5.0999999999999996</v>
      </c>
      <c r="E35" s="1203">
        <v>5.56</v>
      </c>
      <c r="F35" s="1203">
        <v>5.6</v>
      </c>
      <c r="G35" s="1203">
        <v>5.96</v>
      </c>
      <c r="H35" s="1203">
        <v>6.14</v>
      </c>
      <c r="I35" s="1203">
        <v>3.5</v>
      </c>
      <c r="J35" s="1203">
        <v>4.05</v>
      </c>
      <c r="L35" s="1203"/>
      <c r="M35" s="1204">
        <v>39284</v>
      </c>
      <c r="N35" s="1203">
        <v>0.81</v>
      </c>
      <c r="O35" s="1203">
        <v>2.34</v>
      </c>
      <c r="P35" s="1203">
        <v>2.88</v>
      </c>
      <c r="Q35" s="1203">
        <v>3.33</v>
      </c>
      <c r="R35" s="1203">
        <v>3.96</v>
      </c>
      <c r="S35" s="1203">
        <v>4.68</v>
      </c>
      <c r="T35" s="1203">
        <v>5.22</v>
      </c>
      <c r="U35" s="1203">
        <v>2.34</v>
      </c>
      <c r="V35" s="1203">
        <v>2.88</v>
      </c>
      <c r="W35" s="1203">
        <v>3.33</v>
      </c>
      <c r="X35" s="1203">
        <v>1.53</v>
      </c>
      <c r="Y35" s="1203">
        <v>1.17</v>
      </c>
      <c r="Z35" s="1203">
        <v>1.71</v>
      </c>
    </row>
    <row r="36" spans="2:26">
      <c r="B36" s="1203"/>
      <c r="C36" s="1204">
        <v>39805</v>
      </c>
      <c r="D36" s="1203">
        <v>4.8600000000000003</v>
      </c>
      <c r="E36" s="1203">
        <v>5.31</v>
      </c>
      <c r="F36" s="1203">
        <v>5.4</v>
      </c>
      <c r="G36" s="1203">
        <v>5.76</v>
      </c>
      <c r="H36" s="1203">
        <v>5.94</v>
      </c>
      <c r="I36" s="1203">
        <v>3.33</v>
      </c>
      <c r="J36" s="1203">
        <v>3.87</v>
      </c>
      <c r="L36" s="1203"/>
      <c r="M36" s="1204">
        <v>39221</v>
      </c>
      <c r="N36" s="1203">
        <v>0.72</v>
      </c>
      <c r="O36" s="1203">
        <v>2.0699999999999998</v>
      </c>
      <c r="P36" s="1203">
        <v>2.61</v>
      </c>
      <c r="Q36" s="1203">
        <v>3.06</v>
      </c>
      <c r="R36" s="1203">
        <v>3.69</v>
      </c>
      <c r="S36" s="1203">
        <v>4.41</v>
      </c>
      <c r="T36" s="1203">
        <v>4.95</v>
      </c>
      <c r="U36" s="1203">
        <v>2.0699999999999998</v>
      </c>
      <c r="V36" s="1203">
        <v>2.61</v>
      </c>
      <c r="W36" s="1203">
        <v>3.06</v>
      </c>
      <c r="X36" s="1203">
        <v>1.44</v>
      </c>
      <c r="Y36" s="1203">
        <v>1.08</v>
      </c>
      <c r="Z36" s="1203">
        <v>1.62</v>
      </c>
    </row>
    <row r="37" spans="2:26">
      <c r="B37" s="1203"/>
      <c r="C37" s="1204">
        <v>39779</v>
      </c>
      <c r="D37" s="1203">
        <v>5.04</v>
      </c>
      <c r="E37" s="1203">
        <v>5.58</v>
      </c>
      <c r="F37" s="1203">
        <v>5.67</v>
      </c>
      <c r="G37" s="1203">
        <v>5.94</v>
      </c>
      <c r="H37" s="1203">
        <v>6.12</v>
      </c>
      <c r="I37" s="1203">
        <v>3.51</v>
      </c>
      <c r="J37" s="1203">
        <v>4.05</v>
      </c>
      <c r="L37" s="1203"/>
      <c r="M37" s="1204">
        <v>39159</v>
      </c>
      <c r="N37" s="1203">
        <v>0.72</v>
      </c>
      <c r="O37" s="1203">
        <v>1.98</v>
      </c>
      <c r="P37" s="1203">
        <v>2.4300000000000002</v>
      </c>
      <c r="Q37" s="1203">
        <v>2.79</v>
      </c>
      <c r="R37" s="1203">
        <v>3.33</v>
      </c>
      <c r="S37" s="1203">
        <v>3.96</v>
      </c>
      <c r="T37" s="1203">
        <v>4.41</v>
      </c>
      <c r="U37" s="1203">
        <v>1.98</v>
      </c>
      <c r="V37" s="1203">
        <v>2.4300000000000002</v>
      </c>
      <c r="W37" s="1203">
        <v>2.79</v>
      </c>
      <c r="X37" s="1203">
        <v>1.44</v>
      </c>
      <c r="Y37" s="1203">
        <v>1.08</v>
      </c>
      <c r="Z37" s="1203">
        <v>1.62</v>
      </c>
    </row>
    <row r="38" spans="2:26">
      <c r="B38" s="1203"/>
      <c r="C38" s="1204">
        <v>39751</v>
      </c>
      <c r="D38" s="1203">
        <v>6.03</v>
      </c>
      <c r="E38" s="1203">
        <v>6.66</v>
      </c>
      <c r="F38" s="1203">
        <v>6.75</v>
      </c>
      <c r="G38" s="1203">
        <v>7.02</v>
      </c>
      <c r="H38" s="1203">
        <v>7.2</v>
      </c>
      <c r="I38" s="1203">
        <v>4.05</v>
      </c>
      <c r="J38" s="1203">
        <v>4.59</v>
      </c>
      <c r="L38" s="1203"/>
      <c r="M38" s="1204">
        <v>38948</v>
      </c>
      <c r="N38" s="1203">
        <v>0.72</v>
      </c>
      <c r="O38" s="1203">
        <v>1.8</v>
      </c>
      <c r="P38" s="1203">
        <v>2.25</v>
      </c>
      <c r="Q38" s="1203">
        <v>2.52</v>
      </c>
      <c r="R38" s="1203">
        <v>3.06</v>
      </c>
      <c r="S38" s="1203">
        <v>3.69</v>
      </c>
      <c r="T38" s="1203">
        <v>4.1399999999999997</v>
      </c>
      <c r="U38" s="1203">
        <v>1.8</v>
      </c>
      <c r="V38" s="1203">
        <v>2.25</v>
      </c>
      <c r="W38" s="1203">
        <v>2.52</v>
      </c>
      <c r="X38" s="1203">
        <v>1.44</v>
      </c>
      <c r="Y38" s="1203">
        <v>1.08</v>
      </c>
      <c r="Z38" s="1203">
        <v>1.62</v>
      </c>
    </row>
    <row r="39" spans="2:26">
      <c r="B39" s="1203"/>
      <c r="C39" s="1205">
        <v>39748</v>
      </c>
      <c r="D39" s="1203">
        <v>6.12</v>
      </c>
      <c r="E39" s="1203">
        <v>6.93</v>
      </c>
      <c r="F39" s="1203">
        <v>7.02</v>
      </c>
      <c r="G39" s="1203">
        <v>7.29</v>
      </c>
      <c r="H39" s="1203">
        <v>7.47</v>
      </c>
      <c r="I39" s="1203">
        <v>4.05</v>
      </c>
      <c r="J39" s="1203">
        <v>4.59</v>
      </c>
      <c r="L39" s="1203"/>
      <c r="M39" s="1204">
        <v>38289</v>
      </c>
      <c r="N39" s="1203">
        <v>0.72</v>
      </c>
      <c r="O39" s="1203">
        <v>1.71</v>
      </c>
      <c r="P39" s="1203">
        <v>2.0699999999999998</v>
      </c>
      <c r="Q39" s="1203">
        <v>2.25</v>
      </c>
      <c r="R39" s="1203">
        <v>2.7</v>
      </c>
      <c r="S39" s="1203">
        <v>3.24</v>
      </c>
      <c r="T39" s="1203">
        <v>3.6</v>
      </c>
      <c r="U39" s="1203">
        <v>1.71</v>
      </c>
      <c r="V39" s="1203">
        <v>2.0699999999999998</v>
      </c>
      <c r="W39" s="1203">
        <v>2.25</v>
      </c>
      <c r="X39" s="1203">
        <v>1.44</v>
      </c>
      <c r="Y39" s="1203">
        <v>1.08</v>
      </c>
      <c r="Z39" s="1203">
        <v>1.62</v>
      </c>
    </row>
    <row r="40" spans="2:26">
      <c r="B40" s="1203"/>
      <c r="C40" s="1204">
        <v>39730</v>
      </c>
      <c r="D40" s="1203">
        <v>6.12</v>
      </c>
      <c r="E40" s="1203">
        <v>6.93</v>
      </c>
      <c r="F40" s="1203">
        <v>7.02</v>
      </c>
      <c r="G40" s="1203">
        <v>7.29</v>
      </c>
      <c r="H40" s="1203">
        <v>7.47</v>
      </c>
      <c r="I40" s="1203">
        <v>4.32</v>
      </c>
      <c r="J40" s="1203">
        <v>4.8600000000000003</v>
      </c>
      <c r="L40" s="1203"/>
      <c r="M40" s="1204">
        <v>37308</v>
      </c>
      <c r="N40" s="1203">
        <v>0.72</v>
      </c>
      <c r="O40" s="1203">
        <v>1.71</v>
      </c>
      <c r="P40" s="1203">
        <v>1.89</v>
      </c>
      <c r="Q40" s="1203">
        <v>1.98</v>
      </c>
      <c r="R40" s="1203">
        <v>2.25</v>
      </c>
      <c r="S40" s="1203">
        <v>2.52</v>
      </c>
      <c r="T40" s="1203">
        <v>2.79</v>
      </c>
      <c r="U40" s="1203">
        <v>1.71</v>
      </c>
      <c r="V40" s="1203">
        <v>1.89</v>
      </c>
      <c r="W40" s="1203">
        <v>1.98</v>
      </c>
      <c r="X40" s="1203">
        <v>1.44</v>
      </c>
      <c r="Y40" s="1203">
        <v>1.08</v>
      </c>
      <c r="Z40" s="1203">
        <v>1.62</v>
      </c>
    </row>
    <row r="41" spans="2:26">
      <c r="B41" s="1203"/>
      <c r="C41" s="1204">
        <v>39707</v>
      </c>
      <c r="D41" s="1203">
        <v>6.21</v>
      </c>
      <c r="E41" s="1203">
        <v>7.2</v>
      </c>
      <c r="F41" s="1203">
        <v>7.29</v>
      </c>
      <c r="G41" s="1203">
        <v>7.56</v>
      </c>
      <c r="H41" s="1203">
        <v>7.74</v>
      </c>
      <c r="I41" s="1203">
        <v>4.59</v>
      </c>
      <c r="J41" s="1203">
        <v>5.13</v>
      </c>
      <c r="L41" s="1203"/>
      <c r="M41" s="1204">
        <v>36321</v>
      </c>
      <c r="N41" s="1203">
        <v>0.99</v>
      </c>
      <c r="O41" s="1203">
        <v>1.98</v>
      </c>
      <c r="P41" s="1203">
        <v>2.16</v>
      </c>
      <c r="Q41" s="1203">
        <v>2.25</v>
      </c>
      <c r="R41" s="1203">
        <v>2.4300000000000002</v>
      </c>
      <c r="S41" s="1203">
        <v>2.7</v>
      </c>
      <c r="T41" s="1203">
        <v>2.88</v>
      </c>
      <c r="U41" s="1203">
        <v>1.98</v>
      </c>
      <c r="V41" s="1203">
        <v>2.16</v>
      </c>
      <c r="W41" s="1203">
        <v>2.25</v>
      </c>
      <c r="X41" s="1203">
        <v>1.71</v>
      </c>
      <c r="Y41" s="1203">
        <v>1.35</v>
      </c>
      <c r="Z41" s="1203">
        <v>1.89</v>
      </c>
    </row>
    <row r="42" spans="2:26">
      <c r="B42" s="1203"/>
      <c r="C42" s="1204">
        <v>39437</v>
      </c>
      <c r="D42" s="1203">
        <v>6.57</v>
      </c>
      <c r="E42" s="1203">
        <v>7.47</v>
      </c>
      <c r="F42" s="1203">
        <v>7.56</v>
      </c>
      <c r="G42" s="1203">
        <v>7.74</v>
      </c>
      <c r="H42" s="1203">
        <v>7.83</v>
      </c>
      <c r="I42" s="1203">
        <v>4.7699999999999996</v>
      </c>
      <c r="J42" s="1203">
        <v>5.22</v>
      </c>
      <c r="L42" s="1203"/>
      <c r="M42" s="1204">
        <v>36136</v>
      </c>
      <c r="N42" s="1203">
        <v>1.44</v>
      </c>
      <c r="O42" s="1203">
        <v>2.79</v>
      </c>
      <c r="P42" s="1203">
        <v>3.33</v>
      </c>
      <c r="Q42" s="1203">
        <v>3.78</v>
      </c>
      <c r="R42" s="1203">
        <v>3.96</v>
      </c>
      <c r="S42" s="1203">
        <v>4.1399999999999997</v>
      </c>
      <c r="T42" s="1203">
        <v>4.5</v>
      </c>
      <c r="U42" s="1203">
        <v>3.33</v>
      </c>
      <c r="V42" s="1203">
        <v>3.78</v>
      </c>
      <c r="W42" s="1203">
        <v>4.1399999999999997</v>
      </c>
      <c r="X42" s="1203">
        <v>2.16</v>
      </c>
      <c r="Y42" s="1203">
        <v>1.8</v>
      </c>
      <c r="Z42" s="1203">
        <v>2.34</v>
      </c>
    </row>
    <row r="43" spans="2:26">
      <c r="B43" s="1203"/>
      <c r="C43" s="1204">
        <v>39340</v>
      </c>
      <c r="D43" s="1203">
        <v>6.48</v>
      </c>
      <c r="E43" s="1203">
        <v>7.29</v>
      </c>
      <c r="F43" s="1203">
        <v>7.47</v>
      </c>
      <c r="G43" s="1203">
        <v>7.65</v>
      </c>
      <c r="H43" s="1203">
        <v>7.83</v>
      </c>
      <c r="I43" s="1203">
        <v>4.7699999999999996</v>
      </c>
      <c r="J43" s="1203">
        <v>5.22</v>
      </c>
      <c r="L43" s="1203"/>
      <c r="M43" s="1204">
        <v>35977</v>
      </c>
      <c r="N43" s="1203">
        <v>1.44</v>
      </c>
      <c r="O43" s="1203">
        <v>2.79</v>
      </c>
      <c r="P43" s="1203">
        <v>3.96</v>
      </c>
      <c r="Q43" s="1203">
        <v>4.7699999999999996</v>
      </c>
      <c r="R43" s="1203">
        <v>4.8600000000000003</v>
      </c>
      <c r="S43" s="1203">
        <v>4.95</v>
      </c>
      <c r="T43" s="1203">
        <v>5.22</v>
      </c>
      <c r="U43" s="1203">
        <v>3.96</v>
      </c>
      <c r="V43" s="1203">
        <v>4.7699999999999996</v>
      </c>
      <c r="W43" s="1203">
        <v>4.95</v>
      </c>
      <c r="X43" s="1203" t="s">
        <v>633</v>
      </c>
      <c r="Y43" s="1203" t="s">
        <v>633</v>
      </c>
      <c r="Z43" s="1203" t="s">
        <v>633</v>
      </c>
    </row>
    <row r="44" spans="2:26">
      <c r="B44" s="1203"/>
      <c r="C44" s="1204">
        <v>39316</v>
      </c>
      <c r="D44" s="1203">
        <v>6.21</v>
      </c>
      <c r="E44" s="1203">
        <v>7.02</v>
      </c>
      <c r="F44" s="1203">
        <v>7.2</v>
      </c>
      <c r="G44" s="1203">
        <v>7.38</v>
      </c>
      <c r="H44" s="1203">
        <v>7.56</v>
      </c>
      <c r="I44" s="1203">
        <v>4.59</v>
      </c>
      <c r="J44" s="1203">
        <v>5.04</v>
      </c>
      <c r="L44" s="1203"/>
      <c r="M44" s="1204">
        <v>35879</v>
      </c>
      <c r="N44" s="1203">
        <v>1.71</v>
      </c>
      <c r="O44" s="1203">
        <v>2.88</v>
      </c>
      <c r="P44" s="1203">
        <v>4.1399999999999997</v>
      </c>
      <c r="Q44" s="1203">
        <v>5.22</v>
      </c>
      <c r="R44" s="1203">
        <v>5.58</v>
      </c>
      <c r="S44" s="1203">
        <v>6.21</v>
      </c>
      <c r="T44" s="1203">
        <v>6.66</v>
      </c>
      <c r="U44" s="1203">
        <v>4.1399999999999997</v>
      </c>
      <c r="V44" s="1203">
        <v>5.22</v>
      </c>
      <c r="W44" s="1203">
        <v>6.21</v>
      </c>
      <c r="X44" s="1203" t="s">
        <v>633</v>
      </c>
      <c r="Y44" s="1203" t="s">
        <v>633</v>
      </c>
      <c r="Z44" s="1203" t="s">
        <v>633</v>
      </c>
    </row>
    <row r="45" spans="2:26">
      <c r="B45" s="1203"/>
      <c r="C45" s="1204">
        <v>39284</v>
      </c>
      <c r="D45" s="1203">
        <v>6.03</v>
      </c>
      <c r="E45" s="1203">
        <v>6.84</v>
      </c>
      <c r="F45" s="1203">
        <v>7.02</v>
      </c>
      <c r="G45" s="1203">
        <v>7.2</v>
      </c>
      <c r="H45" s="1203">
        <v>7.38</v>
      </c>
      <c r="I45" s="1203">
        <v>4.5</v>
      </c>
      <c r="J45" s="1203">
        <v>4.95</v>
      </c>
      <c r="L45" s="1203"/>
      <c r="M45" s="1204">
        <v>35726</v>
      </c>
      <c r="N45" s="1203">
        <v>1.71</v>
      </c>
      <c r="O45" s="1203">
        <v>2.88</v>
      </c>
      <c r="P45" s="1203">
        <v>4.1399999999999997</v>
      </c>
      <c r="Q45" s="1203">
        <v>5.67</v>
      </c>
      <c r="R45" s="1203">
        <v>5.94</v>
      </c>
      <c r="S45" s="1203">
        <v>6.21</v>
      </c>
      <c r="T45" s="1203">
        <v>6.66</v>
      </c>
      <c r="U45" s="1203">
        <v>4.1399999999999997</v>
      </c>
      <c r="V45" s="1203">
        <v>5.67</v>
      </c>
      <c r="W45" s="1203">
        <v>6.21</v>
      </c>
      <c r="X45" s="1203" t="s">
        <v>633</v>
      </c>
      <c r="Y45" s="1203" t="s">
        <v>633</v>
      </c>
      <c r="Z45" s="1203" t="s">
        <v>633</v>
      </c>
    </row>
    <row r="46" spans="2:26">
      <c r="B46" s="1203"/>
      <c r="C46" s="1204">
        <v>39221</v>
      </c>
      <c r="D46" s="1203">
        <v>5.85</v>
      </c>
      <c r="E46" s="1203">
        <v>6.57</v>
      </c>
      <c r="F46" s="1203">
        <v>6.75</v>
      </c>
      <c r="G46" s="1203">
        <v>6.93</v>
      </c>
      <c r="H46" s="1203">
        <v>7.2</v>
      </c>
      <c r="I46" s="1203">
        <v>4.41</v>
      </c>
      <c r="J46" s="1203">
        <v>4.8600000000000003</v>
      </c>
      <c r="L46" s="1203"/>
      <c r="M46" s="1204">
        <v>35300</v>
      </c>
      <c r="N46" s="1203">
        <v>1.98</v>
      </c>
      <c r="O46" s="1203">
        <v>3.33</v>
      </c>
      <c r="P46" s="1203">
        <v>5.4</v>
      </c>
      <c r="Q46" s="1203">
        <v>7.47</v>
      </c>
      <c r="R46" s="1203">
        <v>7.92</v>
      </c>
      <c r="S46" s="1203">
        <v>8.2799999999999994</v>
      </c>
      <c r="T46" s="1203">
        <v>9</v>
      </c>
      <c r="U46" s="1203">
        <v>5.4</v>
      </c>
      <c r="V46" s="1203">
        <v>7.47</v>
      </c>
      <c r="W46" s="1203">
        <v>8.2799999999999994</v>
      </c>
      <c r="X46" s="1203" t="s">
        <v>633</v>
      </c>
      <c r="Y46" s="1203" t="s">
        <v>633</v>
      </c>
      <c r="Z46" s="1203" t="s">
        <v>633</v>
      </c>
    </row>
    <row r="47" spans="2:26">
      <c r="B47" s="1203"/>
      <c r="C47" s="1204">
        <v>39159</v>
      </c>
      <c r="D47" s="1203">
        <v>5.67</v>
      </c>
      <c r="E47" s="1203">
        <v>6.39</v>
      </c>
      <c r="F47" s="1203">
        <v>6.57</v>
      </c>
      <c r="G47" s="1203">
        <v>6.75</v>
      </c>
      <c r="H47" s="1203">
        <v>7.11</v>
      </c>
      <c r="I47" s="1203">
        <v>4.32</v>
      </c>
      <c r="J47" s="1203">
        <v>4.7699999999999996</v>
      </c>
      <c r="L47" s="1203"/>
      <c r="M47" s="1204">
        <v>35186</v>
      </c>
      <c r="N47" s="1203">
        <v>2.97</v>
      </c>
      <c r="O47" s="1203">
        <v>4.8600000000000003</v>
      </c>
      <c r="P47" s="1203">
        <v>7.2</v>
      </c>
      <c r="Q47" s="1203">
        <v>9.18</v>
      </c>
      <c r="R47" s="1203">
        <v>9.9</v>
      </c>
      <c r="S47" s="1203">
        <v>10.8</v>
      </c>
      <c r="T47" s="1203">
        <v>12.06</v>
      </c>
      <c r="U47" s="1203">
        <v>7.2</v>
      </c>
      <c r="V47" s="1203">
        <v>9.18</v>
      </c>
      <c r="W47" s="1203">
        <v>10.8</v>
      </c>
      <c r="X47" s="1203" t="s">
        <v>633</v>
      </c>
      <c r="Y47" s="1203" t="s">
        <v>633</v>
      </c>
      <c r="Z47" s="1203" t="s">
        <v>633</v>
      </c>
    </row>
    <row r="48" spans="2:26">
      <c r="B48" s="1203"/>
      <c r="C48" s="1204">
        <v>38948</v>
      </c>
      <c r="D48" s="1203">
        <v>5.58</v>
      </c>
      <c r="E48" s="1203">
        <v>6.12</v>
      </c>
      <c r="F48" s="1203">
        <v>6.3</v>
      </c>
      <c r="G48" s="1203">
        <v>6.48</v>
      </c>
      <c r="H48" s="1203">
        <v>6.84</v>
      </c>
      <c r="I48" s="1203">
        <v>4.1399999999999997</v>
      </c>
      <c r="J48" s="1203">
        <v>4.59</v>
      </c>
      <c r="L48" s="1203"/>
      <c r="M48" s="1204">
        <v>34161</v>
      </c>
      <c r="N48" s="1203">
        <v>3.15</v>
      </c>
      <c r="O48" s="1203">
        <v>6.66</v>
      </c>
      <c r="P48" s="1203">
        <v>9</v>
      </c>
      <c r="Q48" s="1203">
        <v>10.98</v>
      </c>
      <c r="R48" s="1203">
        <v>11.7</v>
      </c>
      <c r="S48" s="1203">
        <v>12.24</v>
      </c>
      <c r="T48" s="1203">
        <v>13.86</v>
      </c>
      <c r="U48" s="1203">
        <v>9</v>
      </c>
      <c r="V48" s="1203">
        <v>10.98</v>
      </c>
      <c r="W48" s="1203">
        <v>12.24</v>
      </c>
      <c r="X48" s="1203" t="s">
        <v>633</v>
      </c>
      <c r="Y48" s="1203" t="s">
        <v>633</v>
      </c>
      <c r="Z48" s="1203" t="s">
        <v>633</v>
      </c>
    </row>
    <row r="49" spans="2:26">
      <c r="B49" s="1203"/>
      <c r="C49" s="1204">
        <v>38835</v>
      </c>
      <c r="D49" s="1203">
        <v>5.4</v>
      </c>
      <c r="E49" s="1203">
        <v>5.85</v>
      </c>
      <c r="F49" s="1203">
        <v>6.03</v>
      </c>
      <c r="G49" s="1203">
        <v>6.12</v>
      </c>
      <c r="H49" s="1203">
        <v>6.39</v>
      </c>
      <c r="I49" s="1203">
        <v>4.1399999999999997</v>
      </c>
      <c r="J49" s="1203">
        <v>4.59</v>
      </c>
      <c r="L49" s="1203"/>
      <c r="M49" s="1204">
        <v>34104</v>
      </c>
      <c r="N49" s="1203">
        <v>2.16</v>
      </c>
      <c r="O49" s="1203">
        <v>4.8600000000000003</v>
      </c>
      <c r="P49" s="1203">
        <v>7.2</v>
      </c>
      <c r="Q49" s="1203">
        <v>9.18</v>
      </c>
      <c r="R49" s="1203">
        <v>9.9</v>
      </c>
      <c r="S49" s="1203">
        <v>10.8</v>
      </c>
      <c r="T49" s="1203">
        <v>12.06</v>
      </c>
      <c r="U49" s="1203">
        <v>7.2</v>
      </c>
      <c r="V49" s="1203">
        <v>9.18</v>
      </c>
      <c r="W49" s="1203">
        <v>10.8</v>
      </c>
      <c r="X49" s="1203" t="s">
        <v>633</v>
      </c>
      <c r="Y49" s="1203" t="s">
        <v>633</v>
      </c>
      <c r="Z49" s="1203" t="s">
        <v>633</v>
      </c>
    </row>
    <row r="50" spans="2:26">
      <c r="B50" s="1203"/>
      <c r="C50" s="1204">
        <v>38428</v>
      </c>
      <c r="D50" s="1203">
        <v>5.22</v>
      </c>
      <c r="E50" s="1203">
        <v>5.58</v>
      </c>
      <c r="F50" s="1203">
        <v>5.76</v>
      </c>
      <c r="G50" s="1203">
        <v>5.85</v>
      </c>
      <c r="H50" s="1203">
        <v>6.12</v>
      </c>
      <c r="I50" s="1203">
        <v>3.96</v>
      </c>
      <c r="J50" s="1203">
        <v>4.41</v>
      </c>
      <c r="L50" s="1203"/>
      <c r="M50" s="1204">
        <v>33349</v>
      </c>
      <c r="N50" s="1203">
        <v>1.8</v>
      </c>
      <c r="O50" s="1203">
        <v>3.24</v>
      </c>
      <c r="P50" s="1203">
        <v>5.4</v>
      </c>
      <c r="Q50" s="1203">
        <v>7.56</v>
      </c>
      <c r="R50" s="1203">
        <v>7.92</v>
      </c>
      <c r="S50" s="1203">
        <v>8.2799999999999994</v>
      </c>
      <c r="T50" s="1203">
        <v>9</v>
      </c>
      <c r="U50" s="1203">
        <v>6.12</v>
      </c>
      <c r="V50" s="1203">
        <v>6.84</v>
      </c>
      <c r="W50" s="1203">
        <v>7.56</v>
      </c>
      <c r="X50" s="1203" t="s">
        <v>633</v>
      </c>
      <c r="Y50" s="1203" t="s">
        <v>633</v>
      </c>
      <c r="Z50" s="1203" t="s">
        <v>633</v>
      </c>
    </row>
    <row r="51" spans="2:26">
      <c r="B51" s="1203"/>
      <c r="C51" s="1204">
        <v>38289</v>
      </c>
      <c r="D51" s="1203">
        <v>5.22</v>
      </c>
      <c r="E51" s="1203">
        <v>5.58</v>
      </c>
      <c r="F51" s="1203">
        <v>5.76</v>
      </c>
      <c r="G51" s="1203">
        <v>5.85</v>
      </c>
      <c r="H51" s="1203">
        <v>6.12</v>
      </c>
      <c r="I51" s="1203">
        <v>3.78</v>
      </c>
      <c r="J51" s="1203">
        <v>4.2300000000000004</v>
      </c>
      <c r="L51" s="1203"/>
      <c r="M51" s="1204">
        <v>33106</v>
      </c>
      <c r="N51" s="1203">
        <v>2.16</v>
      </c>
      <c r="O51" s="1203">
        <v>4.32</v>
      </c>
      <c r="P51" s="1203">
        <v>6.48</v>
      </c>
      <c r="Q51" s="1203">
        <v>8.64</v>
      </c>
      <c r="R51" s="1203">
        <v>9.36</v>
      </c>
      <c r="S51" s="1203">
        <v>10.08</v>
      </c>
      <c r="T51" s="1203">
        <v>11.52</v>
      </c>
      <c r="U51" s="1203">
        <v>7.2</v>
      </c>
      <c r="V51" s="1203">
        <v>8.64</v>
      </c>
      <c r="W51" s="1203">
        <v>10.08</v>
      </c>
      <c r="X51" s="1203" t="s">
        <v>633</v>
      </c>
      <c r="Y51" s="1203" t="s">
        <v>633</v>
      </c>
      <c r="Z51" s="1203" t="s">
        <v>633</v>
      </c>
    </row>
    <row r="52" spans="2:26">
      <c r="B52" s="1203"/>
      <c r="C52" s="1204">
        <v>37308</v>
      </c>
      <c r="D52" s="1203">
        <v>5.04</v>
      </c>
      <c r="E52" s="1203">
        <v>5.31</v>
      </c>
      <c r="F52" s="1203">
        <v>5.49</v>
      </c>
      <c r="G52" s="1203">
        <v>5.58</v>
      </c>
      <c r="H52" s="1203">
        <v>5.76</v>
      </c>
      <c r="I52" s="1203">
        <v>3.6</v>
      </c>
      <c r="J52" s="1203">
        <v>4.05</v>
      </c>
      <c r="L52" s="1203"/>
      <c r="M52" s="1204">
        <v>32978</v>
      </c>
      <c r="N52" s="1203">
        <v>2.88</v>
      </c>
      <c r="O52" s="1203">
        <v>6.3</v>
      </c>
      <c r="P52" s="1203">
        <v>7.74</v>
      </c>
      <c r="Q52" s="1203">
        <v>10.08</v>
      </c>
      <c r="R52" s="1203">
        <v>10.98</v>
      </c>
      <c r="S52" s="1203">
        <v>11.88</v>
      </c>
      <c r="T52" s="1203">
        <v>13.68</v>
      </c>
      <c r="U52" s="1203" t="s">
        <v>633</v>
      </c>
      <c r="V52" s="1203" t="s">
        <v>633</v>
      </c>
      <c r="W52" s="1203" t="s">
        <v>633</v>
      </c>
      <c r="X52" s="1203" t="s">
        <v>633</v>
      </c>
      <c r="Y52" s="1203" t="s">
        <v>633</v>
      </c>
      <c r="Z52" s="1203" t="s">
        <v>633</v>
      </c>
    </row>
    <row r="53" spans="2:26">
      <c r="B53" s="1203"/>
      <c r="C53" s="1204">
        <v>36321</v>
      </c>
      <c r="D53" s="1203">
        <v>5.58</v>
      </c>
      <c r="E53" s="1203">
        <v>5.85</v>
      </c>
      <c r="F53" s="1203">
        <v>5.94</v>
      </c>
      <c r="G53" s="1203">
        <v>6.03</v>
      </c>
      <c r="H53" s="1203">
        <v>6.21</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36136</v>
      </c>
      <c r="D54" s="1203">
        <v>6.12</v>
      </c>
      <c r="E54" s="1203">
        <v>6.39</v>
      </c>
      <c r="F54" s="1203">
        <v>6.66</v>
      </c>
      <c r="G54" s="1203">
        <v>7.2</v>
      </c>
      <c r="H54" s="1203">
        <v>7.56</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35977</v>
      </c>
      <c r="D55" s="1203">
        <v>6.57</v>
      </c>
      <c r="E55" s="1203">
        <v>6.93</v>
      </c>
      <c r="F55" s="1203">
        <v>7.11</v>
      </c>
      <c r="G55" s="1203">
        <v>7.65</v>
      </c>
      <c r="H55" s="1203">
        <v>8.01</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35879</v>
      </c>
      <c r="D56" s="1203">
        <v>7.02</v>
      </c>
      <c r="E56" s="1203">
        <v>7.92</v>
      </c>
      <c r="F56" s="1203">
        <v>9</v>
      </c>
      <c r="G56" s="1203">
        <v>9.7200000000000006</v>
      </c>
      <c r="H56" s="1203">
        <v>10.35</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35726</v>
      </c>
      <c r="D57" s="1203">
        <v>7.65</v>
      </c>
      <c r="E57" s="1203">
        <v>8.64</v>
      </c>
      <c r="F57" s="1203">
        <v>9.36</v>
      </c>
      <c r="G57" s="1203">
        <v>9.9</v>
      </c>
      <c r="H57" s="1203">
        <v>10.53</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35300</v>
      </c>
      <c r="D58" s="1203">
        <v>9.18</v>
      </c>
      <c r="E58" s="1203">
        <v>10.08</v>
      </c>
      <c r="F58" s="1203">
        <v>10.98</v>
      </c>
      <c r="G58" s="1203">
        <v>11.7</v>
      </c>
      <c r="H58" s="1203">
        <v>12.42</v>
      </c>
      <c r="I58" s="1203">
        <v>0</v>
      </c>
      <c r="J58" s="1203">
        <v>0</v>
      </c>
      <c r="L58" s="1203"/>
      <c r="M58" s="1204"/>
      <c r="N58" s="1203"/>
      <c r="O58" s="1203"/>
      <c r="P58" s="1203"/>
      <c r="Q58" s="1203"/>
      <c r="R58" s="1203"/>
      <c r="S58" s="1203"/>
      <c r="T58" s="1203"/>
      <c r="U58" s="1203"/>
      <c r="V58" s="1203"/>
      <c r="W58" s="1203"/>
      <c r="X58" s="1203"/>
      <c r="Y58" s="1203"/>
      <c r="Z58" s="1203"/>
    </row>
    <row r="59" spans="2:26">
      <c r="B59" s="1203"/>
      <c r="C59" s="1204">
        <v>35186</v>
      </c>
      <c r="D59" s="1203">
        <v>9.7200000000000006</v>
      </c>
      <c r="E59" s="1203">
        <v>10.98</v>
      </c>
      <c r="F59" s="1203">
        <v>13.14</v>
      </c>
      <c r="G59" s="1203">
        <v>14.94</v>
      </c>
      <c r="H59" s="1203">
        <v>15.12</v>
      </c>
      <c r="I59" s="1203">
        <v>0</v>
      </c>
      <c r="J59" s="1203">
        <v>0</v>
      </c>
    </row>
    <row r="60" spans="2:26">
      <c r="B60" s="1203"/>
      <c r="C60" s="1204">
        <v>34881</v>
      </c>
      <c r="D60" s="1203">
        <v>10.08</v>
      </c>
      <c r="E60" s="1203">
        <v>12.06</v>
      </c>
      <c r="F60" s="1203">
        <v>13.5</v>
      </c>
      <c r="G60" s="1203">
        <v>15.12</v>
      </c>
      <c r="H60" s="1203">
        <v>15.3</v>
      </c>
      <c r="I60" s="1203">
        <v>0</v>
      </c>
      <c r="J60" s="1203">
        <v>0</v>
      </c>
    </row>
    <row r="61" spans="2:26">
      <c r="B61" s="1203"/>
      <c r="C61" s="1204">
        <v>34700</v>
      </c>
      <c r="D61" s="1203">
        <v>9</v>
      </c>
      <c r="E61" s="1203">
        <v>10.98</v>
      </c>
      <c r="F61" s="1203">
        <v>12.96</v>
      </c>
      <c r="G61" s="1203">
        <v>14.58</v>
      </c>
      <c r="H61" s="1203">
        <v>14.76</v>
      </c>
      <c r="I61" s="1203">
        <v>0</v>
      </c>
      <c r="J61" s="1203">
        <v>0</v>
      </c>
    </row>
    <row r="62" spans="2:26">
      <c r="B62" s="1203"/>
      <c r="C62" s="1204">
        <v>34161</v>
      </c>
      <c r="D62" s="1203">
        <v>9</v>
      </c>
      <c r="E62" s="1203">
        <v>10.98</v>
      </c>
      <c r="F62" s="1203">
        <v>12.24</v>
      </c>
      <c r="G62" s="1203">
        <v>13.86</v>
      </c>
      <c r="H62" s="1203">
        <v>14.04</v>
      </c>
      <c r="I62" s="1203">
        <v>0</v>
      </c>
      <c r="J62" s="1203">
        <v>0</v>
      </c>
    </row>
    <row r="63" spans="2:26">
      <c r="B63" s="1203"/>
      <c r="C63" s="1204">
        <v>34104</v>
      </c>
      <c r="D63" s="1203">
        <v>8.82</v>
      </c>
      <c r="E63" s="1203">
        <v>9.36</v>
      </c>
      <c r="F63" s="1203">
        <v>10.8</v>
      </c>
      <c r="G63" s="1203">
        <v>12.06</v>
      </c>
      <c r="H63" s="1203">
        <v>12.24</v>
      </c>
      <c r="I63" s="1203">
        <v>0</v>
      </c>
      <c r="J63" s="1203">
        <v>0</v>
      </c>
    </row>
    <row r="64" spans="2:26">
      <c r="B64" s="1203"/>
      <c r="C64" s="1204">
        <v>33349</v>
      </c>
      <c r="D64" s="1203">
        <v>8.1</v>
      </c>
      <c r="E64" s="1203">
        <v>8.64</v>
      </c>
      <c r="F64" s="1203">
        <v>9</v>
      </c>
      <c r="G64" s="1203">
        <v>9.5399999999999991</v>
      </c>
      <c r="H64" s="1203">
        <v>9.7200000000000006</v>
      </c>
      <c r="I64" s="1203">
        <v>0</v>
      </c>
      <c r="J64" s="1203">
        <v>0</v>
      </c>
    </row>
    <row r="65" spans="2:10">
      <c r="B65" s="1203"/>
      <c r="C65" s="1204">
        <v>33318</v>
      </c>
      <c r="D65" s="1203">
        <v>9</v>
      </c>
      <c r="E65" s="1203">
        <v>10.08</v>
      </c>
      <c r="F65" s="1203">
        <v>10.8</v>
      </c>
      <c r="G65" s="1203">
        <v>11.52</v>
      </c>
      <c r="H65" s="1203">
        <v>11.88</v>
      </c>
      <c r="I65" s="1203" t="s">
        <v>633</v>
      </c>
      <c r="J65" s="1203" t="s">
        <v>633</v>
      </c>
    </row>
    <row r="66" spans="2:10">
      <c r="B66" s="1203"/>
      <c r="C66" s="1204">
        <v>33106</v>
      </c>
      <c r="D66" s="1203">
        <v>8.64</v>
      </c>
      <c r="E66" s="1203">
        <v>9.36</v>
      </c>
      <c r="F66" s="1203">
        <v>10.08</v>
      </c>
      <c r="G66" s="1203">
        <v>10.8</v>
      </c>
      <c r="H66" s="1203">
        <v>11.16</v>
      </c>
      <c r="I66" s="1203">
        <v>0</v>
      </c>
      <c r="J66" s="1203">
        <v>0</v>
      </c>
    </row>
    <row r="67" spans="2:10">
      <c r="B67" s="1203"/>
      <c r="C67" s="1204">
        <v>32540</v>
      </c>
      <c r="D67" s="1203">
        <v>11.34</v>
      </c>
      <c r="E67" s="1203">
        <v>11.34</v>
      </c>
      <c r="F67" s="1203">
        <v>12.78</v>
      </c>
      <c r="G67" s="1203">
        <v>14.4</v>
      </c>
      <c r="H67" s="1203">
        <v>19.260000000000002</v>
      </c>
      <c r="I67" s="1203">
        <v>0</v>
      </c>
      <c r="J67" s="1203">
        <v>0</v>
      </c>
    </row>
    <row r="68" spans="2:10">
      <c r="B68" s="1203"/>
      <c r="C68" s="1204"/>
      <c r="D68" s="1203"/>
      <c r="E68" s="1203"/>
      <c r="F68" s="1203"/>
      <c r="G68" s="1203"/>
      <c r="H68" s="1203"/>
      <c r="I68" s="1203"/>
      <c r="J68" s="1203"/>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206"/>
      <c r="C71" s="1207"/>
      <c r="D71" s="1206"/>
      <c r="E71" s="1206"/>
      <c r="F71" s="1206"/>
      <c r="G71" s="1206"/>
      <c r="H71" s="1206"/>
      <c r="I71" s="1206"/>
      <c r="J71" s="1206"/>
    </row>
    <row r="72" spans="2:10">
      <c r="B72" s="1157"/>
      <c r="C72" s="1157"/>
      <c r="D72" s="1157"/>
      <c r="E72" s="1157"/>
      <c r="F72" s="1157"/>
      <c r="G72" s="1157"/>
      <c r="H72" s="1157"/>
      <c r="I72" s="1157"/>
      <c r="J72" s="1157"/>
    </row>
    <row r="73" spans="2:10">
      <c r="B73" s="1157"/>
      <c r="C73" s="1157"/>
      <c r="D73" s="1157"/>
      <c r="E73" s="1157"/>
      <c r="F73" s="1157"/>
      <c r="G73" s="1157"/>
      <c r="H73" s="1157"/>
      <c r="I73" s="1157"/>
      <c r="J73" s="1157"/>
    </row>
  </sheetData>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T115"/>
  <sheetViews>
    <sheetView topLeftCell="A13" zoomScaleNormal="100" workbookViewId="0">
      <selection activeCell="B37" sqref="B37"/>
    </sheetView>
  </sheetViews>
  <sheetFormatPr defaultRowHeight="13.5"/>
  <cols>
    <col min="1" max="1" width="11.5" style="3141" customWidth="1"/>
    <col min="2" max="2" width="34.25" style="3141" customWidth="1"/>
    <col min="3" max="3" width="14.375" style="3141" customWidth="1"/>
    <col min="4" max="4" width="10.5" style="3141" bestFit="1" customWidth="1"/>
    <col min="5" max="5" width="11.625" style="3141" bestFit="1" customWidth="1"/>
    <col min="6" max="6" width="13.625" style="3141" customWidth="1"/>
    <col min="7" max="10" width="9.5" style="3141" bestFit="1" customWidth="1"/>
    <col min="11" max="11" width="11" style="3141" customWidth="1"/>
    <col min="12" max="12" width="11.625" style="3141" bestFit="1" customWidth="1"/>
    <col min="13" max="13" width="6.875" style="3141" customWidth="1"/>
    <col min="14" max="16" width="9" style="3141"/>
    <col min="17" max="17" width="15.5" style="3141" customWidth="1"/>
    <col min="18" max="18" width="9" style="3141"/>
    <col min="19" max="19" width="10.5" style="3141" bestFit="1" customWidth="1"/>
    <col min="20" max="20" width="9.5" style="3141" bestFit="1" customWidth="1"/>
    <col min="21" max="21" width="10.5" style="3141" bestFit="1" customWidth="1"/>
    <col min="22" max="23" width="9" style="3141"/>
    <col min="24" max="24" width="14.625" style="3141" customWidth="1"/>
    <col min="25" max="33" width="9" style="3141"/>
    <col min="34" max="34" width="10.5" style="3141" bestFit="1" customWidth="1"/>
    <col min="35" max="16384" width="9" style="3141"/>
  </cols>
  <sheetData>
    <row r="1" spans="1:30">
      <c r="B1" s="1446" t="s">
        <v>3376</v>
      </c>
      <c r="C1" s="1446" t="s">
        <v>669</v>
      </c>
      <c r="D1" s="1446" t="s">
        <v>3377</v>
      </c>
      <c r="E1" s="1446" t="s">
        <v>3378</v>
      </c>
      <c r="F1" s="1446" t="s">
        <v>3440</v>
      </c>
      <c r="G1" s="1446" t="s">
        <v>3379</v>
      </c>
      <c r="H1" s="1446" t="s">
        <v>3380</v>
      </c>
      <c r="I1" s="1446" t="s">
        <v>3381</v>
      </c>
      <c r="J1" s="1446" t="s">
        <v>3382</v>
      </c>
      <c r="K1" s="1446" t="s">
        <v>3383</v>
      </c>
      <c r="L1" s="1446" t="s">
        <v>3384</v>
      </c>
      <c r="M1" s="1446" t="s">
        <v>3389</v>
      </c>
      <c r="N1" s="1446" t="s">
        <v>3390</v>
      </c>
      <c r="O1" s="1446" t="s">
        <v>3419</v>
      </c>
      <c r="P1" s="1446" t="s">
        <v>3462</v>
      </c>
      <c r="AD1" s="1446"/>
    </row>
    <row r="2" spans="1:30" ht="24.75" customHeight="1">
      <c r="A2" s="3146">
        <v>1</v>
      </c>
      <c r="B2" s="1446" t="s">
        <v>3479</v>
      </c>
      <c r="C2" s="1446" t="s">
        <v>3499</v>
      </c>
      <c r="D2" s="1446" t="s">
        <v>3418</v>
      </c>
      <c r="E2" s="3141">
        <v>79.790000000000006</v>
      </c>
      <c r="F2" s="3173" t="s">
        <v>3480</v>
      </c>
      <c r="G2" s="1446">
        <v>11</v>
      </c>
      <c r="H2" s="3141">
        <v>4</v>
      </c>
      <c r="I2" s="1446">
        <v>2003</v>
      </c>
      <c r="J2" s="3141">
        <v>53305</v>
      </c>
      <c r="K2" s="3141">
        <v>53362</v>
      </c>
      <c r="L2" s="3151">
        <v>45717</v>
      </c>
      <c r="M2" s="3173" t="s">
        <v>3430</v>
      </c>
      <c r="N2" s="3173" t="s">
        <v>3481</v>
      </c>
      <c r="O2" s="1446" t="s">
        <v>3420</v>
      </c>
      <c r="P2" s="1446" t="s">
        <v>3463</v>
      </c>
    </row>
    <row r="3" spans="1:30" ht="34.5" customHeight="1">
      <c r="A3" s="3138">
        <v>2</v>
      </c>
      <c r="B3" s="1446" t="s">
        <v>3489</v>
      </c>
      <c r="C3" s="1446" t="s">
        <v>3491</v>
      </c>
      <c r="D3" s="1446" t="s">
        <v>3418</v>
      </c>
      <c r="E3" s="3141">
        <v>115.13</v>
      </c>
      <c r="F3" s="3173" t="s">
        <v>3480</v>
      </c>
      <c r="G3" s="1446">
        <v>30</v>
      </c>
      <c r="H3" s="1446" t="s">
        <v>3472</v>
      </c>
      <c r="I3" s="1446">
        <v>2003</v>
      </c>
      <c r="J3" s="3141">
        <v>47772</v>
      </c>
      <c r="K3" s="1446"/>
      <c r="L3" s="3151">
        <v>45597</v>
      </c>
      <c r="M3" s="3173" t="s">
        <v>3427</v>
      </c>
      <c r="N3" s="3173" t="s">
        <v>3481</v>
      </c>
      <c r="O3" s="1446" t="s">
        <v>3475</v>
      </c>
      <c r="P3" s="1446" t="s">
        <v>3463</v>
      </c>
    </row>
    <row r="4" spans="1:30">
      <c r="A4" s="3141">
        <v>3</v>
      </c>
      <c r="B4" s="1446" t="s">
        <v>3489</v>
      </c>
      <c r="C4" s="1446" t="s">
        <v>3491</v>
      </c>
      <c r="D4" s="1446" t="s">
        <v>3418</v>
      </c>
      <c r="E4" s="3141">
        <v>109.66</v>
      </c>
      <c r="F4" s="3173" t="s">
        <v>3480</v>
      </c>
      <c r="G4" s="1446">
        <v>30</v>
      </c>
      <c r="H4" s="1446" t="s">
        <v>3472</v>
      </c>
      <c r="I4" s="1446">
        <v>2003</v>
      </c>
      <c r="J4" s="3141">
        <v>45595</v>
      </c>
      <c r="K4" s="1446"/>
      <c r="L4" s="3151">
        <v>45505</v>
      </c>
      <c r="M4" s="3173" t="s">
        <v>3427</v>
      </c>
      <c r="N4" s="3173" t="s">
        <v>3481</v>
      </c>
      <c r="O4" s="1446" t="s">
        <v>3475</v>
      </c>
      <c r="P4" s="1446" t="s">
        <v>3463</v>
      </c>
    </row>
    <row r="6" spans="1:30">
      <c r="A6" s="3146"/>
    </row>
    <row r="7" spans="1:30" ht="43.5" customHeight="1">
      <c r="A7" s="3138"/>
    </row>
    <row r="9" spans="1:30">
      <c r="I9" s="1446" t="s">
        <v>3475</v>
      </c>
      <c r="J9" s="3141">
        <v>2024.11</v>
      </c>
      <c r="K9" s="3141">
        <v>115.13</v>
      </c>
      <c r="L9" s="1446" t="s">
        <v>3472</v>
      </c>
      <c r="M9" s="1446" t="s">
        <v>3427</v>
      </c>
      <c r="N9" s="1446" t="s">
        <v>3473</v>
      </c>
      <c r="O9" s="3141">
        <f>ROUND(5500000/K9,0)</f>
        <v>47772</v>
      </c>
    </row>
    <row r="10" spans="1:30">
      <c r="J10" s="3141">
        <v>2024.8</v>
      </c>
      <c r="K10" s="3141">
        <v>109.66</v>
      </c>
      <c r="L10" s="1446" t="s">
        <v>3472</v>
      </c>
      <c r="M10" s="1446" t="s">
        <v>3427</v>
      </c>
      <c r="N10" s="1446" t="s">
        <v>3474</v>
      </c>
      <c r="O10" s="3141">
        <f>ROUND(5000000/K10,0)</f>
        <v>45595</v>
      </c>
    </row>
    <row r="13" spans="1:30">
      <c r="Z13" s="1446" t="s">
        <v>3482</v>
      </c>
      <c r="AA13" s="3141">
        <f>ROUND(5500000/109.66,0)</f>
        <v>50155</v>
      </c>
    </row>
    <row r="14" spans="1:30" ht="24.75" customHeight="1"/>
    <row r="15" spans="1:30" ht="24.75" customHeight="1"/>
    <row r="16" spans="1:30" ht="24.75" customHeight="1"/>
    <row r="17" spans="1:46" ht="24.75" customHeight="1"/>
    <row r="18" spans="1:46" ht="24.75" customHeight="1">
      <c r="AB18" s="1446"/>
    </row>
    <row r="19" spans="1:46" ht="24.75" customHeight="1"/>
    <row r="20" spans="1:46" ht="24.75" customHeight="1"/>
    <row r="21" spans="1:46" ht="24.75" customHeight="1"/>
    <row r="22" spans="1:46" ht="24.75" customHeight="1"/>
    <row r="23" spans="1:46" ht="24.75" customHeight="1"/>
    <row r="24" spans="1:46" ht="24.75" customHeight="1"/>
    <row r="25" spans="1:46" ht="24.75" customHeight="1"/>
    <row r="26" spans="1:46" ht="24.75" customHeight="1">
      <c r="AN26" s="1446" t="s">
        <v>3475</v>
      </c>
      <c r="AO26" s="3141">
        <v>2024.11</v>
      </c>
      <c r="AP26" s="3141">
        <v>115.13</v>
      </c>
      <c r="AQ26" s="1446" t="s">
        <v>3472</v>
      </c>
      <c r="AR26" s="1446" t="s">
        <v>3427</v>
      </c>
      <c r="AS26" s="1446" t="s">
        <v>3473</v>
      </c>
      <c r="AT26" s="3141">
        <f>ROUND(5500000/AP26,0)</f>
        <v>47772</v>
      </c>
    </row>
    <row r="27" spans="1:46" ht="24.75" customHeight="1">
      <c r="AO27" s="3141">
        <v>2024.8</v>
      </c>
      <c r="AP27" s="3141">
        <v>109.66</v>
      </c>
      <c r="AQ27" s="1446" t="s">
        <v>3472</v>
      </c>
      <c r="AR27" s="1446" t="s">
        <v>3427</v>
      </c>
      <c r="AS27" s="1446" t="s">
        <v>3474</v>
      </c>
      <c r="AT27" s="3141">
        <f>ROUND(5000000/AP27,0)</f>
        <v>45595</v>
      </c>
    </row>
    <row r="28" spans="1:46" ht="24.75" customHeight="1"/>
    <row r="29" spans="1:46" ht="24.75" customHeight="1"/>
    <row r="30" spans="1:46" ht="24.75" customHeight="1"/>
    <row r="31" spans="1:46" ht="24.75" customHeight="1">
      <c r="A31" s="1446" t="s">
        <v>3487</v>
      </c>
      <c r="B31" s="1446" t="s">
        <v>3485</v>
      </c>
      <c r="C31" s="1446" t="s">
        <v>3378</v>
      </c>
      <c r="D31" s="1446" t="s">
        <v>3486</v>
      </c>
    </row>
    <row r="32" spans="1:46" ht="24.75" customHeight="1">
      <c r="A32" s="3151">
        <v>45718</v>
      </c>
      <c r="B32" s="3141">
        <v>13000</v>
      </c>
      <c r="C32" s="3141">
        <v>114.34</v>
      </c>
      <c r="D32" s="3141">
        <f>ROUND(B32/C32,2)</f>
        <v>113.7</v>
      </c>
    </row>
    <row r="33" spans="1:5" ht="24.75" customHeight="1">
      <c r="A33" s="3151">
        <v>45703</v>
      </c>
      <c r="B33" s="3141">
        <v>12000</v>
      </c>
      <c r="C33" s="3141">
        <v>115.13</v>
      </c>
      <c r="D33" s="3141">
        <f t="shared" ref="D33:D40" si="0">ROUND(B33/C33,2)</f>
        <v>104.23</v>
      </c>
    </row>
    <row r="34" spans="1:5" ht="24.75" customHeight="1">
      <c r="A34" s="3151">
        <v>45654</v>
      </c>
      <c r="B34" s="3141">
        <v>13200</v>
      </c>
      <c r="C34" s="3141">
        <v>115.13</v>
      </c>
      <c r="D34" s="3141">
        <f t="shared" si="0"/>
        <v>114.65</v>
      </c>
    </row>
    <row r="35" spans="1:5" ht="24.75" customHeight="1">
      <c r="A35" s="3151">
        <v>45580</v>
      </c>
      <c r="B35" s="3141">
        <v>16000</v>
      </c>
      <c r="C35" s="3141">
        <v>157</v>
      </c>
      <c r="D35" s="3141">
        <f t="shared" si="0"/>
        <v>101.91</v>
      </c>
    </row>
    <row r="36" spans="1:5" ht="24.75" customHeight="1">
      <c r="A36" s="3151">
        <v>45474</v>
      </c>
      <c r="B36" s="3141">
        <v>12000</v>
      </c>
      <c r="C36" s="3141">
        <v>115</v>
      </c>
      <c r="D36" s="3141">
        <f t="shared" si="0"/>
        <v>104.35</v>
      </c>
    </row>
    <row r="37" spans="1:5" ht="24.75" customHeight="1">
      <c r="A37" s="3151">
        <v>45375</v>
      </c>
      <c r="B37" s="3141">
        <v>11500</v>
      </c>
      <c r="C37" s="3141">
        <v>110</v>
      </c>
      <c r="D37" s="3141">
        <f t="shared" si="0"/>
        <v>104.55</v>
      </c>
    </row>
    <row r="38" spans="1:5">
      <c r="A38" s="3151">
        <v>45352</v>
      </c>
      <c r="B38" s="3141">
        <v>16000</v>
      </c>
      <c r="C38" s="3141">
        <v>156.94</v>
      </c>
      <c r="D38" s="3141">
        <f t="shared" si="0"/>
        <v>101.95</v>
      </c>
    </row>
    <row r="39" spans="1:5">
      <c r="A39" s="3151">
        <v>45316</v>
      </c>
      <c r="B39" s="3141">
        <v>13000</v>
      </c>
      <c r="C39" s="3141">
        <v>109</v>
      </c>
      <c r="D39" s="3141">
        <f t="shared" si="0"/>
        <v>119.27</v>
      </c>
    </row>
    <row r="40" spans="1:5">
      <c r="A40" s="3151">
        <v>45262</v>
      </c>
      <c r="B40" s="3141">
        <v>12500</v>
      </c>
      <c r="C40" s="3141">
        <v>110</v>
      </c>
      <c r="D40" s="3141">
        <f t="shared" si="0"/>
        <v>113.64</v>
      </c>
    </row>
    <row r="41" spans="1:5">
      <c r="D41" s="3141">
        <f>AVERAGE(D32:D40)</f>
        <v>108.69444444444444</v>
      </c>
      <c r="E41" s="3141">
        <f>ROUND(D41*'数据-基础表'!I13,0)</f>
        <v>11919</v>
      </c>
    </row>
    <row r="63" spans="11:12">
      <c r="K63" s="3534">
        <v>45292</v>
      </c>
      <c r="L63" s="3141">
        <v>96.3</v>
      </c>
    </row>
    <row r="64" spans="11:12">
      <c r="K64" s="3534">
        <v>45323</v>
      </c>
      <c r="L64" s="3141">
        <v>94.7</v>
      </c>
    </row>
    <row r="65" spans="10:24">
      <c r="K65" s="3534">
        <v>45352</v>
      </c>
      <c r="L65" s="3141">
        <v>93.6</v>
      </c>
    </row>
    <row r="66" spans="10:24">
      <c r="K66" s="3534">
        <v>45383</v>
      </c>
      <c r="L66" s="3141">
        <v>92</v>
      </c>
    </row>
    <row r="67" spans="10:24">
      <c r="K67" s="3534">
        <v>45413</v>
      </c>
      <c r="L67" s="3141">
        <v>91.4</v>
      </c>
    </row>
    <row r="68" spans="10:24">
      <c r="K68" s="3534">
        <v>45444</v>
      </c>
      <c r="L68" s="3141">
        <v>92.2</v>
      </c>
    </row>
    <row r="69" spans="10:24">
      <c r="K69" s="3534">
        <v>45474</v>
      </c>
      <c r="L69" s="3141">
        <v>92.8</v>
      </c>
    </row>
    <row r="70" spans="10:24">
      <c r="K70" s="3534">
        <v>45505</v>
      </c>
      <c r="L70" s="3141">
        <v>91.5</v>
      </c>
    </row>
    <row r="71" spans="10:24">
      <c r="K71" s="3534">
        <v>45536</v>
      </c>
      <c r="L71" s="3141">
        <v>89.7</v>
      </c>
    </row>
    <row r="72" spans="10:24">
      <c r="K72" s="3534">
        <v>45566</v>
      </c>
      <c r="L72" s="3141">
        <v>91.6</v>
      </c>
    </row>
    <row r="73" spans="10:24">
      <c r="K73" s="3534">
        <v>45597</v>
      </c>
      <c r="L73" s="3141">
        <v>93.8</v>
      </c>
    </row>
    <row r="74" spans="10:24">
      <c r="K74" s="3534">
        <v>45627</v>
      </c>
      <c r="L74" s="3141">
        <v>95.5</v>
      </c>
    </row>
    <row r="75" spans="10:24">
      <c r="K75" s="3534">
        <v>45658</v>
      </c>
      <c r="L75" s="3141">
        <v>96.2</v>
      </c>
    </row>
    <row r="76" spans="10:24">
      <c r="K76" s="3534">
        <v>45689</v>
      </c>
      <c r="L76" s="3141">
        <v>97.1</v>
      </c>
    </row>
    <row r="80" spans="10:24">
      <c r="J80" s="3141">
        <v>3.5000000000000001E-3</v>
      </c>
      <c r="K80" s="3141">
        <v>1</v>
      </c>
      <c r="L80" s="3141">
        <v>2</v>
      </c>
      <c r="M80" s="3141">
        <v>3</v>
      </c>
      <c r="N80" s="3141">
        <v>4</v>
      </c>
      <c r="O80" s="3141">
        <v>5</v>
      </c>
      <c r="P80" s="3141">
        <v>6</v>
      </c>
      <c r="Q80" s="3141">
        <v>7</v>
      </c>
      <c r="R80" s="3141">
        <v>8</v>
      </c>
      <c r="S80" s="3141">
        <v>9</v>
      </c>
      <c r="T80" s="3141">
        <v>10</v>
      </c>
      <c r="U80" s="3141">
        <v>11</v>
      </c>
      <c r="V80" s="3141">
        <v>12</v>
      </c>
      <c r="W80" s="3141">
        <v>13</v>
      </c>
      <c r="X80" s="3141">
        <v>14</v>
      </c>
    </row>
    <row r="81" spans="10:24">
      <c r="J81" s="3141">
        <v>-67.751000000000005</v>
      </c>
      <c r="K81" s="3534">
        <v>45292</v>
      </c>
      <c r="L81" s="3534">
        <v>45323</v>
      </c>
      <c r="M81" s="3534">
        <v>45352</v>
      </c>
      <c r="N81" s="3534">
        <v>45383</v>
      </c>
      <c r="O81" s="3534">
        <v>45413</v>
      </c>
      <c r="P81" s="3534">
        <v>45444</v>
      </c>
      <c r="Q81" s="3534">
        <v>45474</v>
      </c>
      <c r="R81" s="3534">
        <v>45505</v>
      </c>
      <c r="S81" s="3534">
        <v>45536</v>
      </c>
      <c r="T81" s="3534">
        <v>45566</v>
      </c>
      <c r="U81" s="3534">
        <v>45597</v>
      </c>
      <c r="V81" s="3534">
        <v>45627</v>
      </c>
      <c r="W81" s="3534">
        <v>45658</v>
      </c>
      <c r="X81" s="3534">
        <v>45689</v>
      </c>
    </row>
    <row r="82" spans="10:24">
      <c r="K82" s="1446">
        <f>ROUND($J$80*K80+$J$81,2)</f>
        <v>-67.75</v>
      </c>
      <c r="L82" s="1446">
        <f t="shared" ref="L82:X82" si="1">ROUND($J$80*L80+$J$81,2)</f>
        <v>-67.739999999999995</v>
      </c>
      <c r="M82" s="1446">
        <f t="shared" si="1"/>
        <v>-67.739999999999995</v>
      </c>
      <c r="N82" s="1446">
        <f t="shared" si="1"/>
        <v>-67.739999999999995</v>
      </c>
      <c r="O82" s="1446">
        <f t="shared" si="1"/>
        <v>-67.73</v>
      </c>
      <c r="P82" s="1446">
        <f t="shared" si="1"/>
        <v>-67.73</v>
      </c>
      <c r="Q82" s="1446">
        <f t="shared" si="1"/>
        <v>-67.73</v>
      </c>
      <c r="R82" s="1446">
        <f t="shared" si="1"/>
        <v>-67.72</v>
      </c>
      <c r="S82" s="1446">
        <f t="shared" si="1"/>
        <v>-67.72</v>
      </c>
      <c r="T82" s="1446">
        <f t="shared" si="1"/>
        <v>-67.72</v>
      </c>
      <c r="U82" s="1446">
        <f t="shared" si="1"/>
        <v>-67.709999999999994</v>
      </c>
      <c r="V82" s="1446">
        <f t="shared" si="1"/>
        <v>-67.709999999999994</v>
      </c>
      <c r="W82" s="1446">
        <f t="shared" si="1"/>
        <v>-67.709999999999994</v>
      </c>
      <c r="X82" s="1446">
        <f t="shared" si="1"/>
        <v>-67.7</v>
      </c>
    </row>
    <row r="83" spans="10:24">
      <c r="K83" s="3141">
        <f>ROUND(K82*100/$K$82,2)</f>
        <v>100</v>
      </c>
      <c r="L83" s="3141">
        <f t="shared" ref="L83:X83" si="2">ROUND(L82*100/$K$82,2)</f>
        <v>99.99</v>
      </c>
      <c r="M83" s="3141">
        <f t="shared" si="2"/>
        <v>99.99</v>
      </c>
      <c r="N83" s="3141">
        <f t="shared" si="2"/>
        <v>99.99</v>
      </c>
      <c r="O83" s="3141">
        <f t="shared" si="2"/>
        <v>99.97</v>
      </c>
      <c r="P83" s="3141">
        <f t="shared" si="2"/>
        <v>99.97</v>
      </c>
      <c r="Q83" s="3141">
        <f t="shared" si="2"/>
        <v>99.97</v>
      </c>
      <c r="R83" s="3141">
        <f t="shared" si="2"/>
        <v>99.96</v>
      </c>
      <c r="S83" s="3141">
        <f t="shared" si="2"/>
        <v>99.96</v>
      </c>
      <c r="T83" s="3141">
        <f t="shared" si="2"/>
        <v>99.96</v>
      </c>
      <c r="U83" s="3141">
        <f t="shared" si="2"/>
        <v>99.94</v>
      </c>
      <c r="V83" s="3141">
        <f t="shared" si="2"/>
        <v>99.94</v>
      </c>
      <c r="W83" s="3141">
        <f t="shared" si="2"/>
        <v>99.94</v>
      </c>
      <c r="X83" s="3141">
        <f t="shared" si="2"/>
        <v>99.93</v>
      </c>
    </row>
    <row r="84" spans="10:24">
      <c r="U84" s="3141">
        <v>99.95</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60.682400000000001</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5534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17546</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17546</v>
      </c>
      <c r="D8" s="213"/>
      <c r="E8" s="211"/>
      <c r="F8" s="212"/>
      <c r="G8" s="1712" t="s">
        <v>3408</v>
      </c>
    </row>
    <row r="9" spans="1:8" s="205" customFormat="1" ht="13.5" customHeight="1">
      <c r="A9" s="732" t="s">
        <v>355</v>
      </c>
      <c r="B9" s="215" t="s">
        <v>1478</v>
      </c>
      <c r="C9" s="216">
        <f ca="1">ROUND(D9*E9,0)</f>
        <v>17546</v>
      </c>
      <c r="D9" s="794">
        <f ca="1">IF(B1="",'数据-汇总表'!E5,IF(INDIRECT("'数据-取费表'!c"&amp;$G$1)="住宅",INDIRECT("'数据-取费表'!k"&amp;$G$1),0))</f>
        <v>109.66</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109.66</v>
      </c>
      <c r="E19" s="202">
        <f>'数据-取费表'!B31</f>
        <v>200</v>
      </c>
      <c r="F19" s="222"/>
      <c r="G19" s="1712" t="s">
        <v>3409</v>
      </c>
    </row>
    <row r="20" spans="1:7" s="205" customFormat="1" ht="13.5" customHeight="1">
      <c r="A20" s="246" t="s">
        <v>1574</v>
      </c>
      <c r="B20" s="201" t="s">
        <v>1575</v>
      </c>
      <c r="C20" s="223">
        <f ca="1">ROUND((C5+C19)*F20,0)</f>
        <v>351</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1116</v>
      </c>
      <c r="D22" s="226">
        <f ca="1">C26</f>
        <v>5.9999999999999995E-4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1105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11</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2685</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2685</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23506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502243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438640</v>
      </c>
      <c r="D34" s="208"/>
      <c r="E34" s="211"/>
      <c r="F34" s="248"/>
      <c r="G34" s="210"/>
    </row>
    <row r="35" spans="1:7" ht="13.5" customHeight="1">
      <c r="A35" s="733" t="s">
        <v>351</v>
      </c>
      <c r="B35" s="206" t="s">
        <v>1527</v>
      </c>
      <c r="C35" s="211">
        <f ca="1">ROUND(C34*F35,0)</f>
        <v>13159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21932</v>
      </c>
      <c r="D36" s="211"/>
      <c r="E36" s="211"/>
      <c r="F36" s="250">
        <f>'数据-取费表'!B34</f>
        <v>0.05</v>
      </c>
      <c r="G36" s="251" t="s">
        <v>1530</v>
      </c>
    </row>
    <row r="37" spans="1:7" s="249" customFormat="1" ht="13.5" customHeight="1">
      <c r="A37" s="733" t="s">
        <v>353</v>
      </c>
      <c r="B37" s="206" t="s">
        <v>1531</v>
      </c>
      <c r="C37" s="240">
        <f ca="1">ROUND(E37*D37,0)</f>
        <v>21932</v>
      </c>
      <c r="D37" s="208">
        <f ca="1">D19</f>
        <v>109.66</v>
      </c>
      <c r="E37" s="240">
        <f>'数据-取费表'!B35</f>
        <v>200</v>
      </c>
      <c r="F37" s="250"/>
      <c r="G37" s="252"/>
    </row>
    <row r="38" spans="1:7" ht="13.5" customHeight="1">
      <c r="A38" s="733" t="s">
        <v>354</v>
      </c>
      <c r="B38" s="206" t="s">
        <v>1533</v>
      </c>
      <c r="C38" s="211">
        <f ca="1">ROUND(C34*F38,0)</f>
        <v>6580</v>
      </c>
      <c r="D38" s="211"/>
      <c r="E38" s="211"/>
      <c r="F38" s="250">
        <f>'数据-取费表'!B36</f>
        <v>1.4999999999999999E-2</v>
      </c>
      <c r="G38" s="210" t="s">
        <v>1528</v>
      </c>
    </row>
    <row r="39" spans="1:7" s="205" customFormat="1" ht="13.5" customHeight="1">
      <c r="A39" s="246" t="s">
        <v>1534</v>
      </c>
      <c r="B39" s="201" t="s">
        <v>1535</v>
      </c>
      <c r="C39" s="223">
        <f ca="1">ROUND(C33*F20,0)</f>
        <v>10045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15881</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15570</v>
      </c>
      <c r="D42" s="229"/>
      <c r="E42" s="229"/>
      <c r="F42" s="230"/>
      <c r="G42" s="3379" t="s">
        <v>1591</v>
      </c>
    </row>
    <row r="43" spans="1:7" ht="13.5" customHeight="1">
      <c r="A43" s="733" t="s">
        <v>347</v>
      </c>
      <c r="B43" s="206" t="s">
        <v>1545</v>
      </c>
      <c r="C43" s="229">
        <f ca="1">ROUND(IF('数据-取费表'!B22&lt;=1,C39*F22*'数据-取费表'!B20/2,C39*(POWER((1+F22),'数据-取费表'!B20/2)-1)),0)</f>
        <v>311</v>
      </c>
      <c r="D43" s="229"/>
      <c r="E43" s="229"/>
      <c r="F43" s="230"/>
      <c r="G43" s="3380"/>
    </row>
    <row r="44" spans="1:7" ht="13.5" customHeight="1">
      <c r="A44" s="733" t="s">
        <v>348</v>
      </c>
      <c r="B44" s="206" t="s">
        <v>1546</v>
      </c>
      <c r="C44" s="229">
        <f ca="1">ROUND(IF('数据-取费表'!B22&lt;=1,C40*F22*'数据-取费表'!B20/2,C40*(POWER((1+F22),'数据-取费表'!B20/2)-1)),4)</f>
        <v>5.9999999999999995E-4</v>
      </c>
      <c r="D44" s="229"/>
      <c r="E44" s="229"/>
      <c r="F44" s="230"/>
      <c r="G44" s="3381"/>
    </row>
    <row r="45" spans="1:7" s="205" customFormat="1" ht="13.5" customHeight="1">
      <c r="A45" s="246" t="s">
        <v>1547</v>
      </c>
      <c r="B45" s="235" t="s">
        <v>1513</v>
      </c>
      <c r="C45" s="236">
        <f ca="1">C46</f>
        <v>76843</v>
      </c>
      <c r="D45" s="226">
        <f ca="1">C47</f>
        <v>3.0000000000000001E-3</v>
      </c>
      <c r="E45" s="227" t="s">
        <v>1539</v>
      </c>
      <c r="F45" s="237">
        <f ca="1">F27</f>
        <v>0.15</v>
      </c>
      <c r="G45" s="238" t="s">
        <v>1548</v>
      </c>
    </row>
    <row r="46" spans="1:7" s="205" customFormat="1" ht="13.5" customHeight="1">
      <c r="A46" s="733" t="s">
        <v>346</v>
      </c>
      <c r="B46" s="239" t="s">
        <v>1549</v>
      </c>
      <c r="C46" s="240">
        <f ca="1">ROUND((C33+C39)*F27,0)</f>
        <v>76843</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655413</v>
      </c>
      <c r="D49" s="223"/>
      <c r="E49" s="223"/>
      <c r="F49" s="255"/>
      <c r="G49" s="225" t="s">
        <v>1554</v>
      </c>
    </row>
    <row r="50" spans="1:7" s="249" customFormat="1">
      <c r="A50" s="246" t="s">
        <v>1555</v>
      </c>
      <c r="B50" s="201" t="s">
        <v>1556</v>
      </c>
      <c r="C50" s="223"/>
      <c r="D50" s="223"/>
      <c r="E50" s="223"/>
      <c r="F50" s="255">
        <f>IF('数据-取费表'!B24=0,'数据-取费表'!N16,1)</f>
        <v>0.89</v>
      </c>
      <c r="G50" s="238"/>
    </row>
    <row r="51" spans="1:7" ht="16.5" customHeight="1">
      <c r="A51" s="246" t="s">
        <v>1558</v>
      </c>
      <c r="B51" s="201" t="s">
        <v>1593</v>
      </c>
      <c r="C51" s="223">
        <f ca="1">ROUND(C49*F50,0)</f>
        <v>583318</v>
      </c>
      <c r="D51" s="223"/>
      <c r="E51" s="223"/>
      <c r="F51" s="255"/>
      <c r="G51" s="225" t="s">
        <v>1560</v>
      </c>
    </row>
    <row r="52" spans="1:7" s="199" customFormat="1" ht="16.5" thickBot="1">
      <c r="A52" s="256" t="s">
        <v>1561</v>
      </c>
      <c r="B52" s="257"/>
      <c r="C52" s="258">
        <f ca="1">C31+C51</f>
        <v>606824</v>
      </c>
      <c r="D52" s="257"/>
      <c r="E52" s="257"/>
      <c r="F52" s="257"/>
      <c r="G52" s="259"/>
    </row>
    <row r="55" spans="1:7" ht="15">
      <c r="B55" s="261" t="s">
        <v>1562</v>
      </c>
      <c r="C55" s="262"/>
    </row>
    <row r="56" spans="1:7">
      <c r="B56" s="264" t="s">
        <v>802</v>
      </c>
      <c r="C56" s="266">
        <f ca="1">1-C57</f>
        <v>3.9000000000000035E-2</v>
      </c>
    </row>
    <row r="57" spans="1:7">
      <c r="B57" s="264" t="s">
        <v>803</v>
      </c>
      <c r="C57" s="265">
        <f ca="1">ROUND(C51/C52,3)</f>
        <v>0.96099999999999997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109.66</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3403</v>
      </c>
      <c r="F3" s="1843" t="s">
        <v>3404</v>
      </c>
      <c r="G3" s="707">
        <f>IF(F3="宗地容积率",'数据-汇总表'!I4,IF(F3="估价对象容积率",'数据-汇总表'!I6,'数据-汇总表'!I7))</f>
        <v>0</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92"/>
      <c r="B4" s="3493"/>
      <c r="C4" s="3493"/>
      <c r="D4" s="3494"/>
      <c r="E4" s="3494"/>
      <c r="F4" s="3494"/>
      <c r="G4" s="3494"/>
      <c r="H4" s="3494"/>
      <c r="I4" s="3494"/>
      <c r="J4" s="3495"/>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0</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9" t="s">
        <v>1957</v>
      </c>
      <c r="X8" s="3490"/>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91"/>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91"/>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3400</v>
      </c>
      <c r="D15" s="1882" t="s">
        <v>3400</v>
      </c>
      <c r="E15" s="1883" t="s">
        <v>3401</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6" t="s">
        <v>3254</v>
      </c>
      <c r="B20" s="158" t="s">
        <v>1991</v>
      </c>
      <c r="C20" s="3025">
        <f>ROUND(IF(F21="与级别开发程度一致",0,(G21-E21)/C21),0)</f>
        <v>0</v>
      </c>
      <c r="D20" s="3040" t="s">
        <v>1995</v>
      </c>
      <c r="E20" s="3041"/>
      <c r="F20" s="3502" t="s">
        <v>1992</v>
      </c>
      <c r="G20" s="3503"/>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7"/>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3402</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45727</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16</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0.9244</v>
      </c>
      <c r="D24" s="1897" t="s">
        <v>2004</v>
      </c>
      <c r="E24" s="1246">
        <f>存贷款利率!E23/100</f>
        <v>4.3499999999999997E-2</v>
      </c>
      <c r="F24" s="1897" t="s">
        <v>1996</v>
      </c>
      <c r="G24" s="723">
        <f>SUMIF(M30:Q30,E2,M33:Q33)</f>
        <v>0.05</v>
      </c>
      <c r="H24" s="1897" t="s">
        <v>2005</v>
      </c>
      <c r="I24" s="724">
        <f>SUMIF('数据-取费表'!C6:C15,E2,'数据-取费表'!F6:F15)/COUNTIF('数据-取费表'!C6:C15,E2)</f>
        <v>46</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109.66</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500"/>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3.5999999999999997E-2</v>
      </c>
      <c r="M37" s="2360">
        <f ca="1">ROUND($L$37*(1+M31),3)</f>
        <v>4.4999999999999998E-2</v>
      </c>
      <c r="N37" s="2360">
        <f ca="1">ROUND($L$37*(1+N31),3)</f>
        <v>4.2999999999999997E-2</v>
      </c>
      <c r="O37" s="2360">
        <f ca="1">ROUND($L$37*(1+O31),3)</f>
        <v>4.1000000000000002E-2</v>
      </c>
      <c r="P37" s="2360">
        <f ca="1">ROUND($L$37*(1+P31),3)</f>
        <v>0.04</v>
      </c>
      <c r="Q37" s="2360">
        <f ca="1">ROUND($L$37*(1+Q31),3)</f>
        <v>4.1000000000000002E-2</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501"/>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501"/>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76.5" hidden="1">
      <c r="A51" s="1965" t="s">
        <v>2050</v>
      </c>
      <c r="B51" s="1260" t="str">
        <f>估价对象房地状况!C18</f>
        <v>周边有98路、113路、140路、405路等多条公交线路，地铁1号线与10号线换乘站国贸站，地铁6号线与10号线换乘站呼家楼站，综合评价交通便捷度好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2058</v>
      </c>
      <c r="B58" s="1973" t="str">
        <f>估价对象房地状况!C20</f>
        <v>自然环境：团结湖公园、日坛公园等自然景观；
人文环境：东岳庙、当代美术馆等人文场所；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76.5" hidden="1">
      <c r="A62" s="1965" t="s">
        <v>2050</v>
      </c>
      <c r="B62" s="1260" t="str">
        <f>估价对象房地状况!C18</f>
        <v>周边有98路、113路、140路、405路等多条公交线路，地铁1号线与10号线换乘站国贸站，地铁6号线与10号线换乘站呼家楼站，综合评价交通便捷度好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2058</v>
      </c>
      <c r="B69" s="1974" t="str">
        <f>估价对象房地状况!C20</f>
        <v>自然环境：团结湖公园、日坛公园等自然景观；
人文环境：东岳庙、当代美术馆等人文场所；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周边有财富中心、新城国际、金茂公寓、建外SOHO等住宅小区，居住社区成熟度较好。</v>
      </c>
      <c r="C72" s="1882" t="s">
        <v>3405</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76.5">
      <c r="A73" s="1965" t="s">
        <v>2050</v>
      </c>
      <c r="B73" s="1260" t="str">
        <f>估价对象房地状况!C18</f>
        <v>周边有98路、113路、140路、405路等多条公交线路，地铁1号线与10号线换乘站国贸站，地铁6号线与10号线换乘站呼家楼站，综合评价交通便捷度好</v>
      </c>
      <c r="C73" s="1882" t="s">
        <v>3405</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3405</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3406</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76" s="1882" t="s">
        <v>3405</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3407</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3405</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2058</v>
      </c>
      <c r="B79" s="1968" t="str">
        <f>估价对象房地状况!C20</f>
        <v>自然环境：团结湖公园、日坛公园等自然景观；
人文环境：东岳庙、当代美术馆等人文场所；
综合评价环境状况较好。</v>
      </c>
      <c r="C79" s="1882" t="s">
        <v>3406</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3405</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76.5">
      <c r="A94" s="3074" t="s">
        <v>3273</v>
      </c>
      <c r="B94" s="3065" t="str">
        <f>估价对象房地状况!C18</f>
        <v>周边有98路、113路、140路、405路等多条公交线路，地铁1号线与10号线换乘站国贸站，地铁6号线与10号线换乘站呼家楼站，综合评价交通便捷度好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3277</v>
      </c>
      <c r="B99" s="3065"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64.5" thickBot="1">
      <c r="A101" s="3075" t="s">
        <v>3279</v>
      </c>
      <c r="B101" s="3082" t="str">
        <f>估价对象房地状况!C20</f>
        <v>自然环境：团结湖公园、日坛公园等自然景观；
人文环境：东岳庙、当代美术馆等人文场所；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8" t="s">
        <v>3294</v>
      </c>
      <c r="B103" s="3498"/>
      <c r="C103" s="3498"/>
      <c r="D103" s="3498"/>
      <c r="E103" s="3498"/>
      <c r="F103" s="3498"/>
      <c r="G103" s="3498"/>
      <c r="H103" s="3498"/>
      <c r="I103" s="3498"/>
      <c r="J103" s="3498"/>
      <c r="K103" s="1665"/>
      <c r="L103" s="1665"/>
      <c r="M103" s="1665"/>
      <c r="N103" s="1665"/>
    </row>
    <row r="104" spans="1:14">
      <c r="A104" s="3499" t="s">
        <v>3295</v>
      </c>
      <c r="B104" s="3499" t="s">
        <v>3296</v>
      </c>
      <c r="C104" s="3084" t="s">
        <v>3297</v>
      </c>
      <c r="D104" s="3085"/>
      <c r="E104" s="3085"/>
      <c r="F104" s="3085"/>
      <c r="G104" s="3085"/>
      <c r="H104" s="3085"/>
      <c r="I104" s="3085"/>
      <c r="J104" s="3086"/>
      <c r="K104" s="3087"/>
      <c r="L104" s="3087"/>
      <c r="M104" s="3087"/>
      <c r="N104" s="3087"/>
    </row>
    <row r="105" spans="1:14">
      <c r="A105" s="3499"/>
      <c r="B105" s="3499"/>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85"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6"/>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6"/>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6"/>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6"/>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6"/>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7"/>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8" t="s">
        <v>3311</v>
      </c>
      <c r="B113" s="3488"/>
      <c r="C113" s="3488"/>
      <c r="D113" s="3488"/>
      <c r="E113" s="3488"/>
      <c r="F113" s="3488"/>
      <c r="G113" s="3488"/>
      <c r="H113" s="3488"/>
      <c r="I113" s="3488"/>
      <c r="J113" s="3488"/>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0</v>
      </c>
      <c r="C116" s="3093" t="s">
        <v>3313</v>
      </c>
      <c r="D116" s="3094">
        <f>SUMPRODUCT((A118:A122=F116)*(B117:M117=H116)*B118:M122)</f>
        <v>0.93700000000000006</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0.99680000000000002</v>
      </c>
      <c r="C118" s="3083">
        <f>B118</f>
        <v>0.99680000000000002</v>
      </c>
      <c r="D118" s="3083">
        <f>ROUND(0.949-0.014*B116,4)</f>
        <v>0.94899999999999995</v>
      </c>
      <c r="E118" s="3083">
        <f>D118</f>
        <v>0.94899999999999995</v>
      </c>
      <c r="F118" s="3083">
        <f>E118</f>
        <v>0.94899999999999995</v>
      </c>
      <c r="G118" s="3083">
        <f>F118</f>
        <v>0.94899999999999995</v>
      </c>
      <c r="H118" s="3083">
        <f>G118</f>
        <v>0.94899999999999995</v>
      </c>
      <c r="I118" s="3083">
        <f>ROUND(0.8486-0.018*B116,4)</f>
        <v>0.84860000000000002</v>
      </c>
      <c r="J118" s="3083">
        <f t="shared" ref="J118:M122" si="32">I118</f>
        <v>0.84860000000000002</v>
      </c>
      <c r="K118" s="3083">
        <f t="shared" si="32"/>
        <v>0.84860000000000002</v>
      </c>
      <c r="L118" s="3083">
        <f t="shared" si="32"/>
        <v>0.84860000000000002</v>
      </c>
      <c r="M118" s="3103">
        <f t="shared" si="32"/>
        <v>0.84860000000000002</v>
      </c>
      <c r="N118" s="3091"/>
    </row>
    <row r="119" spans="1:14">
      <c r="A119" s="3051" t="s">
        <v>3329</v>
      </c>
      <c r="B119" s="3083">
        <f>ROUND(0.993-0.0112*B116,4)</f>
        <v>0.99299999999999999</v>
      </c>
      <c r="C119" s="3083">
        <f>B119</f>
        <v>0.99299999999999999</v>
      </c>
      <c r="D119" s="3083">
        <f>ROUND(0.9415-0.0142*B116,4)</f>
        <v>0.9415</v>
      </c>
      <c r="E119" s="3083">
        <f t="shared" ref="E119:H120" si="33">D119</f>
        <v>0.9415</v>
      </c>
      <c r="F119" s="3083">
        <f t="shared" si="33"/>
        <v>0.9415</v>
      </c>
      <c r="G119" s="3083">
        <f t="shared" si="33"/>
        <v>0.9415</v>
      </c>
      <c r="H119" s="3083">
        <f t="shared" si="33"/>
        <v>0.9415</v>
      </c>
      <c r="I119" s="3083">
        <f>ROUND(0.838-0.0182*B116,4)</f>
        <v>0.83799999999999997</v>
      </c>
      <c r="J119" s="3083">
        <f t="shared" si="32"/>
        <v>0.83799999999999997</v>
      </c>
      <c r="K119" s="3083">
        <f t="shared" si="32"/>
        <v>0.83799999999999997</v>
      </c>
      <c r="L119" s="3083">
        <f t="shared" si="32"/>
        <v>0.83799999999999997</v>
      </c>
      <c r="M119" s="3103">
        <f t="shared" si="32"/>
        <v>0.83799999999999997</v>
      </c>
      <c r="N119" s="3091"/>
    </row>
    <row r="120" spans="1:14">
      <c r="A120" s="3051" t="s">
        <v>3330</v>
      </c>
      <c r="B120" s="3083">
        <f>ROUND(0.9448-0.0115*B116,4)</f>
        <v>0.94479999999999997</v>
      </c>
      <c r="C120" s="3083">
        <f>B120</f>
        <v>0.94479999999999997</v>
      </c>
      <c r="D120" s="3083">
        <f>ROUND(0.937-0.0145*B116,4)</f>
        <v>0.93700000000000006</v>
      </c>
      <c r="E120" s="3083">
        <f t="shared" si="33"/>
        <v>0.93700000000000006</v>
      </c>
      <c r="F120" s="3083">
        <f t="shared" si="33"/>
        <v>0.93700000000000006</v>
      </c>
      <c r="G120" s="3083">
        <f t="shared" si="33"/>
        <v>0.93700000000000006</v>
      </c>
      <c r="H120" s="3083">
        <f t="shared" si="33"/>
        <v>0.93700000000000006</v>
      </c>
      <c r="I120" s="3083">
        <f>ROUND(0.7965-0.0185*B116,4)</f>
        <v>0.79649999999999999</v>
      </c>
      <c r="J120" s="3083">
        <f t="shared" si="32"/>
        <v>0.79649999999999999</v>
      </c>
      <c r="K120" s="3083">
        <f t="shared" si="32"/>
        <v>0.79649999999999999</v>
      </c>
      <c r="L120" s="3083">
        <f t="shared" si="32"/>
        <v>0.79649999999999999</v>
      </c>
      <c r="M120" s="3103">
        <f t="shared" si="32"/>
        <v>0.79649999999999999</v>
      </c>
      <c r="N120" s="3091"/>
    </row>
    <row r="121" spans="1:14" ht="13.5" thickBot="1">
      <c r="A121" s="3104" t="s">
        <v>3331</v>
      </c>
      <c r="B121" s="3105">
        <f>ROUND(0.7836-0.012*B116,4)</f>
        <v>0.78359999999999996</v>
      </c>
      <c r="C121" s="3105">
        <f>B121</f>
        <v>0.78359999999999996</v>
      </c>
      <c r="D121" s="3105">
        <f>ROUND(0.753-0.015*B116,4)</f>
        <v>0.753</v>
      </c>
      <c r="E121" s="3105">
        <f>D121</f>
        <v>0.753</v>
      </c>
      <c r="F121" s="3105">
        <f>E121</f>
        <v>0.753</v>
      </c>
      <c r="G121" s="3105">
        <f>ROUND(0.6612-0.018*B116,4)</f>
        <v>0.66120000000000001</v>
      </c>
      <c r="H121" s="3105">
        <f>G121</f>
        <v>0.66120000000000001</v>
      </c>
      <c r="I121" s="3105">
        <f>ROUND(0.5905-0.019*B116,4)</f>
        <v>0.59050000000000002</v>
      </c>
      <c r="J121" s="3105">
        <f t="shared" si="32"/>
        <v>0.59050000000000002</v>
      </c>
      <c r="K121" s="3105">
        <f t="shared" si="32"/>
        <v>0.59050000000000002</v>
      </c>
      <c r="L121" s="3105">
        <f t="shared" si="32"/>
        <v>0.59050000000000002</v>
      </c>
      <c r="M121" s="3106">
        <f t="shared" si="32"/>
        <v>0.59050000000000002</v>
      </c>
      <c r="N121" s="3091"/>
    </row>
    <row r="122" spans="1:14">
      <c r="A122" s="3107" t="s">
        <v>2610</v>
      </c>
      <c r="B122" s="3083">
        <f>ROUND(0.9404-0.0106*B116,4)</f>
        <v>0.94040000000000001</v>
      </c>
      <c r="C122" s="3083">
        <f>B122</f>
        <v>0.94040000000000001</v>
      </c>
      <c r="D122" s="3083">
        <f>ROUND(0.8955-0.0135*B116,4)</f>
        <v>0.89549999999999996</v>
      </c>
      <c r="E122" s="3083">
        <f>D122</f>
        <v>0.89549999999999996</v>
      </c>
      <c r="F122" s="3083">
        <f>E122</f>
        <v>0.89549999999999996</v>
      </c>
      <c r="G122" s="3083">
        <f>F122</f>
        <v>0.89549999999999996</v>
      </c>
      <c r="H122" s="3083">
        <f>G122</f>
        <v>0.89549999999999996</v>
      </c>
      <c r="I122" s="3083">
        <f>ROUND(0.7632-0.0166*B116,4)</f>
        <v>0.76319999999999999</v>
      </c>
      <c r="J122" s="3083">
        <f t="shared" si="32"/>
        <v>0.76319999999999999</v>
      </c>
      <c r="K122" s="3083">
        <f t="shared" si="32"/>
        <v>0.76319999999999999</v>
      </c>
      <c r="L122" s="3083">
        <f t="shared" si="32"/>
        <v>0.76319999999999999</v>
      </c>
      <c r="M122" s="3103">
        <f t="shared" si="32"/>
        <v>0.76319999999999999</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11" t="s">
        <v>2605</v>
      </c>
      <c r="B20" s="3504" t="s">
        <v>2626</v>
      </c>
      <c r="C20" s="2836" t="s">
        <v>2437</v>
      </c>
      <c r="D20" s="2837"/>
      <c r="E20" s="2838">
        <v>1</v>
      </c>
      <c r="F20" s="2839" t="s">
        <v>2438</v>
      </c>
      <c r="G20" s="2839"/>
    </row>
    <row r="21" spans="1:13" ht="19.5" customHeight="1">
      <c r="A21" s="3512"/>
      <c r="B21" s="3505"/>
      <c r="C21" s="2840" t="s">
        <v>2439</v>
      </c>
      <c r="D21" s="2841"/>
      <c r="E21" s="2842">
        <v>1</v>
      </c>
      <c r="F21" s="2839" t="s">
        <v>2440</v>
      </c>
      <c r="G21" s="2839"/>
    </row>
    <row r="22" spans="1:13" ht="19.5" customHeight="1">
      <c r="A22" s="3512"/>
      <c r="B22" s="3505"/>
      <c r="C22" s="2840" t="s">
        <v>2441</v>
      </c>
      <c r="D22" s="2841"/>
      <c r="E22" s="2842">
        <v>0.9</v>
      </c>
      <c r="F22" s="2839" t="s">
        <v>2442</v>
      </c>
      <c r="G22" s="2839"/>
    </row>
    <row r="23" spans="1:13" ht="19.5" customHeight="1">
      <c r="A23" s="3512"/>
      <c r="B23" s="3505"/>
      <c r="C23" s="2840" t="s">
        <v>2443</v>
      </c>
      <c r="D23" s="2841"/>
      <c r="E23" s="2842">
        <v>0.9</v>
      </c>
      <c r="F23" s="2839" t="s">
        <v>2444</v>
      </c>
      <c r="G23" s="2839"/>
    </row>
    <row r="24" spans="1:13" ht="19.5" customHeight="1">
      <c r="A24" s="3512"/>
      <c r="B24" s="3505"/>
      <c r="C24" s="2840" t="s">
        <v>2445</v>
      </c>
      <c r="D24" s="2841"/>
      <c r="E24" s="2842">
        <v>0.8</v>
      </c>
      <c r="F24" s="2839" t="s">
        <v>2446</v>
      </c>
      <c r="G24" s="2839"/>
    </row>
    <row r="25" spans="1:13" ht="19.5" customHeight="1" thickBot="1">
      <c r="A25" s="3513"/>
      <c r="B25" s="3506"/>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7" t="s">
        <v>2629</v>
      </c>
      <c r="B27" s="3504" t="s">
        <v>2610</v>
      </c>
      <c r="C27" s="2836" t="s">
        <v>2450</v>
      </c>
      <c r="D27" s="2837"/>
      <c r="E27" s="2838">
        <v>1</v>
      </c>
      <c r="F27" s="2839" t="s">
        <v>2451</v>
      </c>
      <c r="G27" s="2839"/>
    </row>
    <row r="28" spans="1:13" ht="19.5" customHeight="1">
      <c r="A28" s="3508"/>
      <c r="B28" s="3505"/>
      <c r="C28" s="2840" t="s">
        <v>2452</v>
      </c>
      <c r="D28" s="2841"/>
      <c r="E28" s="2842">
        <v>1</v>
      </c>
      <c r="F28" s="2839" t="s">
        <v>2453</v>
      </c>
      <c r="G28" s="2839"/>
    </row>
    <row r="29" spans="1:13" ht="19.5" customHeight="1">
      <c r="A29" s="3508"/>
      <c r="B29" s="3505"/>
      <c r="C29" s="2840" t="s">
        <v>2454</v>
      </c>
      <c r="D29" s="2841"/>
      <c r="E29" s="2842">
        <v>0.8</v>
      </c>
      <c r="F29" s="2839" t="s">
        <v>2455</v>
      </c>
      <c r="G29" s="2839"/>
    </row>
    <row r="30" spans="1:13" ht="19.5" customHeight="1">
      <c r="A30" s="3508"/>
      <c r="B30" s="3505"/>
      <c r="C30" s="2840" t="s">
        <v>2456</v>
      </c>
      <c r="D30" s="2841"/>
      <c r="E30" s="2842">
        <v>0.8</v>
      </c>
      <c r="F30" s="2839" t="s">
        <v>2457</v>
      </c>
      <c r="G30" s="2839"/>
    </row>
    <row r="31" spans="1:13" ht="19.5" customHeight="1">
      <c r="A31" s="3508"/>
      <c r="B31" s="3505"/>
      <c r="C31" s="2840" t="s">
        <v>2458</v>
      </c>
      <c r="D31" s="2841"/>
      <c r="E31" s="2842">
        <v>0.8</v>
      </c>
      <c r="F31" s="2839" t="s">
        <v>2459</v>
      </c>
      <c r="G31" s="2839"/>
    </row>
    <row r="32" spans="1:13" ht="19.5" customHeight="1">
      <c r="A32" s="3508"/>
      <c r="B32" s="3505"/>
      <c r="C32" s="2840" t="s">
        <v>2460</v>
      </c>
      <c r="D32" s="2841"/>
      <c r="E32" s="2842">
        <v>0.7</v>
      </c>
      <c r="F32" s="2839" t="s">
        <v>2461</v>
      </c>
      <c r="G32" s="2839"/>
    </row>
    <row r="33" spans="1:7" ht="19.5" customHeight="1">
      <c r="A33" s="3508"/>
      <c r="B33" s="3505"/>
      <c r="C33" s="2840" t="s">
        <v>2462</v>
      </c>
      <c r="D33" s="2841"/>
      <c r="E33" s="2842">
        <v>0.8</v>
      </c>
      <c r="F33" s="2839" t="s">
        <v>2463</v>
      </c>
      <c r="G33" s="2839"/>
    </row>
    <row r="34" spans="1:7" ht="19.5" customHeight="1">
      <c r="A34" s="3508"/>
      <c r="B34" s="3505"/>
      <c r="C34" s="2840" t="s">
        <v>2464</v>
      </c>
      <c r="D34" s="2841"/>
      <c r="E34" s="2842">
        <v>0.6</v>
      </c>
      <c r="F34" s="2839" t="s">
        <v>2465</v>
      </c>
      <c r="G34" s="2839"/>
    </row>
    <row r="35" spans="1:7" ht="19.5" customHeight="1">
      <c r="A35" s="3508"/>
      <c r="B35" s="3505"/>
      <c r="C35" s="2840" t="s">
        <v>2466</v>
      </c>
      <c r="D35" s="2841"/>
      <c r="E35" s="2842">
        <v>0.2</v>
      </c>
      <c r="F35" s="2839" t="s">
        <v>2467</v>
      </c>
      <c r="G35" s="2839"/>
    </row>
    <row r="36" spans="1:7" ht="19.5" customHeight="1">
      <c r="A36" s="3508"/>
      <c r="B36" s="3505"/>
      <c r="C36" s="2840" t="s">
        <v>2468</v>
      </c>
      <c r="D36" s="2841"/>
      <c r="E36" s="2842">
        <v>0.2</v>
      </c>
      <c r="F36" s="2839" t="s">
        <v>2469</v>
      </c>
      <c r="G36" s="2839"/>
    </row>
    <row r="37" spans="1:7" ht="19.5" customHeight="1">
      <c r="A37" s="3508"/>
      <c r="B37" s="3510" t="s">
        <v>2630</v>
      </c>
      <c r="C37" s="2840" t="s">
        <v>2470</v>
      </c>
      <c r="D37" s="2841"/>
      <c r="E37" s="2842">
        <v>0.6</v>
      </c>
      <c r="F37" s="2839" t="s">
        <v>2471</v>
      </c>
      <c r="G37" s="2839"/>
    </row>
    <row r="38" spans="1:7" ht="19.5" customHeight="1">
      <c r="A38" s="3508"/>
      <c r="B38" s="3505"/>
      <c r="C38" s="2840" t="s">
        <v>2472</v>
      </c>
      <c r="D38" s="2841"/>
      <c r="E38" s="2842">
        <v>0.6</v>
      </c>
      <c r="F38" s="2839" t="s">
        <v>2473</v>
      </c>
      <c r="G38" s="2839"/>
    </row>
    <row r="39" spans="1:7" ht="19.5" customHeight="1" thickBot="1">
      <c r="A39" s="3509"/>
      <c r="B39" s="3506"/>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11" t="s">
        <v>2608</v>
      </c>
      <c r="B41" s="3504" t="s">
        <v>2632</v>
      </c>
      <c r="C41" s="2836" t="s">
        <v>2477</v>
      </c>
      <c r="D41" s="2837"/>
      <c r="E41" s="2838">
        <v>1</v>
      </c>
      <c r="F41" s="2839" t="s">
        <v>2478</v>
      </c>
      <c r="G41" s="2839"/>
    </row>
    <row r="42" spans="1:7" ht="19.5" customHeight="1">
      <c r="A42" s="3512"/>
      <c r="B42" s="3505"/>
      <c r="C42" s="2840" t="s">
        <v>2479</v>
      </c>
      <c r="D42" s="2841"/>
      <c r="E42" s="2842">
        <v>1</v>
      </c>
      <c r="F42" s="2839" t="s">
        <v>2480</v>
      </c>
      <c r="G42" s="2839"/>
    </row>
    <row r="43" spans="1:7" ht="19.5" customHeight="1">
      <c r="A43" s="3512"/>
      <c r="B43" s="3514"/>
      <c r="C43" s="2840" t="s">
        <v>2481</v>
      </c>
      <c r="D43" s="2841"/>
      <c r="E43" s="2842">
        <v>1.5</v>
      </c>
      <c r="F43" s="2839" t="s">
        <v>2482</v>
      </c>
      <c r="G43" s="2839"/>
    </row>
    <row r="44" spans="1:7" ht="19.5" customHeight="1">
      <c r="A44" s="3512"/>
      <c r="B44" s="2851" t="s">
        <v>2633</v>
      </c>
      <c r="C44" s="2840" t="s">
        <v>2634</v>
      </c>
      <c r="D44" s="2841"/>
      <c r="E44" s="2842">
        <v>2</v>
      </c>
      <c r="F44" s="2839" t="s">
        <v>2483</v>
      </c>
      <c r="G44" s="2839"/>
    </row>
    <row r="45" spans="1:7" ht="19.5" customHeight="1">
      <c r="A45" s="3512"/>
      <c r="B45" s="3510" t="s">
        <v>2635</v>
      </c>
      <c r="C45" s="2840" t="s">
        <v>2484</v>
      </c>
      <c r="D45" s="2841"/>
      <c r="E45" s="2842">
        <v>1</v>
      </c>
      <c r="F45" s="2839" t="s">
        <v>2485</v>
      </c>
      <c r="G45" s="2839"/>
    </row>
    <row r="46" spans="1:7" ht="19.5" customHeight="1">
      <c r="A46" s="3512"/>
      <c r="B46" s="3505"/>
      <c r="C46" s="2840" t="s">
        <v>2486</v>
      </c>
      <c r="D46" s="2841"/>
      <c r="E46" s="2842">
        <v>1</v>
      </c>
      <c r="F46" s="2839" t="s">
        <v>2487</v>
      </c>
      <c r="G46" s="2839"/>
    </row>
    <row r="47" spans="1:7" ht="19.5" customHeight="1">
      <c r="A47" s="3512"/>
      <c r="B47" s="3505"/>
      <c r="C47" s="2840" t="s">
        <v>2488</v>
      </c>
      <c r="D47" s="2841"/>
      <c r="E47" s="2842">
        <v>1</v>
      </c>
      <c r="F47" s="2839" t="s">
        <v>2489</v>
      </c>
      <c r="G47" s="2839"/>
    </row>
    <row r="48" spans="1:7" ht="19.5" customHeight="1">
      <c r="A48" s="3512"/>
      <c r="B48" s="3505"/>
      <c r="C48" s="2840" t="s">
        <v>2490</v>
      </c>
      <c r="D48" s="2841"/>
      <c r="E48" s="2842">
        <v>1</v>
      </c>
      <c r="F48" s="2839" t="s">
        <v>2491</v>
      </c>
      <c r="G48" s="2839"/>
    </row>
    <row r="49" spans="1:7" ht="19.5" customHeight="1">
      <c r="A49" s="3512"/>
      <c r="B49" s="3505"/>
      <c r="C49" s="2840" t="s">
        <v>2492</v>
      </c>
      <c r="D49" s="2841"/>
      <c r="E49" s="2842">
        <v>1</v>
      </c>
      <c r="F49" s="2839" t="s">
        <v>2493</v>
      </c>
      <c r="G49" s="2839"/>
    </row>
    <row r="50" spans="1:7" ht="19.5" customHeight="1">
      <c r="A50" s="3512"/>
      <c r="B50" s="3505"/>
      <c r="C50" s="2840" t="s">
        <v>2494</v>
      </c>
      <c r="D50" s="2841"/>
      <c r="E50" s="2842">
        <v>1</v>
      </c>
      <c r="F50" s="2839" t="s">
        <v>2495</v>
      </c>
      <c r="G50" s="2839"/>
    </row>
    <row r="51" spans="1:7" ht="19.5" customHeight="1" thickBot="1">
      <c r="A51" s="3513"/>
      <c r="B51" s="3506"/>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10" t="s">
        <v>2649</v>
      </c>
      <c r="C73" s="2825" t="s">
        <v>2650</v>
      </c>
      <c r="D73" s="2825" t="s">
        <v>2651</v>
      </c>
      <c r="E73" s="2851">
        <v>0.2</v>
      </c>
      <c r="F73" s="2851">
        <v>25</v>
      </c>
    </row>
    <row r="74" spans="1:7" ht="24">
      <c r="A74" s="2851">
        <v>2</v>
      </c>
      <c r="B74" s="3505"/>
      <c r="C74" s="2825" t="s">
        <v>2652</v>
      </c>
      <c r="D74" s="2825" t="s">
        <v>2653</v>
      </c>
      <c r="E74" s="2851">
        <v>0.2</v>
      </c>
      <c r="F74" s="2851">
        <v>25</v>
      </c>
    </row>
    <row r="75" spans="1:7" ht="24">
      <c r="A75" s="2851">
        <v>3</v>
      </c>
      <c r="B75" s="3505"/>
      <c r="C75" s="2825" t="s">
        <v>2654</v>
      </c>
      <c r="D75" s="2825" t="s">
        <v>2655</v>
      </c>
      <c r="E75" s="2851">
        <v>0.2</v>
      </c>
      <c r="F75" s="2851">
        <v>25</v>
      </c>
    </row>
    <row r="76" spans="1:7" ht="13.5">
      <c r="A76" s="2851">
        <v>4</v>
      </c>
      <c r="B76" s="3505"/>
      <c r="C76" s="2825" t="s">
        <v>2656</v>
      </c>
      <c r="D76" s="2825" t="s">
        <v>2657</v>
      </c>
      <c r="E76" s="2851">
        <v>0.15</v>
      </c>
      <c r="F76" s="2851">
        <v>20</v>
      </c>
    </row>
    <row r="77" spans="1:7" ht="24">
      <c r="A77" s="2851">
        <v>5</v>
      </c>
      <c r="B77" s="3505"/>
      <c r="C77" s="2825" t="s">
        <v>2658</v>
      </c>
      <c r="D77" s="2825" t="s">
        <v>2659</v>
      </c>
      <c r="E77" s="2851">
        <v>0.15</v>
      </c>
      <c r="F77" s="2851">
        <v>20</v>
      </c>
    </row>
    <row r="78" spans="1:7" ht="24">
      <c r="A78" s="2851">
        <v>6</v>
      </c>
      <c r="B78" s="3505"/>
      <c r="C78" s="2825" t="s">
        <v>2660</v>
      </c>
      <c r="D78" s="2825" t="s">
        <v>2661</v>
      </c>
      <c r="E78" s="2851">
        <v>0.15</v>
      </c>
      <c r="F78" s="2851">
        <v>20</v>
      </c>
    </row>
    <row r="79" spans="1:7" ht="24">
      <c r="A79" s="2851">
        <v>7</v>
      </c>
      <c r="B79" s="3505"/>
      <c r="C79" s="2825" t="s">
        <v>2662</v>
      </c>
      <c r="D79" s="2825" t="s">
        <v>2663</v>
      </c>
      <c r="E79" s="2851">
        <v>0.15</v>
      </c>
      <c r="F79" s="2851">
        <v>20</v>
      </c>
    </row>
    <row r="80" spans="1:7" ht="24">
      <c r="A80" s="2851">
        <v>8</v>
      </c>
      <c r="B80" s="3505"/>
      <c r="C80" s="2825" t="s">
        <v>2664</v>
      </c>
      <c r="D80" s="2825" t="s">
        <v>2665</v>
      </c>
      <c r="E80" s="2851">
        <v>0.1</v>
      </c>
      <c r="F80" s="2851">
        <v>15</v>
      </c>
    </row>
    <row r="81" spans="1:6" ht="24">
      <c r="A81" s="2851">
        <v>9</v>
      </c>
      <c r="B81" s="3505"/>
      <c r="C81" s="2825" t="s">
        <v>2666</v>
      </c>
      <c r="D81" s="2825" t="s">
        <v>2667</v>
      </c>
      <c r="E81" s="2851">
        <v>0.1</v>
      </c>
      <c r="F81" s="2851">
        <v>15</v>
      </c>
    </row>
    <row r="82" spans="1:6" ht="24">
      <c r="A82" s="2851">
        <v>10</v>
      </c>
      <c r="B82" s="3505"/>
      <c r="C82" s="2825" t="s">
        <v>2668</v>
      </c>
      <c r="D82" s="2825" t="s">
        <v>2669</v>
      </c>
      <c r="E82" s="2851">
        <v>0.1</v>
      </c>
      <c r="F82" s="2851">
        <v>15</v>
      </c>
    </row>
    <row r="83" spans="1:6" ht="24">
      <c r="A83" s="2851">
        <v>11</v>
      </c>
      <c r="B83" s="3505"/>
      <c r="C83" s="2825" t="s">
        <v>2670</v>
      </c>
      <c r="D83" s="2825" t="s">
        <v>2671</v>
      </c>
      <c r="E83" s="2851">
        <v>0.1</v>
      </c>
      <c r="F83" s="2851">
        <v>15</v>
      </c>
    </row>
    <row r="84" spans="1:6" ht="24">
      <c r="A84" s="2851">
        <v>12</v>
      </c>
      <c r="B84" s="3505"/>
      <c r="C84" s="2825" t="s">
        <v>2672</v>
      </c>
      <c r="D84" s="2825" t="s">
        <v>2673</v>
      </c>
      <c r="E84" s="2851">
        <v>0.1</v>
      </c>
      <c r="F84" s="2851">
        <v>15</v>
      </c>
    </row>
    <row r="85" spans="1:6" ht="13.5">
      <c r="A85" s="2851">
        <v>13</v>
      </c>
      <c r="B85" s="3505"/>
      <c r="C85" s="2825" t="s">
        <v>2674</v>
      </c>
      <c r="D85" s="2825" t="s">
        <v>2675</v>
      </c>
      <c r="E85" s="2851">
        <v>0.1</v>
      </c>
      <c r="F85" s="2851">
        <v>15</v>
      </c>
    </row>
    <row r="86" spans="1:6" ht="13.5">
      <c r="A86" s="2851">
        <v>14</v>
      </c>
      <c r="B86" s="3505"/>
      <c r="C86" s="2825" t="s">
        <v>2676</v>
      </c>
      <c r="D86" s="2825" t="s">
        <v>2677</v>
      </c>
      <c r="E86" s="2851">
        <v>0.1</v>
      </c>
      <c r="F86" s="2851">
        <v>15</v>
      </c>
    </row>
    <row r="87" spans="1:6" ht="13.5">
      <c r="A87" s="2851">
        <v>15</v>
      </c>
      <c r="B87" s="3505"/>
      <c r="C87" s="2825" t="s">
        <v>2678</v>
      </c>
      <c r="D87" s="2825" t="s">
        <v>2679</v>
      </c>
      <c r="E87" s="2851">
        <v>0.1</v>
      </c>
      <c r="F87" s="2851">
        <v>15</v>
      </c>
    </row>
    <row r="88" spans="1:6" ht="24">
      <c r="A88" s="2851">
        <v>16</v>
      </c>
      <c r="B88" s="3505"/>
      <c r="C88" s="2825" t="s">
        <v>2680</v>
      </c>
      <c r="D88" s="2825" t="s">
        <v>2681</v>
      </c>
      <c r="E88" s="2851">
        <v>0.1</v>
      </c>
      <c r="F88" s="2851">
        <v>15</v>
      </c>
    </row>
    <row r="89" spans="1:6" ht="24">
      <c r="A89" s="2851">
        <v>17</v>
      </c>
      <c r="B89" s="3514"/>
      <c r="C89" s="2825" t="s">
        <v>2682</v>
      </c>
      <c r="D89" s="2825" t="s">
        <v>2683</v>
      </c>
      <c r="E89" s="2851">
        <v>0.1</v>
      </c>
      <c r="F89" s="2851">
        <v>15</v>
      </c>
    </row>
    <row r="90" spans="1:6" ht="13.5">
      <c r="A90" s="2851">
        <v>18</v>
      </c>
      <c r="B90" s="3510" t="s">
        <v>2684</v>
      </c>
      <c r="C90" s="2825" t="s">
        <v>2685</v>
      </c>
      <c r="D90" s="2825" t="s">
        <v>2686</v>
      </c>
      <c r="E90" s="2851">
        <v>0.2</v>
      </c>
      <c r="F90" s="2851">
        <v>25</v>
      </c>
    </row>
    <row r="91" spans="1:6" ht="24">
      <c r="A91" s="2851">
        <v>19</v>
      </c>
      <c r="B91" s="3505"/>
      <c r="C91" s="2825" t="s">
        <v>2687</v>
      </c>
      <c r="D91" s="2825" t="s">
        <v>2688</v>
      </c>
      <c r="E91" s="2851">
        <v>0.2</v>
      </c>
      <c r="F91" s="2851">
        <v>25</v>
      </c>
    </row>
    <row r="92" spans="1:6" ht="13.5">
      <c r="A92" s="2851">
        <v>20</v>
      </c>
      <c r="B92" s="3505"/>
      <c r="C92" s="2825" t="s">
        <v>2689</v>
      </c>
      <c r="D92" s="2825" t="s">
        <v>2690</v>
      </c>
      <c r="E92" s="2851">
        <v>0.15</v>
      </c>
      <c r="F92" s="2851">
        <v>20</v>
      </c>
    </row>
    <row r="93" spans="1:6" ht="13.5">
      <c r="A93" s="2851">
        <v>21</v>
      </c>
      <c r="B93" s="3505"/>
      <c r="C93" s="2825" t="s">
        <v>2691</v>
      </c>
      <c r="D93" s="2825" t="s">
        <v>2692</v>
      </c>
      <c r="E93" s="2851">
        <v>0.15</v>
      </c>
      <c r="F93" s="2851">
        <v>20</v>
      </c>
    </row>
    <row r="94" spans="1:6" ht="13.5">
      <c r="A94" s="2851">
        <v>22</v>
      </c>
      <c r="B94" s="3505"/>
      <c r="C94" s="2825" t="s">
        <v>2693</v>
      </c>
      <c r="D94" s="2825" t="s">
        <v>2694</v>
      </c>
      <c r="E94" s="2851">
        <v>0.15</v>
      </c>
      <c r="F94" s="2851">
        <v>20</v>
      </c>
    </row>
    <row r="95" spans="1:6" ht="36">
      <c r="A95" s="2851">
        <v>23</v>
      </c>
      <c r="B95" s="3505"/>
      <c r="C95" s="2825" t="s">
        <v>2695</v>
      </c>
      <c r="D95" s="2825" t="s">
        <v>2696</v>
      </c>
      <c r="E95" s="2851">
        <v>0.15</v>
      </c>
      <c r="F95" s="2851">
        <v>20</v>
      </c>
    </row>
    <row r="96" spans="1:6" ht="13.5">
      <c r="A96" s="2851">
        <v>24</v>
      </c>
      <c r="B96" s="3505"/>
      <c r="C96" s="2825" t="s">
        <v>2697</v>
      </c>
      <c r="D96" s="2825" t="s">
        <v>2698</v>
      </c>
      <c r="E96" s="2851">
        <v>0.1</v>
      </c>
      <c r="F96" s="2851">
        <v>15</v>
      </c>
    </row>
    <row r="97" spans="1:6" ht="13.5">
      <c r="A97" s="2851">
        <v>25</v>
      </c>
      <c r="B97" s="3505"/>
      <c r="C97" s="2825" t="s">
        <v>2699</v>
      </c>
      <c r="D97" s="2825" t="s">
        <v>2700</v>
      </c>
      <c r="E97" s="2851">
        <v>0.1</v>
      </c>
      <c r="F97" s="2851">
        <v>15</v>
      </c>
    </row>
    <row r="98" spans="1:6" ht="24">
      <c r="A98" s="2851">
        <v>26</v>
      </c>
      <c r="B98" s="3505"/>
      <c r="C98" s="2825" t="s">
        <v>2701</v>
      </c>
      <c r="D98" s="2825" t="s">
        <v>2702</v>
      </c>
      <c r="E98" s="2851">
        <v>0.1</v>
      </c>
      <c r="F98" s="2851">
        <v>15</v>
      </c>
    </row>
    <row r="99" spans="1:6" ht="24">
      <c r="A99" s="2851">
        <v>27</v>
      </c>
      <c r="B99" s="3505"/>
      <c r="C99" s="2825" t="s">
        <v>2703</v>
      </c>
      <c r="D99" s="2825" t="s">
        <v>2704</v>
      </c>
      <c r="E99" s="2851">
        <v>0.1</v>
      </c>
      <c r="F99" s="2851">
        <v>15</v>
      </c>
    </row>
    <row r="100" spans="1:6" ht="13.5">
      <c r="A100" s="2851">
        <v>28</v>
      </c>
      <c r="B100" s="3505"/>
      <c r="C100" s="2825" t="s">
        <v>2705</v>
      </c>
      <c r="D100" s="2825" t="s">
        <v>2706</v>
      </c>
      <c r="E100" s="2851">
        <v>0.1</v>
      </c>
      <c r="F100" s="2851">
        <v>15</v>
      </c>
    </row>
    <row r="101" spans="1:6" ht="13.5">
      <c r="A101" s="2851">
        <v>29</v>
      </c>
      <c r="B101" s="3505"/>
      <c r="C101" s="2825" t="s">
        <v>2707</v>
      </c>
      <c r="D101" s="2825" t="s">
        <v>2708</v>
      </c>
      <c r="E101" s="2851">
        <v>0.1</v>
      </c>
      <c r="F101" s="2851">
        <v>15</v>
      </c>
    </row>
    <row r="102" spans="1:6" ht="13.5">
      <c r="A102" s="2851">
        <v>30</v>
      </c>
      <c r="B102" s="3505"/>
      <c r="C102" s="2825" t="s">
        <v>2709</v>
      </c>
      <c r="D102" s="2825" t="s">
        <v>2710</v>
      </c>
      <c r="E102" s="2851">
        <v>0.1</v>
      </c>
      <c r="F102" s="2851">
        <v>15</v>
      </c>
    </row>
    <row r="103" spans="1:6" ht="24">
      <c r="A103" s="2851">
        <v>31</v>
      </c>
      <c r="B103" s="3505"/>
      <c r="C103" s="2825" t="s">
        <v>2711</v>
      </c>
      <c r="D103" s="2825" t="s">
        <v>2712</v>
      </c>
      <c r="E103" s="2851">
        <v>0.1</v>
      </c>
      <c r="F103" s="2851">
        <v>15</v>
      </c>
    </row>
    <row r="104" spans="1:6" ht="24">
      <c r="A104" s="2851">
        <v>32</v>
      </c>
      <c r="B104" s="3505"/>
      <c r="C104" s="2825" t="s">
        <v>2713</v>
      </c>
      <c r="D104" s="2825" t="s">
        <v>2714</v>
      </c>
      <c r="E104" s="2851">
        <v>0.1</v>
      </c>
      <c r="F104" s="2851">
        <v>15</v>
      </c>
    </row>
    <row r="105" spans="1:6" ht="24">
      <c r="A105" s="2851">
        <v>33</v>
      </c>
      <c r="B105" s="3505"/>
      <c r="C105" s="2825" t="s">
        <v>2715</v>
      </c>
      <c r="D105" s="2825" t="s">
        <v>2716</v>
      </c>
      <c r="E105" s="2851">
        <v>0.1</v>
      </c>
      <c r="F105" s="2851">
        <v>15</v>
      </c>
    </row>
    <row r="106" spans="1:6" ht="24">
      <c r="A106" s="2851">
        <v>34</v>
      </c>
      <c r="B106" s="3514"/>
      <c r="C106" s="2825" t="s">
        <v>2717</v>
      </c>
      <c r="D106" s="2825" t="s">
        <v>2718</v>
      </c>
      <c r="E106" s="2851">
        <v>0.1</v>
      </c>
      <c r="F106" s="2851">
        <v>15</v>
      </c>
    </row>
    <row r="107" spans="1:6" ht="24">
      <c r="A107" s="2851">
        <v>35</v>
      </c>
      <c r="B107" s="3510" t="s">
        <v>2719</v>
      </c>
      <c r="C107" s="2851" t="s">
        <v>2720</v>
      </c>
      <c r="D107" s="2825" t="s">
        <v>2721</v>
      </c>
      <c r="E107" s="2851">
        <v>0.15</v>
      </c>
      <c r="F107" s="2851">
        <v>20</v>
      </c>
    </row>
    <row r="108" spans="1:6" ht="13.5">
      <c r="A108" s="2851">
        <v>36</v>
      </c>
      <c r="B108" s="3505"/>
      <c r="C108" s="2851" t="s">
        <v>2722</v>
      </c>
      <c r="D108" s="2825" t="s">
        <v>2723</v>
      </c>
      <c r="E108" s="2851">
        <v>0.15</v>
      </c>
      <c r="F108" s="2851">
        <v>20</v>
      </c>
    </row>
    <row r="109" spans="1:6" ht="13.5">
      <c r="A109" s="2851">
        <v>37</v>
      </c>
      <c r="B109" s="3505"/>
      <c r="C109" s="2851" t="s">
        <v>2724</v>
      </c>
      <c r="D109" s="2825" t="s">
        <v>2725</v>
      </c>
      <c r="E109" s="2851">
        <v>0.15</v>
      </c>
      <c r="F109" s="2851">
        <v>20</v>
      </c>
    </row>
    <row r="110" spans="1:6" ht="13.5">
      <c r="A110" s="2851">
        <v>38</v>
      </c>
      <c r="B110" s="3505"/>
      <c r="C110" s="2851" t="s">
        <v>2726</v>
      </c>
      <c r="D110" s="2825" t="s">
        <v>2727</v>
      </c>
      <c r="E110" s="2851">
        <v>0.1</v>
      </c>
      <c r="F110" s="2851">
        <v>15</v>
      </c>
    </row>
    <row r="111" spans="1:6" ht="24">
      <c r="A111" s="2851">
        <v>39</v>
      </c>
      <c r="B111" s="3505"/>
      <c r="C111" s="2851" t="s">
        <v>2728</v>
      </c>
      <c r="D111" s="2825" t="s">
        <v>2729</v>
      </c>
      <c r="E111" s="2851">
        <v>0.1</v>
      </c>
      <c r="F111" s="2851">
        <v>15</v>
      </c>
    </row>
    <row r="112" spans="1:6" ht="24">
      <c r="A112" s="2851">
        <v>40</v>
      </c>
      <c r="B112" s="3514"/>
      <c r="C112" s="2851" t="s">
        <v>2730</v>
      </c>
      <c r="D112" s="2825" t="s">
        <v>2731</v>
      </c>
      <c r="E112" s="2851">
        <v>0.1</v>
      </c>
      <c r="F112" s="2851">
        <v>15</v>
      </c>
    </row>
    <row r="113" spans="1:6" ht="13.5">
      <c r="A113" s="2851">
        <v>41</v>
      </c>
      <c r="B113" s="3515" t="s">
        <v>2732</v>
      </c>
      <c r="C113" s="2851" t="s">
        <v>2733</v>
      </c>
      <c r="D113" s="2825" t="s">
        <v>2734</v>
      </c>
      <c r="E113" s="2851">
        <v>0.1</v>
      </c>
      <c r="F113" s="2851">
        <v>15</v>
      </c>
    </row>
    <row r="114" spans="1:6" ht="13.5">
      <c r="A114" s="2851">
        <v>42</v>
      </c>
      <c r="B114" s="3515"/>
      <c r="C114" s="2851" t="s">
        <v>2735</v>
      </c>
      <c r="D114" s="2825" t="s">
        <v>2736</v>
      </c>
      <c r="E114" s="2851">
        <v>0.1</v>
      </c>
      <c r="F114" s="2851">
        <v>15</v>
      </c>
    </row>
    <row r="115" spans="1:6" ht="24">
      <c r="A115" s="2851">
        <v>43</v>
      </c>
      <c r="B115" s="3515"/>
      <c r="C115" s="2851" t="s">
        <v>2737</v>
      </c>
      <c r="D115" s="2825" t="s">
        <v>2738</v>
      </c>
      <c r="E115" s="2851">
        <v>0.1</v>
      </c>
      <c r="F115" s="2851">
        <v>15</v>
      </c>
    </row>
    <row r="116" spans="1:6" ht="13.5">
      <c r="A116" s="2851">
        <v>44</v>
      </c>
      <c r="B116" s="3510" t="s">
        <v>2739</v>
      </c>
      <c r="C116" s="2851" t="s">
        <v>2740</v>
      </c>
      <c r="D116" s="2825" t="s">
        <v>2741</v>
      </c>
      <c r="E116" s="2851">
        <v>0.1</v>
      </c>
      <c r="F116" s="2851">
        <v>15</v>
      </c>
    </row>
    <row r="117" spans="1:6" ht="24">
      <c r="A117" s="2851">
        <v>45</v>
      </c>
      <c r="B117" s="3514"/>
      <c r="C117" s="2825" t="s">
        <v>2742</v>
      </c>
      <c r="D117" s="2825" t="s">
        <v>2743</v>
      </c>
      <c r="E117" s="2851">
        <v>0.1</v>
      </c>
      <c r="F117" s="2851">
        <v>15</v>
      </c>
    </row>
    <row r="118" spans="1:6" ht="24">
      <c r="A118" s="2851">
        <v>46</v>
      </c>
      <c r="B118" s="3510" t="s">
        <v>2744</v>
      </c>
      <c r="C118" s="2851" t="s">
        <v>2745</v>
      </c>
      <c r="D118" s="2825" t="s">
        <v>2746</v>
      </c>
      <c r="E118" s="2851">
        <v>0.1</v>
      </c>
      <c r="F118" s="2851">
        <v>15</v>
      </c>
    </row>
    <row r="119" spans="1:6" ht="24">
      <c r="A119" s="2851">
        <v>47</v>
      </c>
      <c r="B119" s="3514"/>
      <c r="C119" s="2851" t="s">
        <v>2747</v>
      </c>
      <c r="D119" s="2825" t="s">
        <v>2748</v>
      </c>
      <c r="E119" s="2851">
        <v>0.1</v>
      </c>
      <c r="F119" s="2851">
        <v>15</v>
      </c>
    </row>
    <row r="120" spans="1:6" ht="13.5">
      <c r="A120" s="2851">
        <v>48</v>
      </c>
      <c r="B120" s="3510" t="s">
        <v>2749</v>
      </c>
      <c r="C120" s="2851" t="s">
        <v>2750</v>
      </c>
      <c r="D120" s="2825" t="s">
        <v>2751</v>
      </c>
      <c r="E120" s="2851">
        <v>0.1</v>
      </c>
      <c r="F120" s="2851">
        <v>15</v>
      </c>
    </row>
    <row r="121" spans="1:6" ht="13.5">
      <c r="A121" s="2851">
        <v>49</v>
      </c>
      <c r="B121" s="3514"/>
      <c r="C121" s="2851" t="s">
        <v>2752</v>
      </c>
      <c r="D121" s="2825" t="s">
        <v>2753</v>
      </c>
      <c r="E121" s="2851">
        <v>0.1</v>
      </c>
      <c r="F121" s="2851">
        <v>15</v>
      </c>
    </row>
    <row r="122" spans="1:6" ht="24">
      <c r="A122" s="2851">
        <v>50</v>
      </c>
      <c r="B122" s="3515" t="s">
        <v>2754</v>
      </c>
      <c r="C122" s="2851" t="s">
        <v>2755</v>
      </c>
      <c r="D122" s="2825" t="s">
        <v>2756</v>
      </c>
      <c r="E122" s="2851">
        <v>0.1</v>
      </c>
      <c r="F122" s="2851">
        <v>15</v>
      </c>
    </row>
    <row r="123" spans="1:6" ht="24">
      <c r="A123" s="2851">
        <v>51</v>
      </c>
      <c r="B123" s="3515"/>
      <c r="C123" s="2851" t="s">
        <v>2757</v>
      </c>
      <c r="D123" s="2825" t="s">
        <v>2758</v>
      </c>
      <c r="E123" s="2851">
        <v>0.1</v>
      </c>
      <c r="F123" s="2851">
        <v>15</v>
      </c>
    </row>
    <row r="124" spans="1:6" ht="24">
      <c r="A124" s="2851">
        <v>52</v>
      </c>
      <c r="B124" s="3515" t="s">
        <v>2759</v>
      </c>
      <c r="C124" s="2851" t="s">
        <v>2760</v>
      </c>
      <c r="D124" s="2825" t="s">
        <v>2761</v>
      </c>
      <c r="E124" s="2851">
        <v>0.1</v>
      </c>
      <c r="F124" s="2851">
        <v>15</v>
      </c>
    </row>
    <row r="125" spans="1:6" ht="24">
      <c r="A125" s="2851">
        <v>53</v>
      </c>
      <c r="B125" s="3515"/>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15" t="s">
        <v>2767</v>
      </c>
      <c r="C127" s="2851" t="s">
        <v>2768</v>
      </c>
      <c r="D127" s="2825" t="s">
        <v>2769</v>
      </c>
      <c r="E127" s="2851">
        <v>0.1</v>
      </c>
      <c r="F127" s="2851">
        <v>15</v>
      </c>
    </row>
    <row r="128" spans="1:6" ht="13.5">
      <c r="A128" s="2851">
        <v>56</v>
      </c>
      <c r="B128" s="3515"/>
      <c r="C128" s="2851" t="s">
        <v>2770</v>
      </c>
      <c r="D128" s="2825" t="s">
        <v>2771</v>
      </c>
      <c r="E128" s="2851">
        <v>0.1</v>
      </c>
      <c r="F128" s="2851">
        <v>15</v>
      </c>
    </row>
    <row r="129" spans="1:6" ht="24">
      <c r="A129" s="2851">
        <v>57</v>
      </c>
      <c r="B129" s="3515"/>
      <c r="C129" s="2851" t="s">
        <v>2772</v>
      </c>
      <c r="D129" s="2825" t="s">
        <v>2773</v>
      </c>
      <c r="E129" s="2851">
        <v>0.1</v>
      </c>
      <c r="F129" s="2851">
        <v>15</v>
      </c>
    </row>
    <row r="130" spans="1:6" ht="24">
      <c r="A130" s="2851">
        <v>58</v>
      </c>
      <c r="B130" s="3515" t="s">
        <v>2774</v>
      </c>
      <c r="C130" s="2851" t="s">
        <v>2775</v>
      </c>
      <c r="D130" s="2825" t="s">
        <v>2776</v>
      </c>
      <c r="E130" s="2851">
        <v>0.1</v>
      </c>
      <c r="F130" s="2851">
        <v>15</v>
      </c>
    </row>
    <row r="131" spans="1:6" ht="13.5">
      <c r="A131" s="2851">
        <v>59</v>
      </c>
      <c r="B131" s="3515"/>
      <c r="C131" s="2851" t="s">
        <v>2777</v>
      </c>
      <c r="D131" s="2825" t="s">
        <v>2778</v>
      </c>
      <c r="E131" s="2851">
        <v>0.1</v>
      </c>
      <c r="F131" s="2851">
        <v>15</v>
      </c>
    </row>
    <row r="132" spans="1:6" ht="13.5">
      <c r="A132" s="2851">
        <v>60</v>
      </c>
      <c r="B132" s="3510" t="s">
        <v>2779</v>
      </c>
      <c r="C132" s="2851" t="s">
        <v>2780</v>
      </c>
      <c r="D132" s="2825" t="s">
        <v>2781</v>
      </c>
      <c r="E132" s="2851">
        <v>0.1</v>
      </c>
      <c r="F132" s="2851">
        <v>15</v>
      </c>
    </row>
    <row r="133" spans="1:6" ht="13.5">
      <c r="A133" s="2851">
        <v>61</v>
      </c>
      <c r="B133" s="3514"/>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15" t="s">
        <v>2787</v>
      </c>
      <c r="C135" s="2851" t="s">
        <v>2788</v>
      </c>
      <c r="D135" s="2825" t="s">
        <v>2789</v>
      </c>
      <c r="E135" s="2851">
        <v>0.1</v>
      </c>
      <c r="F135" s="2851">
        <v>15</v>
      </c>
    </row>
    <row r="136" spans="1:6" ht="13.5">
      <c r="A136" s="2851">
        <v>64</v>
      </c>
      <c r="B136" s="3515"/>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8">
      <c r="A3" s="3203" t="str">
        <f>IF(项目基本情况!B9="房地产市场价值","估价结果一览表（市场价值不需“结果表-1”）","估价结果一览表")</f>
        <v>估价结果一览表</v>
      </c>
      <c r="B3" s="3203"/>
      <c r="C3" s="3203"/>
      <c r="D3" s="3203"/>
      <c r="E3" s="3203"/>
    </row>
    <row r="4" spans="1:5" ht="19.5" thickBot="1">
      <c r="A4" s="1389"/>
      <c r="B4" s="3201" t="s">
        <v>917</v>
      </c>
      <c r="C4" s="3201"/>
      <c r="D4" s="3201"/>
      <c r="E4" s="1389"/>
    </row>
    <row r="5" spans="1:5" ht="16.5" thickTop="1">
      <c r="B5" s="3199" t="s">
        <v>909</v>
      </c>
      <c r="C5" s="1390" t="s">
        <v>910</v>
      </c>
      <c r="D5" s="796" t="e">
        <f ca="1">结果表!H101</f>
        <v>#REF!</v>
      </c>
    </row>
    <row r="6" spans="1:5" ht="15.75">
      <c r="B6" s="3199"/>
      <c r="C6" s="1390" t="s">
        <v>911</v>
      </c>
      <c r="D6" s="796" t="e">
        <f ca="1">NUMBERSTRING(INT(D5*10000),2)&amp;"元整"</f>
        <v>#REF!</v>
      </c>
    </row>
    <row r="7" spans="1:5" ht="15.75">
      <c r="B7" s="3204"/>
      <c r="C7" s="1391" t="s">
        <v>912</v>
      </c>
      <c r="D7" s="797" t="e">
        <f ca="1">结果表!H102</f>
        <v>#REF!</v>
      </c>
    </row>
    <row r="8" spans="1:5" ht="15.75">
      <c r="B8" s="3205" t="str">
        <f>结果表!E103</f>
        <v>2.估价师知悉的法定优先受偿款</v>
      </c>
      <c r="C8" s="1392" t="s">
        <v>913</v>
      </c>
      <c r="D8" s="797">
        <f>结果表!H103</f>
        <v>0</v>
      </c>
    </row>
    <row r="9" spans="1:5" ht="15.75">
      <c r="B9" s="3207"/>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8" t="str">
        <f>结果表!E107</f>
        <v>3.房地产抵押价值</v>
      </c>
      <c r="C13" s="1395" t="s">
        <v>910</v>
      </c>
      <c r="D13" s="799" t="e">
        <f ca="1">结果表!H107</f>
        <v>#REF!</v>
      </c>
    </row>
    <row r="14" spans="1:5" ht="15.75">
      <c r="B14" s="3199"/>
      <c r="C14" s="1390" t="s">
        <v>911</v>
      </c>
      <c r="D14" s="796" t="e">
        <f ca="1">NUMBERSTRING(INT(D13*10000),2)&amp;"元整"</f>
        <v>#REF!</v>
      </c>
    </row>
    <row r="15" spans="1:5" ht="15">
      <c r="B15" s="3204"/>
      <c r="C15" s="1391" t="s">
        <v>921</v>
      </c>
      <c r="D15" s="805" t="e">
        <f ca="1">结果表!H108</f>
        <v>#REF!</v>
      </c>
    </row>
    <row r="16" spans="1:5" ht="15">
      <c r="B16" s="3205" t="str">
        <f>结果表!E109</f>
        <v>——</v>
      </c>
      <c r="C16" s="1395" t="s">
        <v>922</v>
      </c>
      <c r="D16" s="1396" t="str">
        <f>结果表!H109</f>
        <v>——</v>
      </c>
    </row>
    <row r="17" spans="1:5" ht="15.75">
      <c r="B17" s="3206"/>
      <c r="C17" s="1390" t="s">
        <v>923</v>
      </c>
      <c r="D17" s="796" t="e">
        <f>NUMBERSTRING(INT(D16*10000),2)&amp;"元整"</f>
        <v>#VALUE!</v>
      </c>
    </row>
    <row r="18" spans="1:5" ht="15">
      <c r="B18" s="3207"/>
      <c r="C18" s="1391" t="s">
        <v>912</v>
      </c>
      <c r="D18" s="805" t="str">
        <f>结果表!H110</f>
        <v>——</v>
      </c>
    </row>
    <row r="19" spans="1:5" ht="15.75">
      <c r="B19" s="3198" t="str">
        <f>结果表!E111</f>
        <v>——</v>
      </c>
      <c r="C19" s="1395" t="s">
        <v>910</v>
      </c>
      <c r="D19" s="797" t="str">
        <f>结果表!H111</f>
        <v>——</v>
      </c>
    </row>
    <row r="20" spans="1:5" ht="15.75">
      <c r="B20" s="3199"/>
      <c r="C20" s="1390" t="s">
        <v>923</v>
      </c>
      <c r="D20" s="796" t="e">
        <f>NUMBERSTRING(INT(D19*10000),2)&amp;"元整"</f>
        <v>#VALUE!</v>
      </c>
    </row>
    <row r="21" spans="1:5" ht="15.75" thickBot="1">
      <c r="B21" s="3200"/>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27672</v>
      </c>
      <c r="C2" s="2" t="s">
        <v>106</v>
      </c>
      <c r="D2" s="190"/>
      <c r="E2" s="190"/>
      <c r="F2" s="190"/>
      <c r="G2" s="190"/>
    </row>
    <row r="3" spans="1:7" s="191" customFormat="1" ht="18" customHeight="1" thickBot="1">
      <c r="A3" s="194" t="s">
        <v>58</v>
      </c>
      <c r="B3" s="195">
        <f ca="1">ROUND(B2*10000/'数据-汇总表'!E3,0)</f>
        <v>2523436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2</v>
      </c>
      <c r="D9" s="794">
        <f>'数据-汇总表'!E5</f>
        <v>109.66</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109.66</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1311</v>
      </c>
      <c r="D22" s="226">
        <f ca="1">C26</f>
        <v>5.9999999999999995E-4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1298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3154</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3154</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27613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50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44</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2</v>
      </c>
      <c r="D37" s="208">
        <f>'数据-汇总表'!E3</f>
        <v>109.66</v>
      </c>
      <c r="E37" s="240">
        <f>'数据-取费表'!B35</f>
        <v>200</v>
      </c>
      <c r="F37" s="250"/>
      <c r="G37" s="252" t="s">
        <v>92</v>
      </c>
    </row>
    <row r="38" spans="1:7" ht="13.5" customHeight="1">
      <c r="A38" s="733" t="s">
        <v>354</v>
      </c>
      <c r="B38" s="206" t="s">
        <v>36</v>
      </c>
      <c r="C38" s="211">
        <f>ROUND(C34*F38,0)</f>
        <v>1</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v>
      </c>
      <c r="D42" s="229"/>
      <c r="E42" s="229"/>
      <c r="F42" s="230"/>
      <c r="G42" s="3379" t="s">
        <v>94</v>
      </c>
    </row>
    <row r="43" spans="1:7" ht="13.5" customHeight="1">
      <c r="A43" s="733" t="s">
        <v>347</v>
      </c>
      <c r="B43" s="206" t="s">
        <v>426</v>
      </c>
      <c r="C43" s="229">
        <f ca="1">ROUND(IF('数据-取费表'!B22&lt;=1,C39*F22*'数据-取费表'!B21/2,C39*(POWER((1+F22),'数据-取费表'!B21/2)-1)),0)</f>
        <v>0</v>
      </c>
      <c r="D43" s="229"/>
      <c r="E43" s="229"/>
      <c r="F43" s="230"/>
      <c r="G43" s="3380"/>
    </row>
    <row r="44" spans="1:7" ht="13.5" customHeight="1">
      <c r="A44" s="733" t="s">
        <v>348</v>
      </c>
      <c r="B44" s="206" t="s">
        <v>428</v>
      </c>
      <c r="C44" s="229">
        <f ca="1">ROUND(IF('数据-取费表'!B22&lt;=1,C40*F22*'数据-取费表'!B21/2,C40*(POWER((1+F22),'数据-取费表'!B21/2)-1)),4)</f>
        <v>5.9999999999999995E-4</v>
      </c>
      <c r="D44" s="229"/>
      <c r="E44" s="229"/>
      <c r="F44" s="230"/>
      <c r="G44" s="3381"/>
    </row>
    <row r="45" spans="1:7" s="205" customFormat="1" ht="13.5" customHeight="1">
      <c r="A45" s="730" t="s">
        <v>341</v>
      </c>
      <c r="B45" s="235" t="s">
        <v>85</v>
      </c>
      <c r="C45" s="236">
        <f>C46</f>
        <v>8</v>
      </c>
      <c r="D45" s="226">
        <f>C47</f>
        <v>3.0000000000000001E-3</v>
      </c>
      <c r="E45" s="227" t="s">
        <v>102</v>
      </c>
      <c r="F45" s="237"/>
      <c r="G45" s="238" t="s">
        <v>434</v>
      </c>
    </row>
    <row r="46" spans="1:7" s="205" customFormat="1" ht="13.5" customHeight="1">
      <c r="A46" s="733" t="s">
        <v>349</v>
      </c>
      <c r="B46" s="239" t="s">
        <v>427</v>
      </c>
      <c r="C46" s="240">
        <f>ROUND((C33+C39)*F27,0)</f>
        <v>8</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66</v>
      </c>
      <c r="D49" s="223"/>
      <c r="E49" s="223"/>
      <c r="F49" s="255"/>
      <c r="G49" s="225" t="s">
        <v>435</v>
      </c>
    </row>
    <row r="50" spans="1:7" s="249" customFormat="1" ht="24">
      <c r="A50" s="730" t="s">
        <v>344</v>
      </c>
      <c r="B50" s="201" t="s">
        <v>97</v>
      </c>
      <c r="C50" s="223"/>
      <c r="D50" s="223"/>
      <c r="E50" s="223"/>
      <c r="F50" s="255">
        <f>IF('数据-取费表'!B24=0,'数据-取费表'!N16,1)</f>
        <v>0.89</v>
      </c>
      <c r="G50" s="238" t="s">
        <v>98</v>
      </c>
    </row>
    <row r="51" spans="1:7" ht="16.5" customHeight="1">
      <c r="A51" s="730" t="s">
        <v>345</v>
      </c>
      <c r="B51" s="201" t="s">
        <v>105</v>
      </c>
      <c r="C51" s="223">
        <f ca="1">ROUND(C49*F50,0)</f>
        <v>59</v>
      </c>
      <c r="D51" s="223"/>
      <c r="E51" s="223"/>
      <c r="F51" s="255"/>
      <c r="G51" s="225" t="s">
        <v>37</v>
      </c>
    </row>
    <row r="52" spans="1:7" s="199" customFormat="1" ht="16.5" thickBot="1">
      <c r="A52" s="256" t="s">
        <v>38</v>
      </c>
      <c r="B52" s="257"/>
      <c r="C52" s="258">
        <f ca="1">C31+C51</f>
        <v>27672</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8" t="s">
        <v>2839</v>
      </c>
      <c r="B1" s="3518"/>
      <c r="C1" s="3518"/>
      <c r="D1" s="3518"/>
      <c r="E1" s="3518"/>
      <c r="F1" s="3518"/>
      <c r="G1" s="3519"/>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6"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7"/>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20" t="s">
        <v>3181</v>
      </c>
      <c r="B1" s="3520"/>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21" t="s">
        <v>3232</v>
      </c>
      <c r="B1" s="3521"/>
      <c r="C1" s="3521"/>
      <c r="D1" s="3521"/>
      <c r="E1" s="3521"/>
      <c r="F1" s="3522"/>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45727</v>
      </c>
      <c r="B1" s="2923" t="s">
        <v>2838</v>
      </c>
      <c r="C1" s="2924"/>
      <c r="D1" s="2924"/>
      <c r="E1" s="2924"/>
      <c r="F1" s="2924"/>
      <c r="G1" s="2924"/>
      <c r="H1" s="2924"/>
      <c r="I1" s="2924"/>
      <c r="J1" s="2890"/>
      <c r="K1" s="2924" t="s">
        <v>454</v>
      </c>
      <c r="L1" s="2924"/>
      <c r="M1" s="2924"/>
      <c r="N1" s="2924"/>
      <c r="O1" s="2924"/>
      <c r="P1" s="2924"/>
      <c r="Q1" s="2890"/>
      <c r="R1" s="3523" t="s">
        <v>456</v>
      </c>
      <c r="S1" s="3524"/>
      <c r="T1" s="3524"/>
      <c r="U1" s="3524"/>
      <c r="V1" s="3524"/>
      <c r="W1" s="3524"/>
      <c r="X1" s="2890"/>
      <c r="Y1" s="3523" t="s">
        <v>457</v>
      </c>
      <c r="Z1" s="3524"/>
      <c r="AA1" s="3524"/>
      <c r="AB1" s="3524"/>
      <c r="AC1" s="3524"/>
      <c r="AD1" s="3524"/>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23" t="s">
        <v>2826</v>
      </c>
      <c r="S21" s="3524"/>
      <c r="T21" s="3524"/>
      <c r="U21" s="3524"/>
      <c r="V21" s="3524"/>
      <c r="W21" s="3524"/>
      <c r="X21" s="2890"/>
      <c r="Y21" s="3523" t="s">
        <v>2827</v>
      </c>
      <c r="Z21" s="3524"/>
      <c r="AA21" s="3524"/>
      <c r="AB21" s="3524"/>
      <c r="AC21" s="3524"/>
      <c r="AD21" s="3524"/>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8" t="s">
        <v>452</v>
      </c>
      <c r="C1" s="3528"/>
      <c r="D1" s="3528"/>
      <c r="E1" s="3528"/>
      <c r="F1" s="3528"/>
      <c r="G1" s="3524" t="s">
        <v>453</v>
      </c>
      <c r="H1" s="3524"/>
      <c r="I1" s="3524"/>
      <c r="J1" s="3524"/>
      <c r="K1" s="3524"/>
      <c r="L1" s="3524"/>
      <c r="N1" s="3524" t="s">
        <v>454</v>
      </c>
      <c r="O1" s="3524"/>
      <c r="P1" s="3524"/>
      <c r="Q1" s="3524"/>
      <c r="S1" s="3524" t="s">
        <v>455</v>
      </c>
      <c r="T1" s="3524"/>
      <c r="U1" s="3524"/>
      <c r="V1" s="3524"/>
      <c r="X1" s="3523" t="s">
        <v>456</v>
      </c>
      <c r="Y1" s="3524"/>
      <c r="Z1" s="3524"/>
      <c r="AA1" s="3524"/>
      <c r="AB1" s="3524"/>
      <c r="AD1" s="3523" t="s">
        <v>457</v>
      </c>
      <c r="AE1" s="3524"/>
      <c r="AF1" s="3524"/>
      <c r="AG1" s="3524"/>
      <c r="AH1" s="3524"/>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6">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6"/>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6"/>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33"/>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9">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6"/>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6"/>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33"/>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9">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6"/>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6"/>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7"/>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25">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6"/>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6"/>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7"/>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25">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6"/>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6"/>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7"/>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30">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31"/>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31"/>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32"/>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25">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6"/>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6"/>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7"/>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25">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6">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6">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7">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25">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6">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6">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7">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25">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6">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6">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7">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25">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6">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6">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7">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25">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6">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6">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7">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25">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6">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6">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7">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25">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6">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6">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7">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25">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6">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6">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7">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25">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6">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6">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7">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25">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6">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6">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7">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928</v>
      </c>
      <c r="B2" s="3209" t="s">
        <v>929</v>
      </c>
      <c r="C2" s="3209" t="s">
        <v>930</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10"/>
      <c r="B3" s="3210"/>
      <c r="C3" s="3210"/>
      <c r="D3" s="800" t="s">
        <v>925</v>
      </c>
      <c r="E3" s="800" t="s">
        <v>931</v>
      </c>
      <c r="F3" s="800" t="s">
        <v>925</v>
      </c>
      <c r="G3" s="800" t="s">
        <v>926</v>
      </c>
      <c r="H3" s="800" t="s">
        <v>925</v>
      </c>
      <c r="I3" s="800" t="s">
        <v>926</v>
      </c>
    </row>
    <row r="4" spans="1:9" ht="15">
      <c r="A4" s="1401" t="str">
        <f>项目基本情况!S2</f>
        <v>北京市房地产</v>
      </c>
      <c r="B4" s="800">
        <f>项目基本情况!C17</f>
        <v>109.66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10" t="s">
        <v>927</v>
      </c>
      <c r="B5" s="3210"/>
      <c r="C5" s="3210"/>
      <c r="D5" s="3210" t="e">
        <f ca="1">结果表!D119</f>
        <v>#REF!</v>
      </c>
      <c r="E5" s="3210"/>
      <c r="F5" s="3210" t="e">
        <f ca="1">结果表!F119</f>
        <v>#REF!</v>
      </c>
      <c r="G5" s="3210"/>
      <c r="H5" s="3210" t="e">
        <f ca="1">结果表!H119</f>
        <v>#REF!</v>
      </c>
      <c r="I5" s="3210"/>
    </row>
    <row r="6" spans="1:9" ht="15.75">
      <c r="A6" s="3211" t="str">
        <f>结果表!A120</f>
        <v>估价师知悉的法定优先受偿款</v>
      </c>
      <c r="B6" s="3211"/>
      <c r="C6" s="3211"/>
      <c r="D6" s="3211">
        <f>结果表!D120</f>
        <v>0</v>
      </c>
      <c r="E6" s="3211"/>
      <c r="F6" s="3211"/>
      <c r="G6" s="3211"/>
      <c r="H6" s="3211"/>
      <c r="I6" s="3211"/>
    </row>
    <row r="7" spans="1:9" ht="15">
      <c r="A7" s="3210" t="s">
        <v>927</v>
      </c>
      <c r="B7" s="3210"/>
      <c r="C7" s="3210"/>
      <c r="D7" s="3212" t="str">
        <f>结果表!D121</f>
        <v>零元整</v>
      </c>
      <c r="E7" s="3213"/>
      <c r="F7" s="3213"/>
      <c r="G7" s="3213"/>
      <c r="H7" s="3213"/>
      <c r="I7" s="3214"/>
    </row>
    <row r="8" spans="1:9" ht="15.75">
      <c r="A8" s="3211" t="str">
        <f>结果表!A122</f>
        <v>房地产抵押价值</v>
      </c>
      <c r="B8" s="3211"/>
      <c r="C8" s="3211"/>
      <c r="D8" s="3211" t="e">
        <f ca="1">结果表!D122</f>
        <v>#REF!</v>
      </c>
      <c r="E8" s="3211"/>
      <c r="F8" s="3211"/>
      <c r="G8" s="3211"/>
      <c r="H8" s="3211"/>
      <c r="I8" s="3211"/>
    </row>
    <row r="9" spans="1:9" ht="15">
      <c r="A9" s="3210" t="s">
        <v>927</v>
      </c>
      <c r="B9" s="3210"/>
      <c r="C9" s="3210"/>
      <c r="D9" s="3210" t="e">
        <f ca="1">结果表!D123</f>
        <v>#REF!</v>
      </c>
      <c r="E9" s="3210"/>
      <c r="F9" s="3210"/>
      <c r="G9" s="3210"/>
      <c r="H9" s="3210"/>
      <c r="I9" s="3210"/>
    </row>
    <row r="10" spans="1:9" ht="15.75">
      <c r="A10" s="3211" t="str">
        <f>结果表!A124</f>
        <v/>
      </c>
      <c r="B10" s="3211"/>
      <c r="C10" s="3211"/>
      <c r="D10" s="3211" t="str">
        <f>结果表!D124</f>
        <v>——</v>
      </c>
      <c r="E10" s="3211"/>
      <c r="F10" s="3211"/>
      <c r="G10" s="3211"/>
      <c r="H10" s="3211"/>
      <c r="I10" s="3211"/>
    </row>
    <row r="11" spans="1:9" ht="15">
      <c r="A11" s="3210" t="s">
        <v>927</v>
      </c>
      <c r="B11" s="3210"/>
      <c r="C11" s="3210"/>
      <c r="D11" s="3210" t="e">
        <f>结果表!D125</f>
        <v>#VALUE!</v>
      </c>
      <c r="E11" s="3210"/>
      <c r="F11" s="3210"/>
      <c r="G11" s="3210"/>
      <c r="H11" s="3210"/>
      <c r="I11" s="3210"/>
    </row>
    <row r="12" spans="1:9" ht="15.75">
      <c r="A12" s="3211" t="str">
        <f>结果表!A126</f>
        <v/>
      </c>
      <c r="B12" s="3211"/>
      <c r="C12" s="3211"/>
      <c r="D12" s="3211" t="str">
        <f>结果表!D126</f>
        <v>——</v>
      </c>
      <c r="E12" s="3211"/>
      <c r="F12" s="3211"/>
      <c r="G12" s="3211"/>
      <c r="H12" s="3211"/>
      <c r="I12" s="3211"/>
    </row>
    <row r="13" spans="1:9" ht="15.75" thickBot="1">
      <c r="A13" s="3215" t="s">
        <v>927</v>
      </c>
      <c r="B13" s="3215"/>
      <c r="C13" s="3215"/>
      <c r="D13" s="3215" t="e">
        <f>结果表!D127</f>
        <v>#VALUE!</v>
      </c>
      <c r="E13" s="3215"/>
      <c r="F13" s="3215"/>
      <c r="G13" s="3215"/>
      <c r="H13" s="3215"/>
      <c r="I13" s="3215"/>
    </row>
    <row r="14" spans="1:9" ht="15" thickTop="1">
      <c r="A14" s="3216" t="s">
        <v>932</v>
      </c>
      <c r="B14" s="3216"/>
      <c r="C14" s="3216"/>
      <c r="D14" s="3216"/>
      <c r="E14" s="3216"/>
      <c r="F14" s="3216"/>
      <c r="G14" s="3216"/>
      <c r="H14" s="3216"/>
      <c r="I14" s="3216"/>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7" t="s">
        <v>949</v>
      </c>
      <c r="B1" s="3217"/>
      <c r="C1" s="3217"/>
      <c r="D1" s="3217"/>
    </row>
    <row r="2" spans="1:4" ht="18">
      <c r="A2" s="3218" t="s">
        <v>933</v>
      </c>
      <c r="B2" s="3218"/>
      <c r="C2" s="3218"/>
      <c r="D2" s="3218"/>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8" t="s">
        <v>939</v>
      </c>
      <c r="B6" s="3218"/>
      <c r="C6" s="3218"/>
      <c r="D6" s="3218"/>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9" t="s">
        <v>942</v>
      </c>
      <c r="B11" s="3220"/>
      <c r="C11" s="3220"/>
      <c r="D11" s="3220"/>
    </row>
    <row r="12" spans="1:4" ht="15.75">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1"/>
      <c r="C12" s="3221"/>
      <c r="D12" s="3221"/>
    </row>
    <row r="13" spans="1:4" ht="30" customHeight="1">
      <c r="A13" s="3220" t="str">
        <f>IF(项目基本情况!B8="抵押","3.抵押双方在办理抵押登记手续时，应使用本公司出具的正式《房地产评估报告》，特提醒报告使用者注意。","——")</f>
        <v>——</v>
      </c>
      <c r="B13" s="3221"/>
      <c r="C13" s="3221"/>
      <c r="D13" s="3221"/>
    </row>
    <row r="14" spans="1:4" ht="15.75" customHeight="1">
      <c r="A14" s="3220" t="str">
        <f>IF(项目基本情况!B8="抵押","4.本次评估估价师所知悉的法定优先受偿款情况说明如下：","——")</f>
        <v>——</v>
      </c>
      <c r="B14" s="3221"/>
      <c r="C14" s="3221"/>
      <c r="D14" s="3221"/>
    </row>
    <row r="15" spans="1:4" ht="42" customHeight="1">
      <c r="A15" s="3220" t="str">
        <f>IF(项目基本情况!B8="抵押","（1）"&amp;CONCATENATE(项目基本情况!L20,项目基本情况!L21,项目基本情况!L22),"——")</f>
        <v>——</v>
      </c>
      <c r="B15" s="3220"/>
      <c r="C15" s="3220"/>
      <c r="D15" s="3220"/>
    </row>
    <row r="16" spans="1:4" ht="30" customHeight="1">
      <c r="A16" s="3223" t="s">
        <v>943</v>
      </c>
      <c r="B16" s="3223"/>
      <c r="C16" s="3223"/>
      <c r="D16" s="3223"/>
    </row>
    <row r="17" spans="1:4" ht="144" customHeight="1">
      <c r="A17" s="3223" t="s">
        <v>944</v>
      </c>
      <c r="B17" s="3223"/>
      <c r="C17" s="3223"/>
      <c r="D17" s="3223"/>
    </row>
    <row r="18" spans="1:4" ht="15.75" customHeight="1">
      <c r="A18" s="3220" t="str">
        <f>IF(项目基本情况!B8="抵押",结果表!K120,"——")</f>
        <v>——</v>
      </c>
      <c r="B18" s="3220"/>
      <c r="C18" s="3220"/>
      <c r="D18" s="3220"/>
    </row>
    <row r="19" spans="1:4" ht="46.5" customHeight="1">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spans="1:4" ht="57.75" customHeight="1">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4"/>
      <c r="C21" s="3224"/>
      <c r="D21" s="3224"/>
    </row>
    <row r="22" spans="1:4" ht="18.75" customHeight="1">
      <c r="A22" s="3225" t="s">
        <v>945</v>
      </c>
      <c r="B22" s="3225"/>
      <c r="C22" s="3225"/>
      <c r="D22" s="3225"/>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22">
        <v>42551</v>
      </c>
      <c r="D31" s="32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31" t="s">
        <v>956</v>
      </c>
      <c r="B15" s="3226" t="s">
        <v>109</v>
      </c>
      <c r="C15" s="3227"/>
    </row>
    <row r="16" spans="1:7" ht="13.5">
      <c r="A16" s="3232"/>
      <c r="B16" s="3226" t="s">
        <v>42</v>
      </c>
      <c r="C16" s="3227"/>
    </row>
    <row r="17" spans="1:3" ht="13.5">
      <c r="A17" s="3232"/>
      <c r="B17" s="3229" t="s">
        <v>957</v>
      </c>
      <c r="C17" s="1427" t="s">
        <v>956</v>
      </c>
    </row>
    <row r="18" spans="1:3" ht="13.5">
      <c r="A18" s="3232"/>
      <c r="B18" s="3229"/>
      <c r="C18" s="1427" t="s">
        <v>958</v>
      </c>
    </row>
    <row r="19" spans="1:3" ht="13.5">
      <c r="A19" s="3232"/>
      <c r="B19" s="3229"/>
      <c r="C19" s="1427" t="s">
        <v>959</v>
      </c>
    </row>
    <row r="20" spans="1:3" ht="13.5">
      <c r="A20" s="3233"/>
      <c r="B20" s="3228" t="s">
        <v>960</v>
      </c>
      <c r="C20" s="3227"/>
    </row>
    <row r="21" spans="1:3" ht="13.5">
      <c r="A21" s="1428" t="s">
        <v>961</v>
      </c>
      <c r="B21" s="1429"/>
      <c r="C21" s="1430"/>
    </row>
    <row r="22" spans="1:3" ht="13.5">
      <c r="A22" s="3230" t="s">
        <v>962</v>
      </c>
      <c r="B22" s="3228" t="s">
        <v>963</v>
      </c>
      <c r="C22" s="3227"/>
    </row>
    <row r="23" spans="1:3" ht="13.5">
      <c r="A23" s="3230"/>
      <c r="B23" s="3228" t="s">
        <v>964</v>
      </c>
      <c r="C23" s="3227"/>
    </row>
    <row r="24" spans="1:3" ht="13.5">
      <c r="A24" s="3230"/>
      <c r="B24" s="3228" t="s">
        <v>965</v>
      </c>
      <c r="C24" s="3227"/>
    </row>
    <row r="25" spans="1:3" ht="13.5">
      <c r="A25" s="3230"/>
      <c r="B25" s="3229" t="s">
        <v>966</v>
      </c>
      <c r="C25" s="1427" t="s">
        <v>967</v>
      </c>
    </row>
    <row r="26" spans="1:3" ht="13.5">
      <c r="A26" s="3230"/>
      <c r="B26" s="3229"/>
      <c r="C26" s="1427" t="s">
        <v>968</v>
      </c>
    </row>
    <row r="27" spans="1:3" ht="13.5">
      <c r="A27" s="3230"/>
      <c r="B27" s="3229"/>
      <c r="C27" s="1427" t="s">
        <v>969</v>
      </c>
    </row>
    <row r="28" spans="1:3" ht="13.5">
      <c r="A28" s="3230"/>
      <c r="B28" s="3229"/>
      <c r="C28" s="1427" t="s">
        <v>970</v>
      </c>
    </row>
    <row r="29" spans="1:3" ht="13.5">
      <c r="A29" s="3230"/>
      <c r="B29" s="3229"/>
      <c r="C29" s="1427" t="s">
        <v>971</v>
      </c>
    </row>
    <row r="30" spans="1:3" ht="13.5">
      <c r="A30" s="3230"/>
      <c r="B30" s="3229"/>
      <c r="C30" s="1427" t="s">
        <v>972</v>
      </c>
    </row>
    <row r="31" spans="1:3" ht="13.5">
      <c r="A31" s="3230"/>
      <c r="B31" s="3229"/>
      <c r="C31" s="1427" t="s">
        <v>973</v>
      </c>
    </row>
    <row r="32" spans="1:3" ht="13.5">
      <c r="A32" s="3230"/>
      <c r="B32" s="3229"/>
      <c r="C32" s="1427" t="s">
        <v>974</v>
      </c>
    </row>
    <row r="33" spans="1:3" ht="13.5">
      <c r="A33" s="3230"/>
      <c r="B33" s="3229"/>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45740</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34" t="s">
        <v>2157</v>
      </c>
      <c r="B17" s="3234"/>
      <c r="C17" s="3234"/>
      <c r="D17" s="3234"/>
      <c r="E17" s="3234"/>
      <c r="F17" s="3234"/>
      <c r="G17" s="3234"/>
      <c r="H17" s="3234"/>
    </row>
    <row r="18" spans="1:8" ht="24" customHeight="1">
      <c r="A18" s="3235" t="s">
        <v>2158</v>
      </c>
      <c r="B18" s="3235"/>
      <c r="C18" s="3235"/>
      <c r="D18" s="2155"/>
      <c r="E18" s="3236" t="s">
        <v>2159</v>
      </c>
      <c r="F18" s="3235"/>
      <c r="G18" s="3235"/>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2025-03-24T08:20:28Z</dcterms:modified>
</cp:coreProperties>
</file>