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2" r:id="rId6"/>
    <sheet name="售价" sheetId="10" r:id="rId7"/>
  </sheets>
  <externalReferences>
    <externalReference r:id="rId8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<sst xmlns="http://schemas.openxmlformats.org/spreadsheetml/2006/main" count="222" uniqueCount="116">
  <si>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</si>
  <si>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</si>
  <si>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</si>
  <si>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</si>
  <si>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</si>
  <si>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</si>
  <si>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</si>
  <si>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</si>
  <si>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</si>
  <si>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</si>
  <si>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</si>
  <si>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</si>
  <si>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</si>
  <si>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</si>
  <si>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</si>
  <si>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</si>
  <si>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</si>
  <si>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</si>
  <si>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</si>
  <si>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</si>
  <si>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</si>
  <si>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</si>
  <si>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</si>
  <si>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</si>
  <si>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</si>
  <si>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</si>
  <si>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</si>
  <si>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</si>
  <si>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</si>
  <si>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</si>
  <si>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</si>
  <si>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</si>
  <si>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</si>
  <si>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</si>
  <si>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</si>
  <si>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</si>
  <si>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</si>
  <si>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</si>
  <si>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</si>
  <si>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</si>
  <si>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</si>
  <si>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</si>
  <si>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</si>
  <si>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</si>
  <si>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</si>
  <si>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</si>
  <si>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</si>
  <si>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</si>
  <si>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</si>
  <si>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</si>
  <si>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</si>
  <si>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</si>
  <si>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</si>
  <si>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</si>
  <si>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</si>
  <si>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</si>
  <si>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</si>
  <si>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</si>
  <si>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</si>
  <si>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</si>
  <si>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</si>
  <si>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</si>
  <si>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</si>
  <si>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</si>
  <si>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</si>
  <si>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</si>
  <si>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</si>
  <si>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</si>
  <si>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</si>
  <si>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</si>
  <si>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</si>
  <si>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</si>
  <si>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</si>
  <si>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</si>
  <si>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</si>
  <si>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</si>
  <si>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</si>
  <si>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</si>
  <si>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</si>
  <si>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</si>
  <si>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</si>
  <si>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</si>
  <si>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</si>
  <si>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</si>
  <si>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</si>
  <si>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</si>
  <si>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</si>
  <si>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</si>
  <si>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</si>
  <si>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</si>
  <si>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</si>
  <si>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</si>
  <si>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</si>
  <si>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</si>
  <si>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</si>
  <si>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</si>
  <si>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</si>
  <si>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</si>
  <si>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</si>
  <si>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</si>
  <si>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</si>
  <si>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</si>
  <si>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</si>
  <si>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</si>
  <si>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</si>
  <si>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</si>
  <si>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</si>
  <si>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</si>
  <si>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</si>
  <si>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</si>
  <si>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</si>
  <si>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</si>
  <si>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绿地环球文化金融城-中区-150平</t>
    <phoneticPr fontId="46" type="noConversion"/>
  </si>
  <si>
    <r>
      <rPr>
        <sz val="16"/>
        <color theme="1"/>
        <rFont val="宋体"/>
        <family val="3"/>
        <charset val="134"/>
      </rPr>
      <t>中关村科技园石景山园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-255</t>
    </r>
    <r>
      <rPr>
        <sz val="16"/>
        <color theme="1"/>
        <rFont val="宋体"/>
        <family val="3"/>
        <charset val="134"/>
      </rPr>
      <t>平</t>
    </r>
    <phoneticPr fontId="46" type="noConversion"/>
  </si>
  <si>
    <r>
      <rPr>
        <sz val="16"/>
        <color theme="1"/>
        <rFont val="宋体"/>
        <family val="3"/>
        <charset val="134"/>
      </rPr>
      <t>金融街长安中心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-2600</t>
    </r>
    <r>
      <rPr>
        <sz val="16"/>
        <color theme="1"/>
        <rFont val="宋体"/>
        <family val="3"/>
        <charset val="134"/>
      </rPr>
      <t>平</t>
    </r>
    <phoneticPr fontId="46" type="noConversion"/>
  </si>
  <si>
    <t>10层、高区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</si>
</sst>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275077</xdr:colOff>
      <xdr:row>31</xdr:row>
      <xdr:rowOff>161241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0477" cy="5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4</xdr:col>
      <xdr:colOff>456800</xdr:colOff>
      <xdr:row>65</xdr:row>
      <xdr:rowOff>46934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7850"/>
          <a:ext cx="3200000" cy="55333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9</xdr:col>
      <xdr:colOff>247276</xdr:colOff>
      <xdr:row>61</xdr:row>
      <xdr:rowOff>56607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6172200"/>
          <a:ext cx="2990476" cy="4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4</xdr:col>
      <xdr:colOff>323467</xdr:colOff>
      <xdr:row>95</xdr:row>
      <xdr:rowOff>132712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315700"/>
          <a:ext cx="3066667" cy="510476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9</xdr:col>
      <xdr:colOff>285372</xdr:colOff>
      <xdr:row>86</xdr:row>
      <xdr:rowOff>132905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0" y="11315700"/>
          <a:ext cx="3028572" cy="35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36</xdr:row>
      <xdr:rowOff>95250</xdr:rowOff>
    </xdr:from>
    <xdr:to>
      <xdr:col>14</xdr:col>
      <xdr:colOff>266307</xdr:colOff>
      <xdr:row>68</xdr:row>
      <xdr:rowOff>113612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24650" y="6267450"/>
          <a:ext cx="3142857" cy="5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8</xdr:col>
      <xdr:colOff>646934</xdr:colOff>
      <xdr:row>130</xdr:row>
      <xdr:rowOff>104055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66306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17</xdr:col>
      <xdr:colOff>408838</xdr:colOff>
      <xdr:row>131</xdr:row>
      <xdr:rowOff>37367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2200" y="166306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4</xdr:col>
      <xdr:colOff>28229</xdr:colOff>
      <xdr:row>161</xdr:row>
      <xdr:rowOff>113665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6314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9</xdr:col>
      <xdr:colOff>161476</xdr:colOff>
      <xdr:row>151</xdr:row>
      <xdr:rowOff>161498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43200" y="226314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131</xdr:row>
      <xdr:rowOff>104775</xdr:rowOff>
    </xdr:from>
    <xdr:to>
      <xdr:col>21</xdr:col>
      <xdr:colOff>275205</xdr:colOff>
      <xdr:row>164</xdr:row>
      <xdr:rowOff>94544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15100" y="225647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167</xdr:row>
      <xdr:rowOff>0</xdr:rowOff>
    </xdr:from>
    <xdr:to>
      <xdr:col>18</xdr:col>
      <xdr:colOff>46868</xdr:colOff>
      <xdr:row>200</xdr:row>
      <xdr:rowOff>161198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34125" y="28632150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167</xdr:row>
      <xdr:rowOff>9525</xdr:rowOff>
    </xdr:from>
    <xdr:to>
      <xdr:col>9</xdr:col>
      <xdr:colOff>189709</xdr:colOff>
      <xdr:row>200</xdr:row>
      <xdr:rowOff>170723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" y="28641675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28575</xdr:rowOff>
    </xdr:from>
    <xdr:to>
      <xdr:col>4</xdr:col>
      <xdr:colOff>199657</xdr:colOff>
      <xdr:row>234</xdr:row>
      <xdr:rowOff>123149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34832925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656201</xdr:colOff>
      <xdr:row>36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246591</xdr:colOff>
      <xdr:row>71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12</xdr:col>
      <xdr:colOff>46591</xdr:colOff>
      <xdr:row>108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12</xdr:col>
      <xdr:colOff>227543</xdr:colOff>
      <xdr:row>144</xdr:row>
      <xdr:rowOff>8796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859500"/>
          <a:ext cx="8457143" cy="58380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95" t="s">
        <v>0</v>
      </c>
      <c r="B2" s="196"/>
      <c r="C2" s="196"/>
      <c r="D2" s="196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202">
        <f>ROUND((C7*D7+C8*D8+C9*D9)/3,0)</f>
        <v>16150</v>
      </c>
      <c r="F7" s="204">
        <v>0.7</v>
      </c>
      <c r="G7" s="171" t="str">
        <f>IF(OR(H7&gt;0.75,H7&lt;0.6),"租售比异常，注意权重计取","")</f>
        <v>租售比异常，注意权重计取</v>
      </c>
      <c r="H7" s="174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202"/>
      <c r="F8" s="204"/>
      <c r="G8" s="172"/>
      <c r="H8" s="175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203"/>
      <c r="F9" s="205"/>
      <c r="G9" s="173"/>
      <c r="H9" s="176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97" t="s">
        <v>26</v>
      </c>
      <c r="B13" s="198"/>
      <c r="C13" s="198"/>
      <c r="D13" s="198"/>
      <c r="E13" s="198"/>
      <c r="F13" s="199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86" t="s">
        <v>34</v>
      </c>
      <c r="H20" s="187"/>
      <c r="I20" s="187"/>
      <c r="J20" s="188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89"/>
      <c r="H21" s="190"/>
      <c r="I21" s="190"/>
      <c r="J21" s="191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89" t="s">
        <v>37</v>
      </c>
      <c r="R21" s="190"/>
      <c r="S21" s="190"/>
      <c r="T21" s="191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89"/>
      <c r="H22" s="190"/>
      <c r="I22" s="190"/>
      <c r="J22" s="191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89"/>
      <c r="R22" s="190"/>
      <c r="S22" s="190"/>
      <c r="T22" s="191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89"/>
      <c r="H23" s="190"/>
      <c r="I23" s="190"/>
      <c r="J23" s="191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89"/>
      <c r="R23" s="190"/>
      <c r="S23" s="190"/>
      <c r="T23" s="191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89"/>
      <c r="H24" s="190"/>
      <c r="I24" s="190"/>
      <c r="J24" s="191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89"/>
      <c r="R24" s="190"/>
      <c r="S24" s="190"/>
      <c r="T24" s="191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89"/>
      <c r="H25" s="190"/>
      <c r="I25" s="190"/>
      <c r="J25" s="191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89"/>
      <c r="R25" s="190"/>
      <c r="S25" s="190"/>
      <c r="T25" s="191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89"/>
      <c r="H26" s="190"/>
      <c r="I26" s="190"/>
      <c r="J26" s="191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89"/>
      <c r="R26" s="190"/>
      <c r="S26" s="190"/>
      <c r="T26" s="191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89"/>
      <c r="H27" s="190"/>
      <c r="I27" s="190"/>
      <c r="J27" s="191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89"/>
      <c r="R27" s="190"/>
      <c r="S27" s="190"/>
      <c r="T27" s="191"/>
    </row>
    <row r="28" spans="1:21" ht="15">
      <c r="A28" s="118"/>
      <c r="B28" s="119"/>
      <c r="C28" s="200"/>
      <c r="D28" s="201"/>
      <c r="E28" s="120"/>
      <c r="F28" s="121"/>
      <c r="G28" s="192"/>
      <c r="H28" s="193"/>
      <c r="I28" s="193"/>
      <c r="J28" s="194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192"/>
      <c r="R28" s="193"/>
      <c r="S28" s="193"/>
      <c r="T28" s="194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77" t="s">
        <v>41</v>
      </c>
      <c r="H31" s="178"/>
      <c r="I31" s="178"/>
      <c r="J31" s="179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86" t="s">
        <v>42</v>
      </c>
      <c r="R31" s="187"/>
      <c r="S31" s="187"/>
      <c r="T31" s="188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80"/>
      <c r="H32" s="181"/>
      <c r="I32" s="181"/>
      <c r="J32" s="182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89"/>
      <c r="R32" s="190"/>
      <c r="S32" s="190"/>
      <c r="T32" s="191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80"/>
      <c r="H33" s="181"/>
      <c r="I33" s="181"/>
      <c r="J33" s="182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89"/>
      <c r="R33" s="190"/>
      <c r="S33" s="190"/>
      <c r="T33" s="191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80"/>
      <c r="H34" s="181"/>
      <c r="I34" s="181"/>
      <c r="J34" s="182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89"/>
      <c r="R34" s="190"/>
      <c r="S34" s="190"/>
      <c r="T34" s="191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80"/>
      <c r="H35" s="181"/>
      <c r="I35" s="181"/>
      <c r="J35" s="182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89"/>
      <c r="R35" s="190"/>
      <c r="S35" s="190"/>
      <c r="T35" s="191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80"/>
      <c r="H36" s="181"/>
      <c r="I36" s="181"/>
      <c r="J36" s="182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89"/>
      <c r="R36" s="190"/>
      <c r="S36" s="190"/>
      <c r="T36" s="191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80"/>
      <c r="H37" s="181"/>
      <c r="I37" s="181"/>
      <c r="J37" s="182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89"/>
      <c r="R37" s="190"/>
      <c r="S37" s="190"/>
      <c r="T37" s="191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83"/>
      <c r="H38" s="184"/>
      <c r="I38" s="184"/>
      <c r="J38" s="185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192"/>
      <c r="R38" s="193"/>
      <c r="S38" s="193"/>
      <c r="T38" s="194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J8" sqref="J8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115</v>
      </c>
    </row>
    <row r="2" spans="1:14" s="28" customFormat="1" ht="23.25">
      <c r="A2" s="195" t="s">
        <v>0</v>
      </c>
      <c r="B2" s="196"/>
      <c r="C2" s="196"/>
      <c r="D2" s="196"/>
      <c r="E2" s="34">
        <f>ROUND(IF(F4=0,E7*F7+E12*F12,IF(F7=0,E4*F4+E12*F12,E4*F4+E7*F7)),0)</f>
        <v>23229</v>
      </c>
      <c r="F2" s="35">
        <f>ROUND(IF(F4=0,E7/E12-1,IF(F7=0,E4/E12-1,E4/E7)),3)</f>
        <v>0.39800000000000002</v>
      </c>
      <c r="G2" s="36" t="s">
        <v>1</v>
      </c>
      <c r="I2" s="144" t="s">
        <v>74</v>
      </c>
      <c r="J2" s="144">
        <v>51.89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120.54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4.0240973343308263E-2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112</v>
      </c>
      <c r="C7" s="43">
        <v>23000</v>
      </c>
      <c r="D7" s="43">
        <v>1.03</v>
      </c>
      <c r="E7" s="202">
        <f>ROUND((C7*D7+C8*D8+C9*D9)/3,0)</f>
        <v>25397</v>
      </c>
      <c r="F7" s="213">
        <v>0.7</v>
      </c>
      <c r="G7" s="215" t="str">
        <f>IF(OR(H7&gt;0.75,H7&lt;0.6),"租售比异常，注意权重计取","")</f>
        <v>租售比异常，注意权重计取</v>
      </c>
      <c r="H7" s="174">
        <f>E7/10000/A12</f>
        <v>0.90703571428571428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113</v>
      </c>
      <c r="C8" s="43">
        <v>26700</v>
      </c>
      <c r="D8" s="43">
        <f>D7</f>
        <v>1.03</v>
      </c>
      <c r="E8" s="202"/>
      <c r="F8" s="213"/>
      <c r="G8" s="216"/>
      <c r="H8" s="175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43" t="s">
        <v>114</v>
      </c>
      <c r="C9" s="43">
        <v>25000</v>
      </c>
      <c r="D9" s="43">
        <v>1</v>
      </c>
      <c r="E9" s="203"/>
      <c r="F9" s="214"/>
      <c r="G9" s="217"/>
      <c r="H9" s="176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2.8</v>
      </c>
      <c r="B12" s="61">
        <v>0.8</v>
      </c>
      <c r="C12" s="62">
        <f>J14</f>
        <v>34.880000000000003</v>
      </c>
      <c r="D12" s="63">
        <v>4.4999999999999998E-2</v>
      </c>
      <c r="E12" s="44">
        <f>ROUND(A12*365*B12/D12,0)</f>
        <v>18169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9" t="s">
        <v>52</v>
      </c>
      <c r="B13" s="210"/>
      <c r="C13" s="210"/>
      <c r="D13" s="210"/>
      <c r="E13" s="210"/>
      <c r="F13" s="211"/>
      <c r="H13" s="33">
        <f>H12+2</f>
        <v>14</v>
      </c>
      <c r="I13" s="168" t="s">
        <v>111</v>
      </c>
      <c r="J13" s="150">
        <v>58691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34.880000000000003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08" t="s">
        <v>59</v>
      </c>
      <c r="I20" s="208"/>
      <c r="J20" s="208"/>
      <c r="K20" s="208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08"/>
      <c r="I21" s="208"/>
      <c r="J21" s="208"/>
      <c r="K21" s="208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06" t="s">
        <v>61</v>
      </c>
      <c r="T21" s="207"/>
      <c r="U21" s="207"/>
      <c r="V21" s="207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08"/>
      <c r="I22" s="208"/>
      <c r="J22" s="208"/>
      <c r="K22" s="208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06"/>
      <c r="T22" s="207"/>
      <c r="U22" s="207"/>
      <c r="V22" s="207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08"/>
      <c r="I23" s="208"/>
      <c r="J23" s="208"/>
      <c r="K23" s="208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06"/>
      <c r="T23" s="207"/>
      <c r="U23" s="207"/>
      <c r="V23" s="207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08"/>
      <c r="I24" s="208"/>
      <c r="J24" s="208"/>
      <c r="K24" s="208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06"/>
      <c r="T24" s="207"/>
      <c r="U24" s="207"/>
      <c r="V24" s="207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08"/>
      <c r="I25" s="208"/>
      <c r="J25" s="208"/>
      <c r="K25" s="208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06"/>
      <c r="T25" s="207"/>
      <c r="U25" s="207"/>
      <c r="V25" s="207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08"/>
      <c r="I26" s="208"/>
      <c r="J26" s="208"/>
      <c r="K26" s="208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06"/>
      <c r="T26" s="207"/>
      <c r="U26" s="207"/>
      <c r="V26" s="207"/>
    </row>
    <row r="27" spans="1:22">
      <c r="A27" s="2"/>
      <c r="B27" s="76"/>
      <c r="C27" s="77"/>
      <c r="D27" s="78"/>
      <c r="E27" s="79"/>
      <c r="F27" s="212"/>
      <c r="G27" s="212"/>
      <c r="H27" s="208"/>
      <c r="I27" s="208"/>
      <c r="J27" s="208"/>
      <c r="K27" s="208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06"/>
      <c r="T27" s="207"/>
      <c r="U27" s="207"/>
      <c r="V27" s="207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06" t="s">
        <v>64</v>
      </c>
      <c r="I30" s="207"/>
      <c r="J30" s="207"/>
      <c r="K30" s="207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06" t="s">
        <v>65</v>
      </c>
      <c r="T30" s="207"/>
      <c r="U30" s="207"/>
      <c r="V30" s="207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06"/>
      <c r="I31" s="207"/>
      <c r="J31" s="207"/>
      <c r="K31" s="207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06"/>
      <c r="T31" s="207"/>
      <c r="U31" s="207"/>
      <c r="V31" s="207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06"/>
      <c r="I32" s="207"/>
      <c r="J32" s="207"/>
      <c r="K32" s="207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06"/>
      <c r="T32" s="207"/>
      <c r="U32" s="207"/>
      <c r="V32" s="207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06"/>
      <c r="I33" s="207"/>
      <c r="J33" s="207"/>
      <c r="K33" s="207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06"/>
      <c r="T33" s="207"/>
      <c r="U33" s="207"/>
      <c r="V33" s="207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06"/>
      <c r="I34" s="207"/>
      <c r="J34" s="207"/>
      <c r="K34" s="207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06"/>
      <c r="T34" s="207"/>
      <c r="U34" s="207"/>
      <c r="V34" s="207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06"/>
      <c r="I35" s="207"/>
      <c r="J35" s="207"/>
      <c r="K35" s="207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06"/>
      <c r="T35" s="207"/>
      <c r="U35" s="207"/>
      <c r="V35" s="207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06"/>
      <c r="I36" s="207"/>
      <c r="J36" s="207"/>
      <c r="K36" s="207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06"/>
      <c r="T36" s="207"/>
      <c r="U36" s="207"/>
      <c r="V36" s="207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G5" sqref="G5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51.89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124.54</v>
      </c>
      <c r="C5" s="152">
        <f>E14</f>
        <v>24000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124.54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51.89</v>
      </c>
      <c r="C14" s="165"/>
      <c r="D14" s="165">
        <f>ROUND(E14*B14/10000,2)</f>
        <v>124.54</v>
      </c>
      <c r="E14" s="165">
        <v>24000</v>
      </c>
      <c r="F14" s="165" t="e">
        <f>ROUND(D14*10000/C14,0)</f>
        <v>#DIV/0!</v>
      </c>
      <c r="G14" s="165">
        <f>D14</f>
        <v>124.54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168" sqref="A168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22" sqref="O122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2025-10-29T10:48:54Z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